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codeName="ThisWorkbook"/>
  <bookViews>
    <workbookView xWindow="240" yWindow="0" windowWidth="13815" windowHeight="11580" tabRatio="923" activeTab="1"/>
  </bookViews>
  <sheets>
    <sheet name="Paramètres" sheetId="40" r:id="rId1"/>
    <sheet name="Recherche" sheetId="48" r:id="rId2"/>
    <sheet name="A) Base RI" sheetId="42" r:id="rId3"/>
    <sheet name="B) D RI" sheetId="19" r:id="rId4"/>
    <sheet name="C) Prél. conj." sheetId="32" r:id="rId5"/>
    <sheet name="D) Ecrêtage" sheetId="33" r:id="rId6"/>
    <sheet name="E) Fact soc" sheetId="9" r:id="rId7"/>
    <sheet name="F) Population" sheetId="36" r:id="rId8"/>
    <sheet name="G) Solidarité" sheetId="37" r:id="rId9"/>
    <sheet name="H) Péréquation directe" sheetId="34" r:id="rId10"/>
    <sheet name="I) Dépenses thématiques" sheetId="11" r:id="rId11"/>
    <sheet name="J) Plafonnement effort" sheetId="12" r:id="rId12"/>
    <sheet name="K) Plafonnement aide" sheetId="39" r:id="rId13"/>
    <sheet name="L) Plafonnement taux" sheetId="13" r:id="rId14"/>
    <sheet name="M) Police" sheetId="49" r:id="rId15"/>
    <sheet name="Synthèse" sheetId="25" r:id="rId16"/>
  </sheets>
  <definedNames>
    <definedName name="_xlnm._FilterDatabase" localSheetId="4" hidden="1">'C) Prél. conj.'!$A$3:$H$314</definedName>
    <definedName name="_xlnm._FilterDatabase" localSheetId="6" hidden="1">'E) Fact soc'!$A$9:$G$320</definedName>
    <definedName name="_xlnm._FilterDatabase" localSheetId="9" hidden="1">'H) Péréquation directe'!$A$14:$I$325</definedName>
    <definedName name="_xlnm._FilterDatabase" localSheetId="15" hidden="1">Synthèse!$A$4:$L$317</definedName>
    <definedName name="_xlnm.Database">#REF!</definedName>
    <definedName name="_xlnm.Print_Titles" localSheetId="4">'C) Prél. conj.'!$3:$4</definedName>
    <definedName name="_xlnm.Print_Titles" localSheetId="6">'E) Fact soc'!$9:$10</definedName>
    <definedName name="_xlnm.Print_Titles" localSheetId="10">'I) Dépenses thématiques'!$3:$4</definedName>
    <definedName name="_xlnm.Print_Titles" localSheetId="11">'J) Plafonnement effort'!$3:$4</definedName>
    <definedName name="_xlnm.Print_Titles" localSheetId="13">'L) Plafonnement taux'!$4:$5</definedName>
    <definedName name="_xlnm.Print_Titles" localSheetId="14">'M) Police'!$4:$4</definedName>
    <definedName name="_xlnm.Print_Titles" localSheetId="15">Synthèse!$4:$5</definedName>
    <definedName name="ind">2</definedName>
    <definedName name="_xlnm.Print_Area" localSheetId="2">'A) Base RI'!#REF!</definedName>
    <definedName name="_xlnm.Print_Area" localSheetId="9">'H) Péréquation directe'!$316:$347</definedName>
    <definedName name="_xlnm.Print_Area" localSheetId="13">'L) Plafonnement taux'!$A$1:$R$316</definedName>
    <definedName name="_xlnm.Print_Area" localSheetId="14">'M) Police'!$A$1:$O$315</definedName>
    <definedName name="_xlnm.Print_Area" localSheetId="1">Recherche!$B$6:$F$56</definedName>
    <definedName name="_xlnm.Print_Area" localSheetId="15">Synthèse!$A$1:$N$315</definedName>
  </definedNames>
  <calcPr calcId="145621"/>
</workbook>
</file>

<file path=xl/calcChain.xml><?xml version="1.0" encoding="utf-8"?>
<calcChain xmlns="http://schemas.openxmlformats.org/spreadsheetml/2006/main">
  <c r="I316" i="42" l="1"/>
  <c r="D18" i="48"/>
  <c r="H155" i="42" l="1"/>
  <c r="G155" i="42"/>
  <c r="A6" i="39" l="1"/>
  <c r="B6" i="39"/>
  <c r="A7" i="39"/>
  <c r="B7" i="39"/>
  <c r="A8" i="39"/>
  <c r="B8" i="39"/>
  <c r="A9" i="39"/>
  <c r="B9" i="39"/>
  <c r="A10" i="39"/>
  <c r="B10" i="39"/>
  <c r="A11" i="39"/>
  <c r="B11" i="39"/>
  <c r="A12" i="39"/>
  <c r="B12" i="39"/>
  <c r="A13" i="39"/>
  <c r="B13" i="39"/>
  <c r="A14" i="39"/>
  <c r="B14" i="39"/>
  <c r="A15" i="39"/>
  <c r="B15" i="39"/>
  <c r="A16" i="39"/>
  <c r="B16" i="39"/>
  <c r="A17" i="39"/>
  <c r="B17" i="39"/>
  <c r="A18" i="39"/>
  <c r="B18" i="39"/>
  <c r="A19" i="39"/>
  <c r="B19" i="39"/>
  <c r="A20" i="39"/>
  <c r="B20" i="39"/>
  <c r="A21" i="39"/>
  <c r="B21" i="39"/>
  <c r="A22" i="39"/>
  <c r="B22" i="39"/>
  <c r="A23" i="39"/>
  <c r="B23" i="39"/>
  <c r="A24" i="39"/>
  <c r="B24" i="39"/>
  <c r="A25" i="39"/>
  <c r="B25" i="39"/>
  <c r="A26" i="39"/>
  <c r="B26" i="39"/>
  <c r="A27" i="39"/>
  <c r="B27" i="39"/>
  <c r="A28" i="39"/>
  <c r="B28" i="39"/>
  <c r="A29" i="39"/>
  <c r="B29" i="39"/>
  <c r="A30" i="39"/>
  <c r="B30" i="39"/>
  <c r="A31" i="39"/>
  <c r="B31" i="39"/>
  <c r="A32" i="39"/>
  <c r="B32" i="39"/>
  <c r="A33" i="39"/>
  <c r="B33" i="39"/>
  <c r="A34" i="39"/>
  <c r="B34" i="39"/>
  <c r="A35" i="39"/>
  <c r="B35" i="39"/>
  <c r="A36" i="39"/>
  <c r="B36" i="39"/>
  <c r="A37" i="39"/>
  <c r="B37" i="39"/>
  <c r="A38" i="39"/>
  <c r="B38" i="39"/>
  <c r="A39" i="39"/>
  <c r="B39" i="39"/>
  <c r="A40" i="39"/>
  <c r="B40" i="39"/>
  <c r="A41" i="39"/>
  <c r="B41" i="39"/>
  <c r="A42" i="39"/>
  <c r="B42" i="39"/>
  <c r="A43" i="39"/>
  <c r="B43" i="39"/>
  <c r="A44" i="39"/>
  <c r="B44" i="39"/>
  <c r="A45" i="39"/>
  <c r="B45" i="39"/>
  <c r="A46" i="39"/>
  <c r="B46" i="39"/>
  <c r="A47" i="39"/>
  <c r="B47" i="39"/>
  <c r="A48" i="39"/>
  <c r="B48" i="39"/>
  <c r="A49" i="39"/>
  <c r="B49" i="39"/>
  <c r="A50" i="39"/>
  <c r="B50" i="39"/>
  <c r="A51" i="39"/>
  <c r="B51" i="39"/>
  <c r="A52" i="39"/>
  <c r="B52" i="39"/>
  <c r="A53" i="39"/>
  <c r="B53" i="39"/>
  <c r="A54" i="39"/>
  <c r="B54" i="39"/>
  <c r="A55" i="39"/>
  <c r="B55" i="39"/>
  <c r="A56" i="39"/>
  <c r="B56" i="39"/>
  <c r="A57" i="39"/>
  <c r="B57" i="39"/>
  <c r="A58" i="39"/>
  <c r="B58" i="39"/>
  <c r="A59" i="39"/>
  <c r="B59" i="39"/>
  <c r="A60" i="39"/>
  <c r="B60" i="39"/>
  <c r="A61" i="39"/>
  <c r="B61" i="39"/>
  <c r="A62" i="39"/>
  <c r="B62" i="39"/>
  <c r="A63" i="39"/>
  <c r="B63" i="39"/>
  <c r="A64" i="39"/>
  <c r="B64" i="39"/>
  <c r="A65" i="39"/>
  <c r="B65" i="39"/>
  <c r="A66" i="39"/>
  <c r="B66" i="39"/>
  <c r="A67" i="39"/>
  <c r="B67" i="39"/>
  <c r="A68" i="39"/>
  <c r="B68" i="39"/>
  <c r="A69" i="39"/>
  <c r="B69" i="39"/>
  <c r="A70" i="39"/>
  <c r="B70" i="39"/>
  <c r="A71" i="39"/>
  <c r="B71" i="39"/>
  <c r="A72" i="39"/>
  <c r="B72" i="39"/>
  <c r="A73" i="39"/>
  <c r="B73" i="39"/>
  <c r="A74" i="39"/>
  <c r="B74" i="39"/>
  <c r="A75" i="39"/>
  <c r="B75" i="39"/>
  <c r="A76" i="39"/>
  <c r="B76" i="39"/>
  <c r="A77" i="39"/>
  <c r="B77" i="39"/>
  <c r="A78" i="39"/>
  <c r="B78" i="39"/>
  <c r="A79" i="39"/>
  <c r="B79" i="39"/>
  <c r="A80" i="39"/>
  <c r="B80" i="39"/>
  <c r="A81" i="39"/>
  <c r="B81" i="39"/>
  <c r="A82" i="39"/>
  <c r="B82" i="39"/>
  <c r="A83" i="39"/>
  <c r="B83" i="39"/>
  <c r="A84" i="39"/>
  <c r="B84" i="39"/>
  <c r="A85" i="39"/>
  <c r="B85" i="39"/>
  <c r="A86" i="39"/>
  <c r="B86" i="39"/>
  <c r="A87" i="39"/>
  <c r="B87" i="39"/>
  <c r="A88" i="39"/>
  <c r="B88" i="39"/>
  <c r="A89" i="39"/>
  <c r="B89" i="39"/>
  <c r="A90" i="39"/>
  <c r="B90" i="39"/>
  <c r="A91" i="39"/>
  <c r="B91" i="39"/>
  <c r="A92" i="39"/>
  <c r="B92" i="39"/>
  <c r="A93" i="39"/>
  <c r="B93" i="39"/>
  <c r="A94" i="39"/>
  <c r="B94" i="39"/>
  <c r="A95" i="39"/>
  <c r="B95" i="39"/>
  <c r="A96" i="39"/>
  <c r="B96" i="39"/>
  <c r="A97" i="39"/>
  <c r="B97" i="39"/>
  <c r="A98" i="39"/>
  <c r="B98" i="39"/>
  <c r="A99" i="39"/>
  <c r="B99" i="39"/>
  <c r="A100" i="39"/>
  <c r="B100" i="39"/>
  <c r="A101" i="39"/>
  <c r="B101" i="39"/>
  <c r="A102" i="39"/>
  <c r="B102" i="39"/>
  <c r="A103" i="39"/>
  <c r="B103" i="39"/>
  <c r="A104" i="39"/>
  <c r="B104" i="39"/>
  <c r="A105" i="39"/>
  <c r="B105" i="39"/>
  <c r="A106" i="39"/>
  <c r="B106" i="39"/>
  <c r="A107" i="39"/>
  <c r="B107" i="39"/>
  <c r="A108" i="39"/>
  <c r="B108" i="39"/>
  <c r="A109" i="39"/>
  <c r="B109" i="39"/>
  <c r="A110" i="39"/>
  <c r="B110" i="39"/>
  <c r="A111" i="39"/>
  <c r="B111" i="39"/>
  <c r="A112" i="39"/>
  <c r="B112" i="39"/>
  <c r="A113" i="39"/>
  <c r="B113" i="39"/>
  <c r="A114" i="39"/>
  <c r="B114" i="39"/>
  <c r="A115" i="39"/>
  <c r="B115" i="39"/>
  <c r="A116" i="39"/>
  <c r="B116" i="39"/>
  <c r="A117" i="39"/>
  <c r="B117" i="39"/>
  <c r="A118" i="39"/>
  <c r="B118" i="39"/>
  <c r="A119" i="39"/>
  <c r="B119" i="39"/>
  <c r="A120" i="39"/>
  <c r="B120" i="39"/>
  <c r="A121" i="39"/>
  <c r="B121" i="39"/>
  <c r="A122" i="39"/>
  <c r="B122" i="39"/>
  <c r="A123" i="39"/>
  <c r="B123" i="39"/>
  <c r="A124" i="39"/>
  <c r="B124" i="39"/>
  <c r="A125" i="39"/>
  <c r="B125" i="39"/>
  <c r="A126" i="39"/>
  <c r="B126" i="39"/>
  <c r="A127" i="39"/>
  <c r="B127" i="39"/>
  <c r="A128" i="39"/>
  <c r="B128" i="39"/>
  <c r="A129" i="39"/>
  <c r="B129" i="39"/>
  <c r="A130" i="39"/>
  <c r="B130" i="39"/>
  <c r="A131" i="39"/>
  <c r="B131" i="39"/>
  <c r="A132" i="39"/>
  <c r="B132" i="39"/>
  <c r="A133" i="39"/>
  <c r="B133" i="39"/>
  <c r="A134" i="39"/>
  <c r="B134" i="39"/>
  <c r="A135" i="39"/>
  <c r="B135" i="39"/>
  <c r="A136" i="39"/>
  <c r="B136" i="39"/>
  <c r="A137" i="39"/>
  <c r="B137" i="39"/>
  <c r="A138" i="39"/>
  <c r="B138" i="39"/>
  <c r="A139" i="39"/>
  <c r="B139" i="39"/>
  <c r="A140" i="39"/>
  <c r="B140" i="39"/>
  <c r="A141" i="39"/>
  <c r="B141" i="39"/>
  <c r="A142" i="39"/>
  <c r="B142" i="39"/>
  <c r="A143" i="39"/>
  <c r="B143" i="39"/>
  <c r="A144" i="39"/>
  <c r="B144" i="39"/>
  <c r="A145" i="39"/>
  <c r="B145" i="39"/>
  <c r="A146" i="39"/>
  <c r="B146" i="39"/>
  <c r="A147" i="39"/>
  <c r="B147" i="39"/>
  <c r="A148" i="39"/>
  <c r="B148" i="39"/>
  <c r="A149" i="39"/>
  <c r="B149" i="39"/>
  <c r="A150" i="39"/>
  <c r="B150" i="39"/>
  <c r="A151" i="39"/>
  <c r="B151" i="39"/>
  <c r="A152" i="39"/>
  <c r="B152" i="39"/>
  <c r="A153" i="39"/>
  <c r="B153" i="39"/>
  <c r="A154" i="39"/>
  <c r="B154" i="39"/>
  <c r="A155" i="39"/>
  <c r="B155" i="39"/>
  <c r="A156" i="39"/>
  <c r="B156" i="39"/>
  <c r="A157" i="39"/>
  <c r="B157" i="39"/>
  <c r="A158" i="39"/>
  <c r="B158" i="39"/>
  <c r="A159" i="39"/>
  <c r="B159" i="39"/>
  <c r="A160" i="39"/>
  <c r="B160" i="39"/>
  <c r="A161" i="39"/>
  <c r="B161" i="39"/>
  <c r="A162" i="39"/>
  <c r="B162" i="39"/>
  <c r="A163" i="39"/>
  <c r="B163" i="39"/>
  <c r="A164" i="39"/>
  <c r="B164" i="39"/>
  <c r="A165" i="39"/>
  <c r="B165" i="39"/>
  <c r="A166" i="39"/>
  <c r="B166" i="39"/>
  <c r="A167" i="39"/>
  <c r="B167" i="39"/>
  <c r="A168" i="39"/>
  <c r="B168" i="39"/>
  <c r="A169" i="39"/>
  <c r="B169" i="39"/>
  <c r="A170" i="39"/>
  <c r="B170" i="39"/>
  <c r="A171" i="39"/>
  <c r="B171" i="39"/>
  <c r="A172" i="39"/>
  <c r="B172" i="39"/>
  <c r="A173" i="39"/>
  <c r="B173" i="39"/>
  <c r="A174" i="39"/>
  <c r="B174" i="39"/>
  <c r="A175" i="39"/>
  <c r="B175" i="39"/>
  <c r="A176" i="39"/>
  <c r="B176" i="39"/>
  <c r="A177" i="39"/>
  <c r="B177" i="39"/>
  <c r="A178" i="39"/>
  <c r="B178" i="39"/>
  <c r="A179" i="39"/>
  <c r="B179" i="39"/>
  <c r="A180" i="39"/>
  <c r="B180" i="39"/>
  <c r="A181" i="39"/>
  <c r="B181" i="39"/>
  <c r="A182" i="39"/>
  <c r="B182" i="39"/>
  <c r="A183" i="39"/>
  <c r="B183" i="39"/>
  <c r="A184" i="39"/>
  <c r="B184" i="39"/>
  <c r="A185" i="39"/>
  <c r="B185" i="39"/>
  <c r="A186" i="39"/>
  <c r="B186" i="39"/>
  <c r="A187" i="39"/>
  <c r="B187" i="39"/>
  <c r="A188" i="39"/>
  <c r="B188" i="39"/>
  <c r="A189" i="39"/>
  <c r="B189" i="39"/>
  <c r="A190" i="39"/>
  <c r="B190" i="39"/>
  <c r="A191" i="39"/>
  <c r="B191" i="39"/>
  <c r="A192" i="39"/>
  <c r="B192" i="39"/>
  <c r="A193" i="39"/>
  <c r="B193" i="39"/>
  <c r="A194" i="39"/>
  <c r="B194" i="39"/>
  <c r="A195" i="39"/>
  <c r="B195" i="39"/>
  <c r="A196" i="39"/>
  <c r="B196" i="39"/>
  <c r="A197" i="39"/>
  <c r="B197" i="39"/>
  <c r="A198" i="39"/>
  <c r="B198" i="39"/>
  <c r="A199" i="39"/>
  <c r="B199" i="39"/>
  <c r="A200" i="39"/>
  <c r="B200" i="39"/>
  <c r="A201" i="39"/>
  <c r="B201" i="39"/>
  <c r="A202" i="39"/>
  <c r="B202" i="39"/>
  <c r="A203" i="39"/>
  <c r="B203" i="39"/>
  <c r="A204" i="39"/>
  <c r="B204" i="39"/>
  <c r="A205" i="39"/>
  <c r="B205" i="39"/>
  <c r="A206" i="39"/>
  <c r="B206" i="39"/>
  <c r="A207" i="39"/>
  <c r="B207" i="39"/>
  <c r="A208" i="39"/>
  <c r="B208" i="39"/>
  <c r="A209" i="39"/>
  <c r="B209" i="39"/>
  <c r="A210" i="39"/>
  <c r="B210" i="39"/>
  <c r="A211" i="39"/>
  <c r="B211" i="39"/>
  <c r="A212" i="39"/>
  <c r="B212" i="39"/>
  <c r="A213" i="39"/>
  <c r="B213" i="39"/>
  <c r="A214" i="39"/>
  <c r="B214" i="39"/>
  <c r="A215" i="39"/>
  <c r="B215" i="39"/>
  <c r="A216" i="39"/>
  <c r="B216" i="39"/>
  <c r="A217" i="39"/>
  <c r="B217" i="39"/>
  <c r="A218" i="39"/>
  <c r="B218" i="39"/>
  <c r="A219" i="39"/>
  <c r="B219" i="39"/>
  <c r="A220" i="39"/>
  <c r="B220" i="39"/>
  <c r="A221" i="39"/>
  <c r="B221" i="39"/>
  <c r="A222" i="39"/>
  <c r="B222" i="39"/>
  <c r="A223" i="39"/>
  <c r="B223" i="39"/>
  <c r="A224" i="39"/>
  <c r="B224" i="39"/>
  <c r="A225" i="39"/>
  <c r="B225" i="39"/>
  <c r="A226" i="39"/>
  <c r="B226" i="39"/>
  <c r="A227" i="39"/>
  <c r="B227" i="39"/>
  <c r="A228" i="39"/>
  <c r="B228" i="39"/>
  <c r="A229" i="39"/>
  <c r="B229" i="39"/>
  <c r="A230" i="39"/>
  <c r="B230" i="39"/>
  <c r="A231" i="39"/>
  <c r="B231" i="39"/>
  <c r="A232" i="39"/>
  <c r="B232" i="39"/>
  <c r="A233" i="39"/>
  <c r="B233" i="39"/>
  <c r="A234" i="39"/>
  <c r="B234" i="39"/>
  <c r="A235" i="39"/>
  <c r="B235" i="39"/>
  <c r="A236" i="39"/>
  <c r="B236" i="39"/>
  <c r="A237" i="39"/>
  <c r="B237" i="39"/>
  <c r="A238" i="39"/>
  <c r="B238" i="39"/>
  <c r="A239" i="39"/>
  <c r="B239" i="39"/>
  <c r="A240" i="39"/>
  <c r="B240" i="39"/>
  <c r="A241" i="39"/>
  <c r="B241" i="39"/>
  <c r="A242" i="39"/>
  <c r="B242" i="39"/>
  <c r="A243" i="39"/>
  <c r="B243" i="39"/>
  <c r="A244" i="39"/>
  <c r="B244" i="39"/>
  <c r="A245" i="39"/>
  <c r="B245" i="39"/>
  <c r="A246" i="39"/>
  <c r="B246" i="39"/>
  <c r="A247" i="39"/>
  <c r="B247" i="39"/>
  <c r="A248" i="39"/>
  <c r="B248" i="39"/>
  <c r="A249" i="39"/>
  <c r="B249" i="39"/>
  <c r="A250" i="39"/>
  <c r="B250" i="39"/>
  <c r="A251" i="39"/>
  <c r="B251" i="39"/>
  <c r="A252" i="39"/>
  <c r="B252" i="39"/>
  <c r="A253" i="39"/>
  <c r="B253" i="39"/>
  <c r="A254" i="39"/>
  <c r="B254" i="39"/>
  <c r="A255" i="39"/>
  <c r="B255" i="39"/>
  <c r="A256" i="39"/>
  <c r="B256" i="39"/>
  <c r="A257" i="39"/>
  <c r="B257" i="39"/>
  <c r="A258" i="39"/>
  <c r="B258" i="39"/>
  <c r="A259" i="39"/>
  <c r="B259" i="39"/>
  <c r="A260" i="39"/>
  <c r="B260" i="39"/>
  <c r="A261" i="39"/>
  <c r="B261" i="39"/>
  <c r="A262" i="39"/>
  <c r="B262" i="39"/>
  <c r="A263" i="39"/>
  <c r="B263" i="39"/>
  <c r="A264" i="39"/>
  <c r="B264" i="39"/>
  <c r="A265" i="39"/>
  <c r="B265" i="39"/>
  <c r="A266" i="39"/>
  <c r="B266" i="39"/>
  <c r="A267" i="39"/>
  <c r="B267" i="39"/>
  <c r="A268" i="39"/>
  <c r="B268" i="39"/>
  <c r="A269" i="39"/>
  <c r="B269" i="39"/>
  <c r="A270" i="39"/>
  <c r="B270" i="39"/>
  <c r="A271" i="39"/>
  <c r="B271" i="39"/>
  <c r="A272" i="39"/>
  <c r="B272" i="39"/>
  <c r="A273" i="39"/>
  <c r="B273" i="39"/>
  <c r="A274" i="39"/>
  <c r="B274" i="39"/>
  <c r="A275" i="39"/>
  <c r="B275" i="39"/>
  <c r="A276" i="39"/>
  <c r="B276" i="39"/>
  <c r="A277" i="39"/>
  <c r="B277" i="39"/>
  <c r="A278" i="39"/>
  <c r="B278" i="39"/>
  <c r="A279" i="39"/>
  <c r="B279" i="39"/>
  <c r="A280" i="39"/>
  <c r="B280" i="39"/>
  <c r="A281" i="39"/>
  <c r="B281" i="39"/>
  <c r="A282" i="39"/>
  <c r="B282" i="39"/>
  <c r="A283" i="39"/>
  <c r="B283" i="39"/>
  <c r="A284" i="39"/>
  <c r="B284" i="39"/>
  <c r="A285" i="39"/>
  <c r="B285" i="39"/>
  <c r="A286" i="39"/>
  <c r="B286" i="39"/>
  <c r="A287" i="39"/>
  <c r="B287" i="39"/>
  <c r="A288" i="39"/>
  <c r="B288" i="39"/>
  <c r="A289" i="39"/>
  <c r="B289" i="39"/>
  <c r="A290" i="39"/>
  <c r="B290" i="39"/>
  <c r="A291" i="39"/>
  <c r="B291" i="39"/>
  <c r="A292" i="39"/>
  <c r="B292" i="39"/>
  <c r="A293" i="39"/>
  <c r="B293" i="39"/>
  <c r="A294" i="39"/>
  <c r="B294" i="39"/>
  <c r="A295" i="39"/>
  <c r="B295" i="39"/>
  <c r="A296" i="39"/>
  <c r="B296" i="39"/>
  <c r="A297" i="39"/>
  <c r="B297" i="39"/>
  <c r="A298" i="39"/>
  <c r="B298" i="39"/>
  <c r="A299" i="39"/>
  <c r="B299" i="39"/>
  <c r="A300" i="39"/>
  <c r="B300" i="39"/>
  <c r="A301" i="39"/>
  <c r="B301" i="39"/>
  <c r="A302" i="39"/>
  <c r="B302" i="39"/>
  <c r="A303" i="39"/>
  <c r="B303" i="39"/>
  <c r="A304" i="39"/>
  <c r="B304" i="39"/>
  <c r="A305" i="39"/>
  <c r="B305" i="39"/>
  <c r="A306" i="39"/>
  <c r="B306" i="39"/>
  <c r="A307" i="39"/>
  <c r="B307" i="39"/>
  <c r="A308" i="39"/>
  <c r="B308" i="39"/>
  <c r="A309" i="39"/>
  <c r="B309" i="39"/>
  <c r="A310" i="39"/>
  <c r="B310" i="39"/>
  <c r="A311" i="39"/>
  <c r="B311" i="39"/>
  <c r="A312" i="39"/>
  <c r="B312" i="39"/>
  <c r="A313" i="39"/>
  <c r="B313" i="39"/>
  <c r="A6" i="12"/>
  <c r="B6" i="12"/>
  <c r="A7" i="12"/>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306" i="12"/>
  <c r="B306" i="12"/>
  <c r="A307" i="12"/>
  <c r="B307" i="12"/>
  <c r="A308" i="12"/>
  <c r="B308" i="12"/>
  <c r="A309" i="12"/>
  <c r="B309" i="12"/>
  <c r="A310" i="12"/>
  <c r="B310" i="12"/>
  <c r="A311" i="12"/>
  <c r="B311" i="12"/>
  <c r="A312" i="12"/>
  <c r="B312" i="12"/>
  <c r="A313" i="12"/>
  <c r="B313" i="12"/>
  <c r="A17" i="34"/>
  <c r="B17" i="34"/>
  <c r="D17" i="34"/>
  <c r="A18" i="34"/>
  <c r="B18" i="34"/>
  <c r="D18" i="34"/>
  <c r="A19" i="34"/>
  <c r="B19" i="34"/>
  <c r="D19" i="34"/>
  <c r="A20" i="34"/>
  <c r="B20" i="34"/>
  <c r="D20" i="34"/>
  <c r="A21" i="34"/>
  <c r="B21" i="34"/>
  <c r="D21" i="34"/>
  <c r="A22" i="34"/>
  <c r="B22" i="34"/>
  <c r="D22" i="34"/>
  <c r="A23" i="34"/>
  <c r="B23" i="34"/>
  <c r="D23" i="34"/>
  <c r="A24" i="34"/>
  <c r="B24" i="34"/>
  <c r="D24" i="34"/>
  <c r="A25" i="34"/>
  <c r="B25" i="34"/>
  <c r="D25" i="34"/>
  <c r="A26" i="34"/>
  <c r="B26" i="34"/>
  <c r="D26" i="34"/>
  <c r="A27" i="34"/>
  <c r="B27" i="34"/>
  <c r="D27" i="34"/>
  <c r="A28" i="34"/>
  <c r="B28" i="34"/>
  <c r="D28" i="34"/>
  <c r="A29" i="34"/>
  <c r="B29" i="34"/>
  <c r="D29" i="34"/>
  <c r="A30" i="34"/>
  <c r="B30" i="34"/>
  <c r="D30" i="34"/>
  <c r="A31" i="34"/>
  <c r="B31" i="34"/>
  <c r="D31" i="34"/>
  <c r="A32" i="34"/>
  <c r="B32" i="34"/>
  <c r="D32" i="34"/>
  <c r="A33" i="34"/>
  <c r="B33" i="34"/>
  <c r="D33" i="34"/>
  <c r="A34" i="34"/>
  <c r="B34" i="34"/>
  <c r="D34" i="34"/>
  <c r="A35" i="34"/>
  <c r="B35" i="34"/>
  <c r="D35" i="34"/>
  <c r="A36" i="34"/>
  <c r="B36" i="34"/>
  <c r="D36" i="34"/>
  <c r="A37" i="34"/>
  <c r="B37" i="34"/>
  <c r="D37" i="34"/>
  <c r="A38" i="34"/>
  <c r="B38" i="34"/>
  <c r="D38" i="34"/>
  <c r="A39" i="34"/>
  <c r="B39" i="34"/>
  <c r="D39" i="34"/>
  <c r="A40" i="34"/>
  <c r="B40" i="34"/>
  <c r="D40" i="34"/>
  <c r="A41" i="34"/>
  <c r="B41" i="34"/>
  <c r="D41" i="34"/>
  <c r="A42" i="34"/>
  <c r="B42" i="34"/>
  <c r="D42" i="34"/>
  <c r="A43" i="34"/>
  <c r="B43" i="34"/>
  <c r="D43" i="34"/>
  <c r="A44" i="34"/>
  <c r="B44" i="34"/>
  <c r="D44" i="34"/>
  <c r="A45" i="34"/>
  <c r="B45" i="34"/>
  <c r="D45" i="34"/>
  <c r="A46" i="34"/>
  <c r="B46" i="34"/>
  <c r="D46" i="34"/>
  <c r="A47" i="34"/>
  <c r="B47" i="34"/>
  <c r="D47" i="34"/>
  <c r="A48" i="34"/>
  <c r="B48" i="34"/>
  <c r="D48" i="34"/>
  <c r="A49" i="34"/>
  <c r="B49" i="34"/>
  <c r="D49" i="34"/>
  <c r="A50" i="34"/>
  <c r="B50" i="34"/>
  <c r="D50" i="34"/>
  <c r="A51" i="34"/>
  <c r="B51" i="34"/>
  <c r="D51" i="34"/>
  <c r="A52" i="34"/>
  <c r="B52" i="34"/>
  <c r="D52" i="34"/>
  <c r="A53" i="34"/>
  <c r="B53" i="34"/>
  <c r="D53" i="34"/>
  <c r="A54" i="34"/>
  <c r="B54" i="34"/>
  <c r="D54" i="34"/>
  <c r="A55" i="34"/>
  <c r="B55" i="34"/>
  <c r="D55" i="34"/>
  <c r="A56" i="34"/>
  <c r="B56" i="34"/>
  <c r="D56" i="34"/>
  <c r="A57" i="34"/>
  <c r="B57" i="34"/>
  <c r="D57" i="34"/>
  <c r="A58" i="34"/>
  <c r="B58" i="34"/>
  <c r="D58" i="34"/>
  <c r="A59" i="34"/>
  <c r="B59" i="34"/>
  <c r="D59" i="34"/>
  <c r="A60" i="34"/>
  <c r="B60" i="34"/>
  <c r="D60" i="34"/>
  <c r="A61" i="34"/>
  <c r="B61" i="34"/>
  <c r="D61" i="34"/>
  <c r="A62" i="34"/>
  <c r="B62" i="34"/>
  <c r="D62" i="34"/>
  <c r="A63" i="34"/>
  <c r="B63" i="34"/>
  <c r="D63" i="34"/>
  <c r="A64" i="34"/>
  <c r="B64" i="34"/>
  <c r="D64" i="34"/>
  <c r="A65" i="34"/>
  <c r="B65" i="34"/>
  <c r="D65" i="34"/>
  <c r="A66" i="34"/>
  <c r="B66" i="34"/>
  <c r="D66" i="34"/>
  <c r="A67" i="34"/>
  <c r="B67" i="34"/>
  <c r="D67" i="34"/>
  <c r="A68" i="34"/>
  <c r="B68" i="34"/>
  <c r="D68" i="34"/>
  <c r="A69" i="34"/>
  <c r="B69" i="34"/>
  <c r="D69" i="34"/>
  <c r="A70" i="34"/>
  <c r="B70" i="34"/>
  <c r="D70" i="34"/>
  <c r="A71" i="34"/>
  <c r="B71" i="34"/>
  <c r="D71" i="34"/>
  <c r="A72" i="34"/>
  <c r="B72" i="34"/>
  <c r="D72" i="34"/>
  <c r="A73" i="34"/>
  <c r="B73" i="34"/>
  <c r="D73" i="34"/>
  <c r="A74" i="34"/>
  <c r="B74" i="34"/>
  <c r="D74" i="34"/>
  <c r="A75" i="34"/>
  <c r="B75" i="34"/>
  <c r="D75" i="34"/>
  <c r="A76" i="34"/>
  <c r="B76" i="34"/>
  <c r="D76" i="34"/>
  <c r="A77" i="34"/>
  <c r="B77" i="34"/>
  <c r="D77" i="34"/>
  <c r="A78" i="34"/>
  <c r="B78" i="34"/>
  <c r="D78" i="34"/>
  <c r="A79" i="34"/>
  <c r="B79" i="34"/>
  <c r="D79" i="34"/>
  <c r="A80" i="34"/>
  <c r="B80" i="34"/>
  <c r="D80" i="34"/>
  <c r="A81" i="34"/>
  <c r="B81" i="34"/>
  <c r="D81" i="34"/>
  <c r="A82" i="34"/>
  <c r="B82" i="34"/>
  <c r="D82" i="34"/>
  <c r="A83" i="34"/>
  <c r="B83" i="34"/>
  <c r="D83" i="34"/>
  <c r="A84" i="34"/>
  <c r="B84" i="34"/>
  <c r="D84" i="34"/>
  <c r="A85" i="34"/>
  <c r="B85" i="34"/>
  <c r="D85" i="34"/>
  <c r="A86" i="34"/>
  <c r="B86" i="34"/>
  <c r="D86" i="34"/>
  <c r="A87" i="34"/>
  <c r="B87" i="34"/>
  <c r="D87" i="34"/>
  <c r="A88" i="34"/>
  <c r="B88" i="34"/>
  <c r="D88" i="34"/>
  <c r="A89" i="34"/>
  <c r="B89" i="34"/>
  <c r="D89" i="34"/>
  <c r="A90" i="34"/>
  <c r="B90" i="34"/>
  <c r="D90" i="34"/>
  <c r="A91" i="34"/>
  <c r="B91" i="34"/>
  <c r="D91" i="34"/>
  <c r="A92" i="34"/>
  <c r="B92" i="34"/>
  <c r="D92" i="34"/>
  <c r="A93" i="34"/>
  <c r="B93" i="34"/>
  <c r="D93" i="34"/>
  <c r="A94" i="34"/>
  <c r="B94" i="34"/>
  <c r="D94" i="34"/>
  <c r="A95" i="34"/>
  <c r="B95" i="34"/>
  <c r="D95" i="34"/>
  <c r="A96" i="34"/>
  <c r="B96" i="34"/>
  <c r="D96" i="34"/>
  <c r="A97" i="34"/>
  <c r="B97" i="34"/>
  <c r="D97" i="34"/>
  <c r="A98" i="34"/>
  <c r="B98" i="34"/>
  <c r="D98" i="34"/>
  <c r="A99" i="34"/>
  <c r="B99" i="34"/>
  <c r="D99" i="34"/>
  <c r="A100" i="34"/>
  <c r="B100" i="34"/>
  <c r="D100" i="34"/>
  <c r="A101" i="34"/>
  <c r="B101" i="34"/>
  <c r="D101" i="34"/>
  <c r="A102" i="34"/>
  <c r="B102" i="34"/>
  <c r="D102" i="34"/>
  <c r="A103" i="34"/>
  <c r="B103" i="34"/>
  <c r="D103" i="34"/>
  <c r="A104" i="34"/>
  <c r="B104" i="34"/>
  <c r="D104" i="34"/>
  <c r="A105" i="34"/>
  <c r="B105" i="34"/>
  <c r="D105" i="34"/>
  <c r="A106" i="34"/>
  <c r="B106" i="34"/>
  <c r="D106" i="34"/>
  <c r="A107" i="34"/>
  <c r="B107" i="34"/>
  <c r="D107" i="34"/>
  <c r="A108" i="34"/>
  <c r="B108" i="34"/>
  <c r="D108" i="34"/>
  <c r="A109" i="34"/>
  <c r="B109" i="34"/>
  <c r="D109" i="34"/>
  <c r="A110" i="34"/>
  <c r="B110" i="34"/>
  <c r="D110" i="34"/>
  <c r="A111" i="34"/>
  <c r="B111" i="34"/>
  <c r="D111" i="34"/>
  <c r="A112" i="34"/>
  <c r="B112" i="34"/>
  <c r="D112" i="34"/>
  <c r="A113" i="34"/>
  <c r="B113" i="34"/>
  <c r="D113" i="34"/>
  <c r="A114" i="34"/>
  <c r="B114" i="34"/>
  <c r="D114" i="34"/>
  <c r="A115" i="34"/>
  <c r="B115" i="34"/>
  <c r="D115" i="34"/>
  <c r="A116" i="34"/>
  <c r="B116" i="34"/>
  <c r="D116" i="34"/>
  <c r="A117" i="34"/>
  <c r="B117" i="34"/>
  <c r="D117" i="34"/>
  <c r="A118" i="34"/>
  <c r="B118" i="34"/>
  <c r="D118" i="34"/>
  <c r="A119" i="34"/>
  <c r="B119" i="34"/>
  <c r="D119" i="34"/>
  <c r="A120" i="34"/>
  <c r="B120" i="34"/>
  <c r="D120" i="34"/>
  <c r="A121" i="34"/>
  <c r="B121" i="34"/>
  <c r="D121" i="34"/>
  <c r="A122" i="34"/>
  <c r="B122" i="34"/>
  <c r="D122" i="34"/>
  <c r="A123" i="34"/>
  <c r="B123" i="34"/>
  <c r="D123" i="34"/>
  <c r="A124" i="34"/>
  <c r="B124" i="34"/>
  <c r="D124" i="34"/>
  <c r="A125" i="34"/>
  <c r="B125" i="34"/>
  <c r="D125" i="34"/>
  <c r="A126" i="34"/>
  <c r="B126" i="34"/>
  <c r="D126" i="34"/>
  <c r="A127" i="34"/>
  <c r="B127" i="34"/>
  <c r="D127" i="34"/>
  <c r="A128" i="34"/>
  <c r="B128" i="34"/>
  <c r="D128" i="34"/>
  <c r="A129" i="34"/>
  <c r="B129" i="34"/>
  <c r="D129" i="34"/>
  <c r="A130" i="34"/>
  <c r="B130" i="34"/>
  <c r="D130" i="34"/>
  <c r="A131" i="34"/>
  <c r="B131" i="34"/>
  <c r="D131" i="34"/>
  <c r="A132" i="34"/>
  <c r="B132" i="34"/>
  <c r="D132" i="34"/>
  <c r="A133" i="34"/>
  <c r="B133" i="34"/>
  <c r="D133" i="34"/>
  <c r="A134" i="34"/>
  <c r="B134" i="34"/>
  <c r="D134" i="34"/>
  <c r="A135" i="34"/>
  <c r="B135" i="34"/>
  <c r="D135" i="34"/>
  <c r="A136" i="34"/>
  <c r="B136" i="34"/>
  <c r="D136" i="34"/>
  <c r="A137" i="34"/>
  <c r="B137" i="34"/>
  <c r="D137" i="34"/>
  <c r="A138" i="34"/>
  <c r="B138" i="34"/>
  <c r="D138" i="34"/>
  <c r="A139" i="34"/>
  <c r="B139" i="34"/>
  <c r="D139" i="34"/>
  <c r="A140" i="34"/>
  <c r="B140" i="34"/>
  <c r="D140" i="34"/>
  <c r="A141" i="34"/>
  <c r="B141" i="34"/>
  <c r="D141" i="34"/>
  <c r="A142" i="34"/>
  <c r="B142" i="34"/>
  <c r="D142" i="34"/>
  <c r="A143" i="34"/>
  <c r="B143" i="34"/>
  <c r="D143" i="34"/>
  <c r="A144" i="34"/>
  <c r="B144" i="34"/>
  <c r="D144" i="34"/>
  <c r="A145" i="34"/>
  <c r="B145" i="34"/>
  <c r="D145" i="34"/>
  <c r="A146" i="34"/>
  <c r="B146" i="34"/>
  <c r="D146" i="34"/>
  <c r="A147" i="34"/>
  <c r="B147" i="34"/>
  <c r="D147" i="34"/>
  <c r="A148" i="34"/>
  <c r="B148" i="34"/>
  <c r="D148" i="34"/>
  <c r="A149" i="34"/>
  <c r="B149" i="34"/>
  <c r="D149" i="34"/>
  <c r="A150" i="34"/>
  <c r="B150" i="34"/>
  <c r="D150" i="34"/>
  <c r="A151" i="34"/>
  <c r="B151" i="34"/>
  <c r="D151" i="34"/>
  <c r="A152" i="34"/>
  <c r="B152" i="34"/>
  <c r="D152" i="34"/>
  <c r="A153" i="34"/>
  <c r="B153" i="34"/>
  <c r="D153" i="34"/>
  <c r="A154" i="34"/>
  <c r="B154" i="34"/>
  <c r="D154" i="34"/>
  <c r="A155" i="34"/>
  <c r="B155" i="34"/>
  <c r="D155" i="34"/>
  <c r="A156" i="34"/>
  <c r="B156" i="34"/>
  <c r="D156" i="34"/>
  <c r="A157" i="34"/>
  <c r="B157" i="34"/>
  <c r="D157" i="34"/>
  <c r="A158" i="34"/>
  <c r="B158" i="34"/>
  <c r="D158" i="34"/>
  <c r="A159" i="34"/>
  <c r="B159" i="34"/>
  <c r="D159" i="34"/>
  <c r="A160" i="34"/>
  <c r="B160" i="34"/>
  <c r="D160" i="34"/>
  <c r="A161" i="34"/>
  <c r="B161" i="34"/>
  <c r="D161" i="34"/>
  <c r="A162" i="34"/>
  <c r="B162" i="34"/>
  <c r="D162" i="34"/>
  <c r="A163" i="34"/>
  <c r="B163" i="34"/>
  <c r="D163" i="34"/>
  <c r="A164" i="34"/>
  <c r="B164" i="34"/>
  <c r="D164" i="34"/>
  <c r="A165" i="34"/>
  <c r="B165" i="34"/>
  <c r="D165" i="34"/>
  <c r="A166" i="34"/>
  <c r="B166" i="34"/>
  <c r="D166" i="34"/>
  <c r="A167" i="34"/>
  <c r="B167" i="34"/>
  <c r="D167" i="34"/>
  <c r="A168" i="34"/>
  <c r="B168" i="34"/>
  <c r="D168" i="34"/>
  <c r="A169" i="34"/>
  <c r="B169" i="34"/>
  <c r="D169" i="34"/>
  <c r="A170" i="34"/>
  <c r="B170" i="34"/>
  <c r="D170" i="34"/>
  <c r="A171" i="34"/>
  <c r="B171" i="34"/>
  <c r="D171" i="34"/>
  <c r="A172" i="34"/>
  <c r="B172" i="34"/>
  <c r="D172" i="34"/>
  <c r="A173" i="34"/>
  <c r="B173" i="34"/>
  <c r="D173" i="34"/>
  <c r="A174" i="34"/>
  <c r="B174" i="34"/>
  <c r="D174" i="34"/>
  <c r="A175" i="34"/>
  <c r="B175" i="34"/>
  <c r="D175" i="34"/>
  <c r="A176" i="34"/>
  <c r="B176" i="34"/>
  <c r="D176" i="34"/>
  <c r="A177" i="34"/>
  <c r="B177" i="34"/>
  <c r="D177" i="34"/>
  <c r="A178" i="34"/>
  <c r="B178" i="34"/>
  <c r="D178" i="34"/>
  <c r="A179" i="34"/>
  <c r="B179" i="34"/>
  <c r="D179" i="34"/>
  <c r="A180" i="34"/>
  <c r="B180" i="34"/>
  <c r="D180" i="34"/>
  <c r="A181" i="34"/>
  <c r="B181" i="34"/>
  <c r="D181" i="34"/>
  <c r="A182" i="34"/>
  <c r="B182" i="34"/>
  <c r="D182" i="34"/>
  <c r="A183" i="34"/>
  <c r="B183" i="34"/>
  <c r="D183" i="34"/>
  <c r="A184" i="34"/>
  <c r="B184" i="34"/>
  <c r="D184" i="34"/>
  <c r="A185" i="34"/>
  <c r="B185" i="34"/>
  <c r="D185" i="34"/>
  <c r="A186" i="34"/>
  <c r="B186" i="34"/>
  <c r="D186" i="34"/>
  <c r="A187" i="34"/>
  <c r="B187" i="34"/>
  <c r="D187" i="34"/>
  <c r="A188" i="34"/>
  <c r="B188" i="34"/>
  <c r="D188" i="34"/>
  <c r="A189" i="34"/>
  <c r="B189" i="34"/>
  <c r="D189" i="34"/>
  <c r="A190" i="34"/>
  <c r="B190" i="34"/>
  <c r="D190" i="34"/>
  <c r="A191" i="34"/>
  <c r="B191" i="34"/>
  <c r="D191" i="34"/>
  <c r="A192" i="34"/>
  <c r="B192" i="34"/>
  <c r="D192" i="34"/>
  <c r="A193" i="34"/>
  <c r="B193" i="34"/>
  <c r="D193" i="34"/>
  <c r="A194" i="34"/>
  <c r="B194" i="34"/>
  <c r="D194" i="34"/>
  <c r="A195" i="34"/>
  <c r="B195" i="34"/>
  <c r="D195" i="34"/>
  <c r="A196" i="34"/>
  <c r="B196" i="34"/>
  <c r="D196" i="34"/>
  <c r="A197" i="34"/>
  <c r="B197" i="34"/>
  <c r="D197" i="34"/>
  <c r="A198" i="34"/>
  <c r="B198" i="34"/>
  <c r="D198" i="34"/>
  <c r="A199" i="34"/>
  <c r="B199" i="34"/>
  <c r="D199" i="34"/>
  <c r="A200" i="34"/>
  <c r="B200" i="34"/>
  <c r="D200" i="34"/>
  <c r="A201" i="34"/>
  <c r="B201" i="34"/>
  <c r="D201" i="34"/>
  <c r="A202" i="34"/>
  <c r="B202" i="34"/>
  <c r="D202" i="34"/>
  <c r="A203" i="34"/>
  <c r="B203" i="34"/>
  <c r="D203" i="34"/>
  <c r="A204" i="34"/>
  <c r="B204" i="34"/>
  <c r="D204" i="34"/>
  <c r="A205" i="34"/>
  <c r="B205" i="34"/>
  <c r="D205" i="34"/>
  <c r="A206" i="34"/>
  <c r="B206" i="34"/>
  <c r="D206" i="34"/>
  <c r="A207" i="34"/>
  <c r="B207" i="34"/>
  <c r="D207" i="34"/>
  <c r="A208" i="34"/>
  <c r="B208" i="34"/>
  <c r="D208" i="34"/>
  <c r="A209" i="34"/>
  <c r="B209" i="34"/>
  <c r="D209" i="34"/>
  <c r="A210" i="34"/>
  <c r="B210" i="34"/>
  <c r="D210" i="34"/>
  <c r="A211" i="34"/>
  <c r="B211" i="34"/>
  <c r="D211" i="34"/>
  <c r="A212" i="34"/>
  <c r="B212" i="34"/>
  <c r="D212" i="34"/>
  <c r="A213" i="34"/>
  <c r="B213" i="34"/>
  <c r="D213" i="34"/>
  <c r="A214" i="34"/>
  <c r="B214" i="34"/>
  <c r="D214" i="34"/>
  <c r="A215" i="34"/>
  <c r="B215" i="34"/>
  <c r="D215" i="34"/>
  <c r="A216" i="34"/>
  <c r="B216" i="34"/>
  <c r="D216" i="34"/>
  <c r="A217" i="34"/>
  <c r="B217" i="34"/>
  <c r="D217" i="34"/>
  <c r="A218" i="34"/>
  <c r="B218" i="34"/>
  <c r="D218" i="34"/>
  <c r="A219" i="34"/>
  <c r="B219" i="34"/>
  <c r="D219" i="34"/>
  <c r="A220" i="34"/>
  <c r="B220" i="34"/>
  <c r="D220" i="34"/>
  <c r="A221" i="34"/>
  <c r="B221" i="34"/>
  <c r="D221" i="34"/>
  <c r="A222" i="34"/>
  <c r="B222" i="34"/>
  <c r="D222" i="34"/>
  <c r="A223" i="34"/>
  <c r="B223" i="34"/>
  <c r="D223" i="34"/>
  <c r="A224" i="34"/>
  <c r="B224" i="34"/>
  <c r="D224" i="34"/>
  <c r="A225" i="34"/>
  <c r="B225" i="34"/>
  <c r="D225" i="34"/>
  <c r="A226" i="34"/>
  <c r="B226" i="34"/>
  <c r="D226" i="34"/>
  <c r="A227" i="34"/>
  <c r="B227" i="34"/>
  <c r="D227" i="34"/>
  <c r="A228" i="34"/>
  <c r="B228" i="34"/>
  <c r="D228" i="34"/>
  <c r="A229" i="34"/>
  <c r="B229" i="34"/>
  <c r="D229" i="34"/>
  <c r="A230" i="34"/>
  <c r="B230" i="34"/>
  <c r="D230" i="34"/>
  <c r="A231" i="34"/>
  <c r="B231" i="34"/>
  <c r="D231" i="34"/>
  <c r="A232" i="34"/>
  <c r="B232" i="34"/>
  <c r="D232" i="34"/>
  <c r="A233" i="34"/>
  <c r="B233" i="34"/>
  <c r="D233" i="34"/>
  <c r="A234" i="34"/>
  <c r="B234" i="34"/>
  <c r="D234" i="34"/>
  <c r="A235" i="34"/>
  <c r="B235" i="34"/>
  <c r="D235" i="34"/>
  <c r="A236" i="34"/>
  <c r="B236" i="34"/>
  <c r="D236" i="34"/>
  <c r="A237" i="34"/>
  <c r="B237" i="34"/>
  <c r="D237" i="34"/>
  <c r="A238" i="34"/>
  <c r="B238" i="34"/>
  <c r="D238" i="34"/>
  <c r="A239" i="34"/>
  <c r="B239" i="34"/>
  <c r="D239" i="34"/>
  <c r="A240" i="34"/>
  <c r="B240" i="34"/>
  <c r="D240" i="34"/>
  <c r="A241" i="34"/>
  <c r="B241" i="34"/>
  <c r="D241" i="34"/>
  <c r="A242" i="34"/>
  <c r="B242" i="34"/>
  <c r="D242" i="34"/>
  <c r="A243" i="34"/>
  <c r="B243" i="34"/>
  <c r="D243" i="34"/>
  <c r="A244" i="34"/>
  <c r="B244" i="34"/>
  <c r="D244" i="34"/>
  <c r="A245" i="34"/>
  <c r="B245" i="34"/>
  <c r="D245" i="34"/>
  <c r="A246" i="34"/>
  <c r="B246" i="34"/>
  <c r="D246" i="34"/>
  <c r="A247" i="34"/>
  <c r="B247" i="34"/>
  <c r="D247" i="34"/>
  <c r="A248" i="34"/>
  <c r="B248" i="34"/>
  <c r="D248" i="34"/>
  <c r="A249" i="34"/>
  <c r="B249" i="34"/>
  <c r="D249" i="34"/>
  <c r="A250" i="34"/>
  <c r="B250" i="34"/>
  <c r="D250" i="34"/>
  <c r="A251" i="34"/>
  <c r="B251" i="34"/>
  <c r="D251" i="34"/>
  <c r="A252" i="34"/>
  <c r="B252" i="34"/>
  <c r="D252" i="34"/>
  <c r="A253" i="34"/>
  <c r="B253" i="34"/>
  <c r="D253" i="34"/>
  <c r="A254" i="34"/>
  <c r="B254" i="34"/>
  <c r="D254" i="34"/>
  <c r="A255" i="34"/>
  <c r="B255" i="34"/>
  <c r="D255" i="34"/>
  <c r="A256" i="34"/>
  <c r="B256" i="34"/>
  <c r="D256" i="34"/>
  <c r="A257" i="34"/>
  <c r="B257" i="34"/>
  <c r="D257" i="34"/>
  <c r="A258" i="34"/>
  <c r="B258" i="34"/>
  <c r="D258" i="34"/>
  <c r="A259" i="34"/>
  <c r="B259" i="34"/>
  <c r="D259" i="34"/>
  <c r="A260" i="34"/>
  <c r="B260" i="34"/>
  <c r="D260" i="34"/>
  <c r="A261" i="34"/>
  <c r="B261" i="34"/>
  <c r="D261" i="34"/>
  <c r="A262" i="34"/>
  <c r="B262" i="34"/>
  <c r="D262" i="34"/>
  <c r="A263" i="34"/>
  <c r="B263" i="34"/>
  <c r="D263" i="34"/>
  <c r="A264" i="34"/>
  <c r="B264" i="34"/>
  <c r="D264" i="34"/>
  <c r="A265" i="34"/>
  <c r="B265" i="34"/>
  <c r="D265" i="34"/>
  <c r="A266" i="34"/>
  <c r="B266" i="34"/>
  <c r="D266" i="34"/>
  <c r="A267" i="34"/>
  <c r="B267" i="34"/>
  <c r="D267" i="34"/>
  <c r="A268" i="34"/>
  <c r="B268" i="34"/>
  <c r="D268" i="34"/>
  <c r="A269" i="34"/>
  <c r="B269" i="34"/>
  <c r="D269" i="34"/>
  <c r="A270" i="34"/>
  <c r="B270" i="34"/>
  <c r="D270" i="34"/>
  <c r="A271" i="34"/>
  <c r="B271" i="34"/>
  <c r="D271" i="34"/>
  <c r="A272" i="34"/>
  <c r="B272" i="34"/>
  <c r="D272" i="34"/>
  <c r="A273" i="34"/>
  <c r="B273" i="34"/>
  <c r="D273" i="34"/>
  <c r="A274" i="34"/>
  <c r="B274" i="34"/>
  <c r="D274" i="34"/>
  <c r="A275" i="34"/>
  <c r="B275" i="34"/>
  <c r="D275" i="34"/>
  <c r="A276" i="34"/>
  <c r="B276" i="34"/>
  <c r="D276" i="34"/>
  <c r="A277" i="34"/>
  <c r="B277" i="34"/>
  <c r="D277" i="34"/>
  <c r="A278" i="34"/>
  <c r="B278" i="34"/>
  <c r="D278" i="34"/>
  <c r="A279" i="34"/>
  <c r="B279" i="34"/>
  <c r="D279" i="34"/>
  <c r="A280" i="34"/>
  <c r="B280" i="34"/>
  <c r="D280" i="34"/>
  <c r="A281" i="34"/>
  <c r="B281" i="34"/>
  <c r="D281" i="34"/>
  <c r="A282" i="34"/>
  <c r="B282" i="34"/>
  <c r="D282" i="34"/>
  <c r="A283" i="34"/>
  <c r="B283" i="34"/>
  <c r="D283" i="34"/>
  <c r="A284" i="34"/>
  <c r="B284" i="34"/>
  <c r="D284" i="34"/>
  <c r="A285" i="34"/>
  <c r="B285" i="34"/>
  <c r="D285" i="34"/>
  <c r="A286" i="34"/>
  <c r="B286" i="34"/>
  <c r="D286" i="34"/>
  <c r="A287" i="34"/>
  <c r="B287" i="34"/>
  <c r="D287" i="34"/>
  <c r="A288" i="34"/>
  <c r="B288" i="34"/>
  <c r="D288" i="34"/>
  <c r="A289" i="34"/>
  <c r="B289" i="34"/>
  <c r="D289" i="34"/>
  <c r="A290" i="34"/>
  <c r="B290" i="34"/>
  <c r="D290" i="34"/>
  <c r="A291" i="34"/>
  <c r="B291" i="34"/>
  <c r="D291" i="34"/>
  <c r="A292" i="34"/>
  <c r="B292" i="34"/>
  <c r="D292" i="34"/>
  <c r="A293" i="34"/>
  <c r="B293" i="34"/>
  <c r="D293" i="34"/>
  <c r="A294" i="34"/>
  <c r="B294" i="34"/>
  <c r="D294" i="34"/>
  <c r="A295" i="34"/>
  <c r="B295" i="34"/>
  <c r="D295" i="34"/>
  <c r="A296" i="34"/>
  <c r="B296" i="34"/>
  <c r="D296" i="34"/>
  <c r="A297" i="34"/>
  <c r="B297" i="34"/>
  <c r="D297" i="34"/>
  <c r="A298" i="34"/>
  <c r="B298" i="34"/>
  <c r="D298" i="34"/>
  <c r="A299" i="34"/>
  <c r="B299" i="34"/>
  <c r="D299" i="34"/>
  <c r="A300" i="34"/>
  <c r="B300" i="34"/>
  <c r="D300" i="34"/>
  <c r="A301" i="34"/>
  <c r="B301" i="34"/>
  <c r="D301" i="34"/>
  <c r="A302" i="34"/>
  <c r="B302" i="34"/>
  <c r="D302" i="34"/>
  <c r="A303" i="34"/>
  <c r="B303" i="34"/>
  <c r="D303" i="34"/>
  <c r="A304" i="34"/>
  <c r="B304" i="34"/>
  <c r="D304" i="34"/>
  <c r="A305" i="34"/>
  <c r="B305" i="34"/>
  <c r="D305" i="34"/>
  <c r="A306" i="34"/>
  <c r="B306" i="34"/>
  <c r="D306" i="34"/>
  <c r="A307" i="34"/>
  <c r="B307" i="34"/>
  <c r="D307" i="34"/>
  <c r="A308" i="34"/>
  <c r="B308" i="34"/>
  <c r="D308" i="34"/>
  <c r="A309" i="34"/>
  <c r="B309" i="34"/>
  <c r="D309" i="34"/>
  <c r="A310" i="34"/>
  <c r="B310" i="34"/>
  <c r="D310" i="34"/>
  <c r="A311" i="34"/>
  <c r="B311" i="34"/>
  <c r="D311" i="34"/>
  <c r="A312" i="34"/>
  <c r="B312" i="34"/>
  <c r="D312" i="34"/>
  <c r="A313" i="34"/>
  <c r="B313" i="34"/>
  <c r="D313" i="34"/>
  <c r="A314" i="34"/>
  <c r="B314" i="34"/>
  <c r="D314" i="34"/>
  <c r="A315" i="34"/>
  <c r="B315" i="34"/>
  <c r="D315" i="34"/>
  <c r="A316" i="34"/>
  <c r="B316" i="34"/>
  <c r="D316" i="34"/>
  <c r="A317" i="34"/>
  <c r="B317" i="34"/>
  <c r="D317" i="34"/>
  <c r="A318" i="34"/>
  <c r="B318" i="34"/>
  <c r="D318" i="34"/>
  <c r="A319" i="34"/>
  <c r="B319" i="34"/>
  <c r="D319" i="34"/>
  <c r="A320" i="34"/>
  <c r="B320" i="34"/>
  <c r="D320" i="34"/>
  <c r="A321" i="34"/>
  <c r="B321" i="34"/>
  <c r="D321" i="34"/>
  <c r="A322" i="34"/>
  <c r="B322" i="34"/>
  <c r="D322" i="34"/>
  <c r="A323" i="34"/>
  <c r="B323" i="34"/>
  <c r="D323" i="34"/>
  <c r="A324" i="34"/>
  <c r="B324" i="34"/>
  <c r="D324" i="34"/>
  <c r="A6" i="37"/>
  <c r="B6" i="37"/>
  <c r="C6" i="37"/>
  <c r="G6" i="37"/>
  <c r="A7" i="37"/>
  <c r="B7" i="37"/>
  <c r="C7" i="37"/>
  <c r="G7" i="37"/>
  <c r="A8" i="37"/>
  <c r="B8" i="37"/>
  <c r="C8" i="37"/>
  <c r="G8" i="37"/>
  <c r="A9" i="37"/>
  <c r="B9" i="37"/>
  <c r="C9" i="37"/>
  <c r="G9" i="37"/>
  <c r="A10" i="37"/>
  <c r="B10" i="37"/>
  <c r="C10" i="37"/>
  <c r="G10" i="37"/>
  <c r="A11" i="37"/>
  <c r="B11" i="37"/>
  <c r="C11" i="37"/>
  <c r="G11" i="37"/>
  <c r="A12" i="37"/>
  <c r="B12" i="37"/>
  <c r="C12" i="37"/>
  <c r="G12" i="37"/>
  <c r="A13" i="37"/>
  <c r="B13" i="37"/>
  <c r="C13" i="37"/>
  <c r="G13" i="37"/>
  <c r="A14" i="37"/>
  <c r="B14" i="37"/>
  <c r="C14" i="37"/>
  <c r="G14" i="37"/>
  <c r="A15" i="37"/>
  <c r="B15" i="37"/>
  <c r="C15" i="37"/>
  <c r="G15" i="37"/>
  <c r="A16" i="37"/>
  <c r="B16" i="37"/>
  <c r="C16" i="37"/>
  <c r="G16" i="37"/>
  <c r="A17" i="37"/>
  <c r="B17" i="37"/>
  <c r="C17" i="37"/>
  <c r="G17" i="37"/>
  <c r="A18" i="37"/>
  <c r="B18" i="37"/>
  <c r="C18" i="37"/>
  <c r="G18" i="37"/>
  <c r="A19" i="37"/>
  <c r="B19" i="37"/>
  <c r="C19" i="37"/>
  <c r="G19" i="37"/>
  <c r="A20" i="37"/>
  <c r="B20" i="37"/>
  <c r="C20" i="37"/>
  <c r="G20" i="37"/>
  <c r="A21" i="37"/>
  <c r="B21" i="37"/>
  <c r="C21" i="37"/>
  <c r="G21" i="37"/>
  <c r="A22" i="37"/>
  <c r="B22" i="37"/>
  <c r="C22" i="37"/>
  <c r="G22" i="37"/>
  <c r="A23" i="37"/>
  <c r="B23" i="37"/>
  <c r="C23" i="37"/>
  <c r="G23" i="37"/>
  <c r="A24" i="37"/>
  <c r="B24" i="37"/>
  <c r="C24" i="37"/>
  <c r="G24" i="37"/>
  <c r="A25" i="37"/>
  <c r="B25" i="37"/>
  <c r="C25" i="37"/>
  <c r="G25" i="37"/>
  <c r="A26" i="37"/>
  <c r="B26" i="37"/>
  <c r="C26" i="37"/>
  <c r="G26" i="37"/>
  <c r="A27" i="37"/>
  <c r="B27" i="37"/>
  <c r="C27" i="37"/>
  <c r="G27" i="37"/>
  <c r="A28" i="37"/>
  <c r="B28" i="37"/>
  <c r="C28" i="37"/>
  <c r="G28" i="37"/>
  <c r="A29" i="37"/>
  <c r="B29" i="37"/>
  <c r="C29" i="37"/>
  <c r="G29" i="37"/>
  <c r="A30" i="37"/>
  <c r="B30" i="37"/>
  <c r="C30" i="37"/>
  <c r="G30" i="37"/>
  <c r="A31" i="37"/>
  <c r="B31" i="37"/>
  <c r="C31" i="37"/>
  <c r="G31" i="37"/>
  <c r="A32" i="37"/>
  <c r="B32" i="37"/>
  <c r="C32" i="37"/>
  <c r="G32" i="37"/>
  <c r="A33" i="37"/>
  <c r="B33" i="37"/>
  <c r="C33" i="37"/>
  <c r="G33" i="37"/>
  <c r="A34" i="37"/>
  <c r="B34" i="37"/>
  <c r="C34" i="37"/>
  <c r="G34" i="37"/>
  <c r="A35" i="37"/>
  <c r="B35" i="37"/>
  <c r="C35" i="37"/>
  <c r="G35" i="37"/>
  <c r="A36" i="37"/>
  <c r="B36" i="37"/>
  <c r="C36" i="37"/>
  <c r="G36" i="37"/>
  <c r="A37" i="37"/>
  <c r="B37" i="37"/>
  <c r="C37" i="37"/>
  <c r="G37" i="37"/>
  <c r="A38" i="37"/>
  <c r="B38" i="37"/>
  <c r="C38" i="37"/>
  <c r="G38" i="37"/>
  <c r="A39" i="37"/>
  <c r="B39" i="37"/>
  <c r="C39" i="37"/>
  <c r="G39" i="37"/>
  <c r="A40" i="37"/>
  <c r="B40" i="37"/>
  <c r="C40" i="37"/>
  <c r="G40" i="37"/>
  <c r="A41" i="37"/>
  <c r="B41" i="37"/>
  <c r="C41" i="37"/>
  <c r="G41" i="37"/>
  <c r="A42" i="37"/>
  <c r="B42" i="37"/>
  <c r="C42" i="37"/>
  <c r="G42" i="37"/>
  <c r="A43" i="37"/>
  <c r="B43" i="37"/>
  <c r="C43" i="37"/>
  <c r="G43" i="37"/>
  <c r="A44" i="37"/>
  <c r="B44" i="37"/>
  <c r="C44" i="37"/>
  <c r="G44" i="37"/>
  <c r="A45" i="37"/>
  <c r="B45" i="37"/>
  <c r="C45" i="37"/>
  <c r="G45" i="37"/>
  <c r="A46" i="37"/>
  <c r="B46" i="37"/>
  <c r="C46" i="37"/>
  <c r="G46" i="37"/>
  <c r="A47" i="37"/>
  <c r="B47" i="37"/>
  <c r="C47" i="37"/>
  <c r="G47" i="37"/>
  <c r="A48" i="37"/>
  <c r="B48" i="37"/>
  <c r="C48" i="37"/>
  <c r="G48" i="37"/>
  <c r="A49" i="37"/>
  <c r="B49" i="37"/>
  <c r="C49" i="37"/>
  <c r="G49" i="37"/>
  <c r="A50" i="37"/>
  <c r="B50" i="37"/>
  <c r="C50" i="37"/>
  <c r="G50" i="37"/>
  <c r="A51" i="37"/>
  <c r="B51" i="37"/>
  <c r="C51" i="37"/>
  <c r="G51" i="37"/>
  <c r="A52" i="37"/>
  <c r="B52" i="37"/>
  <c r="C52" i="37"/>
  <c r="G52" i="37"/>
  <c r="A53" i="37"/>
  <c r="B53" i="37"/>
  <c r="C53" i="37"/>
  <c r="G53" i="37"/>
  <c r="A54" i="37"/>
  <c r="B54" i="37"/>
  <c r="C54" i="37"/>
  <c r="G54" i="37"/>
  <c r="A55" i="37"/>
  <c r="B55" i="37"/>
  <c r="C55" i="37"/>
  <c r="G55" i="37"/>
  <c r="A56" i="37"/>
  <c r="B56" i="37"/>
  <c r="C56" i="37"/>
  <c r="G56" i="37"/>
  <c r="A57" i="37"/>
  <c r="B57" i="37"/>
  <c r="C57" i="37"/>
  <c r="G57" i="37"/>
  <c r="A58" i="37"/>
  <c r="B58" i="37"/>
  <c r="C58" i="37"/>
  <c r="G58" i="37"/>
  <c r="A59" i="37"/>
  <c r="B59" i="37"/>
  <c r="C59" i="37"/>
  <c r="G59" i="37"/>
  <c r="A60" i="37"/>
  <c r="B60" i="37"/>
  <c r="C60" i="37"/>
  <c r="G60" i="37"/>
  <c r="A61" i="37"/>
  <c r="B61" i="37"/>
  <c r="C61" i="37"/>
  <c r="G61" i="37"/>
  <c r="A62" i="37"/>
  <c r="B62" i="37"/>
  <c r="C62" i="37"/>
  <c r="G62" i="37"/>
  <c r="A63" i="37"/>
  <c r="B63" i="37"/>
  <c r="C63" i="37"/>
  <c r="G63" i="37"/>
  <c r="A64" i="37"/>
  <c r="B64" i="37"/>
  <c r="C64" i="37"/>
  <c r="G64" i="37"/>
  <c r="A65" i="37"/>
  <c r="B65" i="37"/>
  <c r="C65" i="37"/>
  <c r="G65" i="37"/>
  <c r="A66" i="37"/>
  <c r="B66" i="37"/>
  <c r="C66" i="37"/>
  <c r="G66" i="37"/>
  <c r="A67" i="37"/>
  <c r="B67" i="37"/>
  <c r="C67" i="37"/>
  <c r="G67" i="37"/>
  <c r="A68" i="37"/>
  <c r="B68" i="37"/>
  <c r="C68" i="37"/>
  <c r="G68" i="37"/>
  <c r="A69" i="37"/>
  <c r="B69" i="37"/>
  <c r="C69" i="37"/>
  <c r="G69" i="37"/>
  <c r="A70" i="37"/>
  <c r="B70" i="37"/>
  <c r="C70" i="37"/>
  <c r="G70" i="37"/>
  <c r="A71" i="37"/>
  <c r="B71" i="37"/>
  <c r="C71" i="37"/>
  <c r="G71" i="37"/>
  <c r="A72" i="37"/>
  <c r="B72" i="37"/>
  <c r="C72" i="37"/>
  <c r="G72" i="37"/>
  <c r="A73" i="37"/>
  <c r="B73" i="37"/>
  <c r="C73" i="37"/>
  <c r="G73" i="37"/>
  <c r="A74" i="37"/>
  <c r="B74" i="37"/>
  <c r="C74" i="37"/>
  <c r="G74" i="37"/>
  <c r="A75" i="37"/>
  <c r="B75" i="37"/>
  <c r="C75" i="37"/>
  <c r="G75" i="37"/>
  <c r="A76" i="37"/>
  <c r="B76" i="37"/>
  <c r="C76" i="37"/>
  <c r="G76" i="37"/>
  <c r="A77" i="37"/>
  <c r="B77" i="37"/>
  <c r="C77" i="37"/>
  <c r="G77" i="37"/>
  <c r="A78" i="37"/>
  <c r="B78" i="37"/>
  <c r="C78" i="37"/>
  <c r="G78" i="37"/>
  <c r="A79" i="37"/>
  <c r="B79" i="37"/>
  <c r="C79" i="37"/>
  <c r="G79" i="37"/>
  <c r="A80" i="37"/>
  <c r="B80" i="37"/>
  <c r="C80" i="37"/>
  <c r="G80" i="37"/>
  <c r="A81" i="37"/>
  <c r="B81" i="37"/>
  <c r="C81" i="37"/>
  <c r="G81" i="37"/>
  <c r="A82" i="37"/>
  <c r="B82" i="37"/>
  <c r="C82" i="37"/>
  <c r="G82" i="37"/>
  <c r="A83" i="37"/>
  <c r="B83" i="37"/>
  <c r="C83" i="37"/>
  <c r="G83" i="37"/>
  <c r="A84" i="37"/>
  <c r="B84" i="37"/>
  <c r="C84" i="37"/>
  <c r="G84" i="37"/>
  <c r="A85" i="37"/>
  <c r="B85" i="37"/>
  <c r="C85" i="37"/>
  <c r="G85" i="37"/>
  <c r="A86" i="37"/>
  <c r="B86" i="37"/>
  <c r="C86" i="37"/>
  <c r="G86" i="37"/>
  <c r="A87" i="37"/>
  <c r="B87" i="37"/>
  <c r="C87" i="37"/>
  <c r="G87" i="37"/>
  <c r="A88" i="37"/>
  <c r="B88" i="37"/>
  <c r="C88" i="37"/>
  <c r="G88" i="37"/>
  <c r="A89" i="37"/>
  <c r="B89" i="37"/>
  <c r="C89" i="37"/>
  <c r="G89" i="37"/>
  <c r="A90" i="37"/>
  <c r="B90" i="37"/>
  <c r="C90" i="37"/>
  <c r="G90" i="37"/>
  <c r="A91" i="37"/>
  <c r="B91" i="37"/>
  <c r="C91" i="37"/>
  <c r="G91" i="37"/>
  <c r="A92" i="37"/>
  <c r="B92" i="37"/>
  <c r="C92" i="37"/>
  <c r="G92" i="37"/>
  <c r="A93" i="37"/>
  <c r="B93" i="37"/>
  <c r="C93" i="37"/>
  <c r="G93" i="37"/>
  <c r="A94" i="37"/>
  <c r="B94" i="37"/>
  <c r="C94" i="37"/>
  <c r="G94" i="37"/>
  <c r="A95" i="37"/>
  <c r="B95" i="37"/>
  <c r="C95" i="37"/>
  <c r="G95" i="37"/>
  <c r="A96" i="37"/>
  <c r="B96" i="37"/>
  <c r="C96" i="37"/>
  <c r="G96" i="37"/>
  <c r="A97" i="37"/>
  <c r="B97" i="37"/>
  <c r="C97" i="37"/>
  <c r="G97" i="37"/>
  <c r="A98" i="37"/>
  <c r="B98" i="37"/>
  <c r="C98" i="37"/>
  <c r="G98" i="37"/>
  <c r="A99" i="37"/>
  <c r="B99" i="37"/>
  <c r="C99" i="37"/>
  <c r="G99" i="37"/>
  <c r="A100" i="37"/>
  <c r="B100" i="37"/>
  <c r="C100" i="37"/>
  <c r="G100" i="37"/>
  <c r="A101" i="37"/>
  <c r="B101" i="37"/>
  <c r="C101" i="37"/>
  <c r="G101" i="37"/>
  <c r="A102" i="37"/>
  <c r="B102" i="37"/>
  <c r="C102" i="37"/>
  <c r="G102" i="37"/>
  <c r="A103" i="37"/>
  <c r="B103" i="37"/>
  <c r="C103" i="37"/>
  <c r="G103" i="37"/>
  <c r="A104" i="37"/>
  <c r="B104" i="37"/>
  <c r="C104" i="37"/>
  <c r="G104" i="37"/>
  <c r="A105" i="37"/>
  <c r="B105" i="37"/>
  <c r="C105" i="37"/>
  <c r="G105" i="37"/>
  <c r="A106" i="37"/>
  <c r="B106" i="37"/>
  <c r="C106" i="37"/>
  <c r="G106" i="37"/>
  <c r="A107" i="37"/>
  <c r="B107" i="37"/>
  <c r="C107" i="37"/>
  <c r="G107" i="37"/>
  <c r="A108" i="37"/>
  <c r="B108" i="37"/>
  <c r="C108" i="37"/>
  <c r="G108" i="37"/>
  <c r="A109" i="37"/>
  <c r="B109" i="37"/>
  <c r="C109" i="37"/>
  <c r="G109" i="37"/>
  <c r="A110" i="37"/>
  <c r="B110" i="37"/>
  <c r="C110" i="37"/>
  <c r="G110" i="37"/>
  <c r="A111" i="37"/>
  <c r="B111" i="37"/>
  <c r="C111" i="37"/>
  <c r="G111" i="37"/>
  <c r="A112" i="37"/>
  <c r="B112" i="37"/>
  <c r="C112" i="37"/>
  <c r="G112" i="37"/>
  <c r="A113" i="37"/>
  <c r="B113" i="37"/>
  <c r="C113" i="37"/>
  <c r="G113" i="37"/>
  <c r="A114" i="37"/>
  <c r="B114" i="37"/>
  <c r="C114" i="37"/>
  <c r="G114" i="37"/>
  <c r="A115" i="37"/>
  <c r="B115" i="37"/>
  <c r="C115" i="37"/>
  <c r="G115" i="37"/>
  <c r="A116" i="37"/>
  <c r="B116" i="37"/>
  <c r="C116" i="37"/>
  <c r="G116" i="37"/>
  <c r="A117" i="37"/>
  <c r="B117" i="37"/>
  <c r="C117" i="37"/>
  <c r="G117" i="37"/>
  <c r="A118" i="37"/>
  <c r="B118" i="37"/>
  <c r="C118" i="37"/>
  <c r="G118" i="37"/>
  <c r="A119" i="37"/>
  <c r="B119" i="37"/>
  <c r="C119" i="37"/>
  <c r="G119" i="37"/>
  <c r="A120" i="37"/>
  <c r="B120" i="37"/>
  <c r="C120" i="37"/>
  <c r="G120" i="37"/>
  <c r="A121" i="37"/>
  <c r="B121" i="37"/>
  <c r="C121" i="37"/>
  <c r="G121" i="37"/>
  <c r="A122" i="37"/>
  <c r="B122" i="37"/>
  <c r="C122" i="37"/>
  <c r="G122" i="37"/>
  <c r="A123" i="37"/>
  <c r="B123" i="37"/>
  <c r="C123" i="37"/>
  <c r="G123" i="37"/>
  <c r="A124" i="37"/>
  <c r="B124" i="37"/>
  <c r="C124" i="37"/>
  <c r="G124" i="37"/>
  <c r="A125" i="37"/>
  <c r="B125" i="37"/>
  <c r="C125" i="37"/>
  <c r="G125" i="37"/>
  <c r="A126" i="37"/>
  <c r="B126" i="37"/>
  <c r="C126" i="37"/>
  <c r="G126" i="37"/>
  <c r="A127" i="37"/>
  <c r="B127" i="37"/>
  <c r="C127" i="37"/>
  <c r="G127" i="37"/>
  <c r="A128" i="37"/>
  <c r="B128" i="37"/>
  <c r="C128" i="37"/>
  <c r="G128" i="37"/>
  <c r="A129" i="37"/>
  <c r="B129" i="37"/>
  <c r="C129" i="37"/>
  <c r="G129" i="37"/>
  <c r="A130" i="37"/>
  <c r="B130" i="37"/>
  <c r="C130" i="37"/>
  <c r="G130" i="37"/>
  <c r="A131" i="37"/>
  <c r="B131" i="37"/>
  <c r="C131" i="37"/>
  <c r="G131" i="37"/>
  <c r="A132" i="37"/>
  <c r="B132" i="37"/>
  <c r="C132" i="37"/>
  <c r="G132" i="37"/>
  <c r="A133" i="37"/>
  <c r="B133" i="37"/>
  <c r="C133" i="37"/>
  <c r="G133" i="37"/>
  <c r="A134" i="37"/>
  <c r="B134" i="37"/>
  <c r="C134" i="37"/>
  <c r="G134" i="37"/>
  <c r="A135" i="37"/>
  <c r="B135" i="37"/>
  <c r="C135" i="37"/>
  <c r="G135" i="37"/>
  <c r="A136" i="37"/>
  <c r="B136" i="37"/>
  <c r="C136" i="37"/>
  <c r="G136" i="37"/>
  <c r="A137" i="37"/>
  <c r="B137" i="37"/>
  <c r="C137" i="37"/>
  <c r="G137" i="37"/>
  <c r="A138" i="37"/>
  <c r="B138" i="37"/>
  <c r="C138" i="37"/>
  <c r="G138" i="37"/>
  <c r="A139" i="37"/>
  <c r="B139" i="37"/>
  <c r="C139" i="37"/>
  <c r="G139" i="37"/>
  <c r="A140" i="37"/>
  <c r="B140" i="37"/>
  <c r="C140" i="37"/>
  <c r="G140" i="37"/>
  <c r="A141" i="37"/>
  <c r="B141" i="37"/>
  <c r="C141" i="37"/>
  <c r="G141" i="37"/>
  <c r="A142" i="37"/>
  <c r="B142" i="37"/>
  <c r="C142" i="37"/>
  <c r="G142" i="37"/>
  <c r="A143" i="37"/>
  <c r="B143" i="37"/>
  <c r="C143" i="37"/>
  <c r="G143" i="37"/>
  <c r="A144" i="37"/>
  <c r="B144" i="37"/>
  <c r="C144" i="37"/>
  <c r="G144" i="37"/>
  <c r="A145" i="37"/>
  <c r="B145" i="37"/>
  <c r="C145" i="37"/>
  <c r="G145" i="37"/>
  <c r="A146" i="37"/>
  <c r="B146" i="37"/>
  <c r="C146" i="37"/>
  <c r="G146" i="37"/>
  <c r="A147" i="37"/>
  <c r="B147" i="37"/>
  <c r="C147" i="37"/>
  <c r="G147" i="37"/>
  <c r="A148" i="37"/>
  <c r="B148" i="37"/>
  <c r="C148" i="37"/>
  <c r="G148" i="37"/>
  <c r="A149" i="37"/>
  <c r="B149" i="37"/>
  <c r="C149" i="37"/>
  <c r="G149" i="37"/>
  <c r="A150" i="37"/>
  <c r="B150" i="37"/>
  <c r="C150" i="37"/>
  <c r="G150" i="37"/>
  <c r="A151" i="37"/>
  <c r="B151" i="37"/>
  <c r="C151" i="37"/>
  <c r="G151" i="37"/>
  <c r="A152" i="37"/>
  <c r="B152" i="37"/>
  <c r="C152" i="37"/>
  <c r="G152" i="37"/>
  <c r="A153" i="37"/>
  <c r="B153" i="37"/>
  <c r="C153" i="37"/>
  <c r="G153" i="37"/>
  <c r="A154" i="37"/>
  <c r="B154" i="37"/>
  <c r="C154" i="37"/>
  <c r="G154" i="37"/>
  <c r="A155" i="37"/>
  <c r="B155" i="37"/>
  <c r="C155" i="37"/>
  <c r="G155" i="37"/>
  <c r="A156" i="37"/>
  <c r="B156" i="37"/>
  <c r="C156" i="37"/>
  <c r="G156" i="37"/>
  <c r="A157" i="37"/>
  <c r="B157" i="37"/>
  <c r="C157" i="37"/>
  <c r="G157" i="37"/>
  <c r="A158" i="37"/>
  <c r="B158" i="37"/>
  <c r="C158" i="37"/>
  <c r="G158" i="37"/>
  <c r="A159" i="37"/>
  <c r="B159" i="37"/>
  <c r="C159" i="37"/>
  <c r="G159" i="37"/>
  <c r="A160" i="37"/>
  <c r="B160" i="37"/>
  <c r="C160" i="37"/>
  <c r="G160" i="37"/>
  <c r="A161" i="37"/>
  <c r="B161" i="37"/>
  <c r="C161" i="37"/>
  <c r="G161" i="37"/>
  <c r="A162" i="37"/>
  <c r="B162" i="37"/>
  <c r="C162" i="37"/>
  <c r="G162" i="37"/>
  <c r="A163" i="37"/>
  <c r="B163" i="37"/>
  <c r="C163" i="37"/>
  <c r="G163" i="37"/>
  <c r="A164" i="37"/>
  <c r="B164" i="37"/>
  <c r="C164" i="37"/>
  <c r="G164" i="37"/>
  <c r="A165" i="37"/>
  <c r="B165" i="37"/>
  <c r="C165" i="37"/>
  <c r="G165" i="37"/>
  <c r="A166" i="37"/>
  <c r="B166" i="37"/>
  <c r="C166" i="37"/>
  <c r="G166" i="37"/>
  <c r="A167" i="37"/>
  <c r="B167" i="37"/>
  <c r="C167" i="37"/>
  <c r="G167" i="37"/>
  <c r="A168" i="37"/>
  <c r="B168" i="37"/>
  <c r="C168" i="37"/>
  <c r="G168" i="37"/>
  <c r="A169" i="37"/>
  <c r="B169" i="37"/>
  <c r="C169" i="37"/>
  <c r="G169" i="37"/>
  <c r="A170" i="37"/>
  <c r="B170" i="37"/>
  <c r="C170" i="37"/>
  <c r="G170" i="37"/>
  <c r="A171" i="37"/>
  <c r="B171" i="37"/>
  <c r="C171" i="37"/>
  <c r="G171" i="37"/>
  <c r="A172" i="37"/>
  <c r="B172" i="37"/>
  <c r="C172" i="37"/>
  <c r="G172" i="37"/>
  <c r="A173" i="37"/>
  <c r="B173" i="37"/>
  <c r="C173" i="37"/>
  <c r="G173" i="37"/>
  <c r="A174" i="37"/>
  <c r="B174" i="37"/>
  <c r="C174" i="37"/>
  <c r="G174" i="37"/>
  <c r="A175" i="37"/>
  <c r="B175" i="37"/>
  <c r="C175" i="37"/>
  <c r="G175" i="37"/>
  <c r="A176" i="37"/>
  <c r="B176" i="37"/>
  <c r="C176" i="37"/>
  <c r="G176" i="37"/>
  <c r="A177" i="37"/>
  <c r="B177" i="37"/>
  <c r="C177" i="37"/>
  <c r="G177" i="37"/>
  <c r="A178" i="37"/>
  <c r="B178" i="37"/>
  <c r="C178" i="37"/>
  <c r="G178" i="37"/>
  <c r="A179" i="37"/>
  <c r="B179" i="37"/>
  <c r="C179" i="37"/>
  <c r="G179" i="37"/>
  <c r="A180" i="37"/>
  <c r="B180" i="37"/>
  <c r="C180" i="37"/>
  <c r="G180" i="37"/>
  <c r="A181" i="37"/>
  <c r="B181" i="37"/>
  <c r="C181" i="37"/>
  <c r="G181" i="37"/>
  <c r="A182" i="37"/>
  <c r="B182" i="37"/>
  <c r="C182" i="37"/>
  <c r="G182" i="37"/>
  <c r="A183" i="37"/>
  <c r="B183" i="37"/>
  <c r="C183" i="37"/>
  <c r="G183" i="37"/>
  <c r="A184" i="37"/>
  <c r="B184" i="37"/>
  <c r="C184" i="37"/>
  <c r="G184" i="37"/>
  <c r="A185" i="37"/>
  <c r="B185" i="37"/>
  <c r="C185" i="37"/>
  <c r="G185" i="37"/>
  <c r="A186" i="37"/>
  <c r="B186" i="37"/>
  <c r="C186" i="37"/>
  <c r="G186" i="37"/>
  <c r="A187" i="37"/>
  <c r="B187" i="37"/>
  <c r="C187" i="37"/>
  <c r="G187" i="37"/>
  <c r="A188" i="37"/>
  <c r="B188" i="37"/>
  <c r="C188" i="37"/>
  <c r="G188" i="37"/>
  <c r="A189" i="37"/>
  <c r="B189" i="37"/>
  <c r="C189" i="37"/>
  <c r="G189" i="37"/>
  <c r="A190" i="37"/>
  <c r="B190" i="37"/>
  <c r="C190" i="37"/>
  <c r="G190" i="37"/>
  <c r="A191" i="37"/>
  <c r="B191" i="37"/>
  <c r="C191" i="37"/>
  <c r="G191" i="37"/>
  <c r="A192" i="37"/>
  <c r="B192" i="37"/>
  <c r="C192" i="37"/>
  <c r="G192" i="37"/>
  <c r="A193" i="37"/>
  <c r="B193" i="37"/>
  <c r="C193" i="37"/>
  <c r="G193" i="37"/>
  <c r="A194" i="37"/>
  <c r="B194" i="37"/>
  <c r="C194" i="37"/>
  <c r="G194" i="37"/>
  <c r="A195" i="37"/>
  <c r="B195" i="37"/>
  <c r="C195" i="37"/>
  <c r="G195" i="37"/>
  <c r="A196" i="37"/>
  <c r="B196" i="37"/>
  <c r="C196" i="37"/>
  <c r="G196" i="37"/>
  <c r="A197" i="37"/>
  <c r="B197" i="37"/>
  <c r="C197" i="37"/>
  <c r="G197" i="37"/>
  <c r="A198" i="37"/>
  <c r="B198" i="37"/>
  <c r="C198" i="37"/>
  <c r="G198" i="37"/>
  <c r="A199" i="37"/>
  <c r="B199" i="37"/>
  <c r="C199" i="37"/>
  <c r="G199" i="37"/>
  <c r="A200" i="37"/>
  <c r="B200" i="37"/>
  <c r="C200" i="37"/>
  <c r="G200" i="37"/>
  <c r="A201" i="37"/>
  <c r="B201" i="37"/>
  <c r="C201" i="37"/>
  <c r="G201" i="37"/>
  <c r="A202" i="37"/>
  <c r="B202" i="37"/>
  <c r="C202" i="37"/>
  <c r="G202" i="37"/>
  <c r="A203" i="37"/>
  <c r="B203" i="37"/>
  <c r="C203" i="37"/>
  <c r="G203" i="37"/>
  <c r="A204" i="37"/>
  <c r="B204" i="37"/>
  <c r="C204" i="37"/>
  <c r="G204" i="37"/>
  <c r="A205" i="37"/>
  <c r="B205" i="37"/>
  <c r="C205" i="37"/>
  <c r="G205" i="37"/>
  <c r="A206" i="37"/>
  <c r="B206" i="37"/>
  <c r="C206" i="37"/>
  <c r="G206" i="37"/>
  <c r="A207" i="37"/>
  <c r="B207" i="37"/>
  <c r="C207" i="37"/>
  <c r="G207" i="37"/>
  <c r="A208" i="37"/>
  <c r="B208" i="37"/>
  <c r="C208" i="37"/>
  <c r="G208" i="37"/>
  <c r="A209" i="37"/>
  <c r="B209" i="37"/>
  <c r="C209" i="37"/>
  <c r="G209" i="37"/>
  <c r="A210" i="37"/>
  <c r="B210" i="37"/>
  <c r="C210" i="37"/>
  <c r="G210" i="37"/>
  <c r="A211" i="37"/>
  <c r="B211" i="37"/>
  <c r="C211" i="37"/>
  <c r="G211" i="37"/>
  <c r="A212" i="37"/>
  <c r="B212" i="37"/>
  <c r="C212" i="37"/>
  <c r="G212" i="37"/>
  <c r="A213" i="37"/>
  <c r="B213" i="37"/>
  <c r="C213" i="37"/>
  <c r="G213" i="37"/>
  <c r="A214" i="37"/>
  <c r="B214" i="37"/>
  <c r="C214" i="37"/>
  <c r="G214" i="37"/>
  <c r="A215" i="37"/>
  <c r="B215" i="37"/>
  <c r="C215" i="37"/>
  <c r="G215" i="37"/>
  <c r="A216" i="37"/>
  <c r="B216" i="37"/>
  <c r="C216" i="37"/>
  <c r="G216" i="37"/>
  <c r="A217" i="37"/>
  <c r="B217" i="37"/>
  <c r="C217" i="37"/>
  <c r="G217" i="37"/>
  <c r="A218" i="37"/>
  <c r="B218" i="37"/>
  <c r="C218" i="37"/>
  <c r="G218" i="37"/>
  <c r="A219" i="37"/>
  <c r="B219" i="37"/>
  <c r="C219" i="37"/>
  <c r="G219" i="37"/>
  <c r="A220" i="37"/>
  <c r="B220" i="37"/>
  <c r="C220" i="37"/>
  <c r="G220" i="37"/>
  <c r="A221" i="37"/>
  <c r="B221" i="37"/>
  <c r="C221" i="37"/>
  <c r="G221" i="37"/>
  <c r="A222" i="37"/>
  <c r="B222" i="37"/>
  <c r="C222" i="37"/>
  <c r="G222" i="37"/>
  <c r="A223" i="37"/>
  <c r="B223" i="37"/>
  <c r="C223" i="37"/>
  <c r="G223" i="37"/>
  <c r="A224" i="37"/>
  <c r="B224" i="37"/>
  <c r="C224" i="37"/>
  <c r="G224" i="37"/>
  <c r="A225" i="37"/>
  <c r="B225" i="37"/>
  <c r="C225" i="37"/>
  <c r="G225" i="37"/>
  <c r="A226" i="37"/>
  <c r="B226" i="37"/>
  <c r="C226" i="37"/>
  <c r="G226" i="37"/>
  <c r="A227" i="37"/>
  <c r="B227" i="37"/>
  <c r="C227" i="37"/>
  <c r="G227" i="37"/>
  <c r="A228" i="37"/>
  <c r="B228" i="37"/>
  <c r="C228" i="37"/>
  <c r="G228" i="37"/>
  <c r="A229" i="37"/>
  <c r="B229" i="37"/>
  <c r="C229" i="37"/>
  <c r="G229" i="37"/>
  <c r="A230" i="37"/>
  <c r="B230" i="37"/>
  <c r="C230" i="37"/>
  <c r="G230" i="37"/>
  <c r="A231" i="37"/>
  <c r="B231" i="37"/>
  <c r="C231" i="37"/>
  <c r="G231" i="37"/>
  <c r="A232" i="37"/>
  <c r="B232" i="37"/>
  <c r="C232" i="37"/>
  <c r="G232" i="37"/>
  <c r="A233" i="37"/>
  <c r="B233" i="37"/>
  <c r="C233" i="37"/>
  <c r="G233" i="37"/>
  <c r="A234" i="37"/>
  <c r="B234" i="37"/>
  <c r="C234" i="37"/>
  <c r="G234" i="37"/>
  <c r="A235" i="37"/>
  <c r="B235" i="37"/>
  <c r="C235" i="37"/>
  <c r="G235" i="37"/>
  <c r="A236" i="37"/>
  <c r="B236" i="37"/>
  <c r="C236" i="37"/>
  <c r="G236" i="37"/>
  <c r="A237" i="37"/>
  <c r="B237" i="37"/>
  <c r="C237" i="37"/>
  <c r="G237" i="37"/>
  <c r="A238" i="37"/>
  <c r="B238" i="37"/>
  <c r="C238" i="37"/>
  <c r="G238" i="37"/>
  <c r="A239" i="37"/>
  <c r="B239" i="37"/>
  <c r="C239" i="37"/>
  <c r="G239" i="37"/>
  <c r="A240" i="37"/>
  <c r="B240" i="37"/>
  <c r="C240" i="37"/>
  <c r="G240" i="37"/>
  <c r="A241" i="37"/>
  <c r="B241" i="37"/>
  <c r="C241" i="37"/>
  <c r="G241" i="37"/>
  <c r="A242" i="37"/>
  <c r="B242" i="37"/>
  <c r="C242" i="37"/>
  <c r="G242" i="37"/>
  <c r="A243" i="37"/>
  <c r="B243" i="37"/>
  <c r="C243" i="37"/>
  <c r="G243" i="37"/>
  <c r="A244" i="37"/>
  <c r="B244" i="37"/>
  <c r="C244" i="37"/>
  <c r="G244" i="37"/>
  <c r="A245" i="37"/>
  <c r="B245" i="37"/>
  <c r="C245" i="37"/>
  <c r="G245" i="37"/>
  <c r="A246" i="37"/>
  <c r="B246" i="37"/>
  <c r="C246" i="37"/>
  <c r="G246" i="37"/>
  <c r="A247" i="37"/>
  <c r="B247" i="37"/>
  <c r="C247" i="37"/>
  <c r="G247" i="37"/>
  <c r="A248" i="37"/>
  <c r="B248" i="37"/>
  <c r="C248" i="37"/>
  <c r="G248" i="37"/>
  <c r="A249" i="37"/>
  <c r="B249" i="37"/>
  <c r="C249" i="37"/>
  <c r="G249" i="37"/>
  <c r="A250" i="37"/>
  <c r="B250" i="37"/>
  <c r="C250" i="37"/>
  <c r="G250" i="37"/>
  <c r="A251" i="37"/>
  <c r="B251" i="37"/>
  <c r="C251" i="37"/>
  <c r="G251" i="37"/>
  <c r="A252" i="37"/>
  <c r="B252" i="37"/>
  <c r="C252" i="37"/>
  <c r="G252" i="37"/>
  <c r="A253" i="37"/>
  <c r="B253" i="37"/>
  <c r="C253" i="37"/>
  <c r="G253" i="37"/>
  <c r="A254" i="37"/>
  <c r="B254" i="37"/>
  <c r="C254" i="37"/>
  <c r="G254" i="37"/>
  <c r="A255" i="37"/>
  <c r="B255" i="37"/>
  <c r="C255" i="37"/>
  <c r="G255" i="37"/>
  <c r="A256" i="37"/>
  <c r="B256" i="37"/>
  <c r="C256" i="37"/>
  <c r="G256" i="37"/>
  <c r="A257" i="37"/>
  <c r="B257" i="37"/>
  <c r="C257" i="37"/>
  <c r="G257" i="37"/>
  <c r="A258" i="37"/>
  <c r="B258" i="37"/>
  <c r="C258" i="37"/>
  <c r="G258" i="37"/>
  <c r="A259" i="37"/>
  <c r="B259" i="37"/>
  <c r="C259" i="37"/>
  <c r="G259" i="37"/>
  <c r="A260" i="37"/>
  <c r="B260" i="37"/>
  <c r="C260" i="37"/>
  <c r="G260" i="37"/>
  <c r="A261" i="37"/>
  <c r="B261" i="37"/>
  <c r="C261" i="37"/>
  <c r="G261" i="37"/>
  <c r="A262" i="37"/>
  <c r="B262" i="37"/>
  <c r="C262" i="37"/>
  <c r="G262" i="37"/>
  <c r="A263" i="37"/>
  <c r="B263" i="37"/>
  <c r="C263" i="37"/>
  <c r="G263" i="37"/>
  <c r="A264" i="37"/>
  <c r="B264" i="37"/>
  <c r="C264" i="37"/>
  <c r="G264" i="37"/>
  <c r="A265" i="37"/>
  <c r="B265" i="37"/>
  <c r="C265" i="37"/>
  <c r="G265" i="37"/>
  <c r="A266" i="37"/>
  <c r="B266" i="37"/>
  <c r="C266" i="37"/>
  <c r="G266" i="37"/>
  <c r="A267" i="37"/>
  <c r="B267" i="37"/>
  <c r="C267" i="37"/>
  <c r="G267" i="37"/>
  <c r="A268" i="37"/>
  <c r="B268" i="37"/>
  <c r="C268" i="37"/>
  <c r="G268" i="37"/>
  <c r="A269" i="37"/>
  <c r="B269" i="37"/>
  <c r="C269" i="37"/>
  <c r="G269" i="37"/>
  <c r="A270" i="37"/>
  <c r="B270" i="37"/>
  <c r="C270" i="37"/>
  <c r="G270" i="37"/>
  <c r="A271" i="37"/>
  <c r="B271" i="37"/>
  <c r="C271" i="37"/>
  <c r="G271" i="37"/>
  <c r="A272" i="37"/>
  <c r="B272" i="37"/>
  <c r="C272" i="37"/>
  <c r="G272" i="37"/>
  <c r="A273" i="37"/>
  <c r="B273" i="37"/>
  <c r="C273" i="37"/>
  <c r="G273" i="37"/>
  <c r="A274" i="37"/>
  <c r="B274" i="37"/>
  <c r="C274" i="37"/>
  <c r="G274" i="37"/>
  <c r="A275" i="37"/>
  <c r="B275" i="37"/>
  <c r="C275" i="37"/>
  <c r="G275" i="37"/>
  <c r="A276" i="37"/>
  <c r="B276" i="37"/>
  <c r="C276" i="37"/>
  <c r="G276" i="37"/>
  <c r="A277" i="37"/>
  <c r="B277" i="37"/>
  <c r="C277" i="37"/>
  <c r="G277" i="37"/>
  <c r="A278" i="37"/>
  <c r="B278" i="37"/>
  <c r="C278" i="37"/>
  <c r="G278" i="37"/>
  <c r="A279" i="37"/>
  <c r="B279" i="37"/>
  <c r="C279" i="37"/>
  <c r="G279" i="37"/>
  <c r="A280" i="37"/>
  <c r="B280" i="37"/>
  <c r="C280" i="37"/>
  <c r="G280" i="37"/>
  <c r="A281" i="37"/>
  <c r="B281" i="37"/>
  <c r="C281" i="37"/>
  <c r="G281" i="37"/>
  <c r="A282" i="37"/>
  <c r="B282" i="37"/>
  <c r="C282" i="37"/>
  <c r="G282" i="37"/>
  <c r="A283" i="37"/>
  <c r="B283" i="37"/>
  <c r="C283" i="37"/>
  <c r="G283" i="37"/>
  <c r="A284" i="37"/>
  <c r="B284" i="37"/>
  <c r="C284" i="37"/>
  <c r="G284" i="37"/>
  <c r="A285" i="37"/>
  <c r="B285" i="37"/>
  <c r="C285" i="37"/>
  <c r="G285" i="37"/>
  <c r="A286" i="37"/>
  <c r="B286" i="37"/>
  <c r="C286" i="37"/>
  <c r="G286" i="37"/>
  <c r="A287" i="37"/>
  <c r="B287" i="37"/>
  <c r="C287" i="37"/>
  <c r="G287" i="37"/>
  <c r="A288" i="37"/>
  <c r="B288" i="37"/>
  <c r="C288" i="37"/>
  <c r="G288" i="37"/>
  <c r="A289" i="37"/>
  <c r="B289" i="37"/>
  <c r="C289" i="37"/>
  <c r="G289" i="37"/>
  <c r="A290" i="37"/>
  <c r="B290" i="37"/>
  <c r="C290" i="37"/>
  <c r="G290" i="37"/>
  <c r="A291" i="37"/>
  <c r="B291" i="37"/>
  <c r="C291" i="37"/>
  <c r="G291" i="37"/>
  <c r="A292" i="37"/>
  <c r="B292" i="37"/>
  <c r="C292" i="37"/>
  <c r="G292" i="37"/>
  <c r="A293" i="37"/>
  <c r="B293" i="37"/>
  <c r="C293" i="37"/>
  <c r="G293" i="37"/>
  <c r="A294" i="37"/>
  <c r="B294" i="37"/>
  <c r="C294" i="37"/>
  <c r="G294" i="37"/>
  <c r="A295" i="37"/>
  <c r="B295" i="37"/>
  <c r="C295" i="37"/>
  <c r="G295" i="37"/>
  <c r="A296" i="37"/>
  <c r="B296" i="37"/>
  <c r="C296" i="37"/>
  <c r="G296" i="37"/>
  <c r="A297" i="37"/>
  <c r="B297" i="37"/>
  <c r="C297" i="37"/>
  <c r="G297" i="37"/>
  <c r="A298" i="37"/>
  <c r="B298" i="37"/>
  <c r="C298" i="37"/>
  <c r="G298" i="37"/>
  <c r="A299" i="37"/>
  <c r="B299" i="37"/>
  <c r="C299" i="37"/>
  <c r="G299" i="37"/>
  <c r="A300" i="37"/>
  <c r="B300" i="37"/>
  <c r="C300" i="37"/>
  <c r="G300" i="37"/>
  <c r="A301" i="37"/>
  <c r="B301" i="37"/>
  <c r="C301" i="37"/>
  <c r="G301" i="37"/>
  <c r="A302" i="37"/>
  <c r="B302" i="37"/>
  <c r="C302" i="37"/>
  <c r="G302" i="37"/>
  <c r="A303" i="37"/>
  <c r="B303" i="37"/>
  <c r="C303" i="37"/>
  <c r="G303" i="37"/>
  <c r="A304" i="37"/>
  <c r="B304" i="37"/>
  <c r="C304" i="37"/>
  <c r="G304" i="37"/>
  <c r="A305" i="37"/>
  <c r="B305" i="37"/>
  <c r="C305" i="37"/>
  <c r="G305" i="37"/>
  <c r="A306" i="37"/>
  <c r="B306" i="37"/>
  <c r="C306" i="37"/>
  <c r="G306" i="37"/>
  <c r="A307" i="37"/>
  <c r="B307" i="37"/>
  <c r="C307" i="37"/>
  <c r="G307" i="37"/>
  <c r="A308" i="37"/>
  <c r="B308" i="37"/>
  <c r="C308" i="37"/>
  <c r="G308" i="37"/>
  <c r="A309" i="37"/>
  <c r="B309" i="37"/>
  <c r="C309" i="37"/>
  <c r="G309" i="37"/>
  <c r="A310" i="37"/>
  <c r="B310" i="37"/>
  <c r="C310" i="37"/>
  <c r="G310" i="37"/>
  <c r="A311" i="37"/>
  <c r="B311" i="37"/>
  <c r="C311" i="37"/>
  <c r="G311" i="37"/>
  <c r="A312" i="37"/>
  <c r="B312" i="37"/>
  <c r="C312" i="37"/>
  <c r="G312" i="37"/>
  <c r="A313" i="37"/>
  <c r="B313" i="37"/>
  <c r="C313" i="37"/>
  <c r="G313" i="37"/>
  <c r="A9" i="36"/>
  <c r="B9" i="36"/>
  <c r="C9" i="36"/>
  <c r="I9" i="36" s="1"/>
  <c r="J9" i="36"/>
  <c r="A10" i="36"/>
  <c r="B10" i="36"/>
  <c r="C10" i="36"/>
  <c r="F10" i="36" s="1"/>
  <c r="H10" i="36"/>
  <c r="A11" i="36"/>
  <c r="B11" i="36"/>
  <c r="C11" i="36"/>
  <c r="F11" i="36" s="1"/>
  <c r="D11" i="36"/>
  <c r="I11" i="36"/>
  <c r="A12" i="36"/>
  <c r="B12" i="36"/>
  <c r="C12" i="36"/>
  <c r="E12" i="36" s="1"/>
  <c r="D12" i="36"/>
  <c r="F12" i="36"/>
  <c r="H12" i="36"/>
  <c r="J12" i="36"/>
  <c r="A13" i="36"/>
  <c r="B13" i="36"/>
  <c r="C13" i="36"/>
  <c r="E13" i="36" s="1"/>
  <c r="A14" i="36"/>
  <c r="B14" i="36"/>
  <c r="C14" i="36"/>
  <c r="J14" i="36" s="1"/>
  <c r="G14" i="36"/>
  <c r="A15" i="36"/>
  <c r="B15" i="36"/>
  <c r="C15" i="36"/>
  <c r="E15" i="36" s="1"/>
  <c r="I15" i="36"/>
  <c r="A16" i="36"/>
  <c r="B16" i="36"/>
  <c r="C16" i="36"/>
  <c r="D16" i="36" s="1"/>
  <c r="A17" i="36"/>
  <c r="B17" i="36"/>
  <c r="C17" i="36"/>
  <c r="A18" i="36"/>
  <c r="B18" i="36"/>
  <c r="C18" i="36"/>
  <c r="H18" i="36" s="1"/>
  <c r="D18" i="36"/>
  <c r="A19" i="36"/>
  <c r="B19" i="36"/>
  <c r="C19" i="36"/>
  <c r="F19" i="36" s="1"/>
  <c r="G19" i="36"/>
  <c r="I19" i="36"/>
  <c r="A20" i="36"/>
  <c r="B20" i="36"/>
  <c r="C20" i="36"/>
  <c r="E20" i="36" s="1"/>
  <c r="A21" i="36"/>
  <c r="B21" i="36"/>
  <c r="C21" i="36"/>
  <c r="G21" i="36" s="1"/>
  <c r="A22" i="36"/>
  <c r="B22" i="36"/>
  <c r="C22" i="36"/>
  <c r="D22" i="36" s="1"/>
  <c r="A23" i="36"/>
  <c r="B23" i="36"/>
  <c r="C23" i="36"/>
  <c r="G23" i="36" s="1"/>
  <c r="A24" i="36"/>
  <c r="B24" i="36"/>
  <c r="C24" i="36"/>
  <c r="G24" i="36" s="1"/>
  <c r="D24" i="36"/>
  <c r="F24" i="36"/>
  <c r="I24" i="36"/>
  <c r="A25" i="36"/>
  <c r="B25" i="36"/>
  <c r="C25" i="36"/>
  <c r="F25" i="36" s="1"/>
  <c r="G25" i="36"/>
  <c r="A26" i="36"/>
  <c r="B26" i="36"/>
  <c r="C26" i="36"/>
  <c r="D26" i="36" s="1"/>
  <c r="A27" i="36"/>
  <c r="B27" i="36"/>
  <c r="C27" i="36"/>
  <c r="E27" i="36" s="1"/>
  <c r="A28" i="36"/>
  <c r="B28" i="36"/>
  <c r="C28" i="36"/>
  <c r="D28" i="36" s="1"/>
  <c r="A29" i="36"/>
  <c r="B29" i="36"/>
  <c r="C29" i="36"/>
  <c r="G29" i="36" s="1"/>
  <c r="J29" i="36"/>
  <c r="A30" i="36"/>
  <c r="B30" i="36"/>
  <c r="C30" i="36"/>
  <c r="D30" i="36" s="1"/>
  <c r="A31" i="36"/>
  <c r="B31" i="36"/>
  <c r="C31" i="36"/>
  <c r="E31" i="36" s="1"/>
  <c r="A32" i="36"/>
  <c r="B32" i="36"/>
  <c r="C32" i="36"/>
  <c r="D32" i="36" s="1"/>
  <c r="A33" i="36"/>
  <c r="B33" i="36"/>
  <c r="C33" i="36"/>
  <c r="A34" i="36"/>
  <c r="B34" i="36"/>
  <c r="C34" i="36"/>
  <c r="H34" i="36" s="1"/>
  <c r="A35" i="36"/>
  <c r="B35" i="36"/>
  <c r="C35" i="36"/>
  <c r="F35" i="36" s="1"/>
  <c r="A36" i="36"/>
  <c r="B36" i="36"/>
  <c r="C36" i="36"/>
  <c r="H36" i="36" s="1"/>
  <c r="I36" i="36"/>
  <c r="A37" i="36"/>
  <c r="B37" i="36"/>
  <c r="C37" i="36"/>
  <c r="G37" i="36" s="1"/>
  <c r="A38" i="36"/>
  <c r="B38" i="36"/>
  <c r="C38" i="36"/>
  <c r="F38" i="36" s="1"/>
  <c r="A39" i="36"/>
  <c r="B39" i="36"/>
  <c r="C39" i="36"/>
  <c r="E39" i="36" s="1"/>
  <c r="D39" i="36"/>
  <c r="A40" i="36"/>
  <c r="B40" i="36"/>
  <c r="C40" i="36"/>
  <c r="D40" i="36" s="1"/>
  <c r="A41" i="36"/>
  <c r="B41" i="36"/>
  <c r="C41" i="36"/>
  <c r="E41" i="36" s="1"/>
  <c r="A42" i="36"/>
  <c r="B42" i="36"/>
  <c r="C42" i="36"/>
  <c r="F42" i="36" s="1"/>
  <c r="D42" i="36"/>
  <c r="G42" i="36"/>
  <c r="J42" i="36"/>
  <c r="A43" i="36"/>
  <c r="B43" i="36"/>
  <c r="C43" i="36"/>
  <c r="E43" i="36" s="1"/>
  <c r="A44" i="36"/>
  <c r="B44" i="36"/>
  <c r="C44" i="36"/>
  <c r="E44" i="36" s="1"/>
  <c r="A45" i="36"/>
  <c r="B45" i="36"/>
  <c r="C45" i="36"/>
  <c r="E45" i="36" s="1"/>
  <c r="A46" i="36"/>
  <c r="B46" i="36"/>
  <c r="C46" i="36"/>
  <c r="F46" i="36" s="1"/>
  <c r="A47" i="36"/>
  <c r="B47" i="36"/>
  <c r="C47" i="36"/>
  <c r="E47" i="36" s="1"/>
  <c r="A48" i="36"/>
  <c r="B48" i="36"/>
  <c r="C48" i="36"/>
  <c r="D48" i="36" s="1"/>
  <c r="A49" i="36"/>
  <c r="B49" i="36"/>
  <c r="C49" i="36"/>
  <c r="G49" i="36" s="1"/>
  <c r="A50" i="36"/>
  <c r="B50" i="36"/>
  <c r="C50" i="36"/>
  <c r="F50" i="36" s="1"/>
  <c r="A51" i="36"/>
  <c r="B51" i="36"/>
  <c r="C51" i="36"/>
  <c r="E51" i="36" s="1"/>
  <c r="H51" i="36"/>
  <c r="A52" i="36"/>
  <c r="B52" i="36"/>
  <c r="C52" i="36"/>
  <c r="F52" i="36" s="1"/>
  <c r="A53" i="36"/>
  <c r="B53" i="36"/>
  <c r="C53" i="36"/>
  <c r="I53" i="36" s="1"/>
  <c r="F53" i="36"/>
  <c r="J53" i="36"/>
  <c r="A54" i="36"/>
  <c r="B54" i="36"/>
  <c r="C54" i="36"/>
  <c r="G54" i="36" s="1"/>
  <c r="D54" i="36"/>
  <c r="H54" i="36"/>
  <c r="A55" i="36"/>
  <c r="B55" i="36"/>
  <c r="C55" i="36"/>
  <c r="H55" i="36" s="1"/>
  <c r="A56" i="36"/>
  <c r="B56" i="36"/>
  <c r="C56" i="36"/>
  <c r="J56" i="36" s="1"/>
  <c r="H56" i="36"/>
  <c r="A57" i="36"/>
  <c r="B57" i="36"/>
  <c r="C57" i="36"/>
  <c r="G57" i="36" s="1"/>
  <c r="A58" i="36"/>
  <c r="B58" i="36"/>
  <c r="C58" i="36"/>
  <c r="H58" i="36" s="1"/>
  <c r="D58" i="36"/>
  <c r="A59" i="36"/>
  <c r="B59" i="36"/>
  <c r="C59" i="36"/>
  <c r="H59" i="36" s="1"/>
  <c r="G59" i="36"/>
  <c r="A60" i="36"/>
  <c r="B60" i="36"/>
  <c r="C60" i="36"/>
  <c r="E60" i="36" s="1"/>
  <c r="D60" i="36"/>
  <c r="G60" i="36"/>
  <c r="I60" i="36"/>
  <c r="A61" i="36"/>
  <c r="B61" i="36"/>
  <c r="C61" i="36"/>
  <c r="J61" i="36" s="1"/>
  <c r="I61" i="36"/>
  <c r="A62" i="36"/>
  <c r="B62" i="36"/>
  <c r="C62" i="36"/>
  <c r="G62" i="36" s="1"/>
  <c r="A63" i="36"/>
  <c r="B63" i="36"/>
  <c r="C63" i="36"/>
  <c r="D63" i="36" s="1"/>
  <c r="A64" i="36"/>
  <c r="B64" i="36"/>
  <c r="C64" i="36"/>
  <c r="E64" i="36" s="1"/>
  <c r="A65" i="36"/>
  <c r="B65" i="36"/>
  <c r="C65" i="36"/>
  <c r="J65" i="36" s="1"/>
  <c r="A66" i="36"/>
  <c r="B66" i="36"/>
  <c r="C66" i="36"/>
  <c r="G66" i="36" s="1"/>
  <c r="A67" i="36"/>
  <c r="B67" i="36"/>
  <c r="C67" i="36"/>
  <c r="E67" i="36" s="1"/>
  <c r="D67" i="36"/>
  <c r="G67" i="36"/>
  <c r="H67" i="36"/>
  <c r="A68" i="36"/>
  <c r="B68" i="36"/>
  <c r="C68" i="36"/>
  <c r="E68" i="36" s="1"/>
  <c r="F68" i="36"/>
  <c r="A69" i="36"/>
  <c r="B69" i="36"/>
  <c r="C69" i="36"/>
  <c r="G69" i="36" s="1"/>
  <c r="A70" i="36"/>
  <c r="B70" i="36"/>
  <c r="C70" i="36"/>
  <c r="F70" i="36" s="1"/>
  <c r="A71" i="36"/>
  <c r="B71" i="36"/>
  <c r="C71" i="36"/>
  <c r="I71" i="36" s="1"/>
  <c r="A72" i="36"/>
  <c r="B72" i="36"/>
  <c r="C72" i="36"/>
  <c r="E72" i="36" s="1"/>
  <c r="A73" i="36"/>
  <c r="B73" i="36"/>
  <c r="C73" i="36"/>
  <c r="G73" i="36" s="1"/>
  <c r="A74" i="36"/>
  <c r="B74" i="36"/>
  <c r="C74" i="36"/>
  <c r="G74" i="36" s="1"/>
  <c r="A75" i="36"/>
  <c r="B75" i="36"/>
  <c r="C75" i="36"/>
  <c r="G75" i="36" s="1"/>
  <c r="A76" i="36"/>
  <c r="B76" i="36"/>
  <c r="C76" i="36"/>
  <c r="H76" i="36" s="1"/>
  <c r="E76" i="36"/>
  <c r="F76" i="36"/>
  <c r="G76" i="36"/>
  <c r="A77" i="36"/>
  <c r="B77" i="36"/>
  <c r="C77" i="36"/>
  <c r="J77" i="36" s="1"/>
  <c r="E77" i="36"/>
  <c r="G77" i="36"/>
  <c r="A78" i="36"/>
  <c r="B78" i="36"/>
  <c r="C78" i="36"/>
  <c r="J78" i="36" s="1"/>
  <c r="A79" i="36"/>
  <c r="B79" i="36"/>
  <c r="C79" i="36"/>
  <c r="H79" i="36" s="1"/>
  <c r="A80" i="36"/>
  <c r="B80" i="36"/>
  <c r="C80" i="36"/>
  <c r="J80" i="36" s="1"/>
  <c r="A81" i="36"/>
  <c r="B81" i="36"/>
  <c r="C81" i="36"/>
  <c r="G81" i="36" s="1"/>
  <c r="J81" i="36"/>
  <c r="A82" i="36"/>
  <c r="B82" i="36"/>
  <c r="C82" i="36"/>
  <c r="H82" i="36" s="1"/>
  <c r="D82" i="36"/>
  <c r="A83" i="36"/>
  <c r="B83" i="36"/>
  <c r="C83" i="36"/>
  <c r="I83" i="36" s="1"/>
  <c r="D83" i="36"/>
  <c r="A84" i="36"/>
  <c r="B84" i="36"/>
  <c r="C84" i="36"/>
  <c r="G84" i="36" s="1"/>
  <c r="D84" i="36"/>
  <c r="E84" i="36"/>
  <c r="F84" i="36"/>
  <c r="H84" i="36"/>
  <c r="I84" i="36"/>
  <c r="J84" i="36"/>
  <c r="A85" i="36"/>
  <c r="B85" i="36"/>
  <c r="C85" i="36"/>
  <c r="I85" i="36" s="1"/>
  <c r="A86" i="36"/>
  <c r="B86" i="36"/>
  <c r="C86" i="36"/>
  <c r="G86" i="36" s="1"/>
  <c r="A87" i="36"/>
  <c r="B87" i="36"/>
  <c r="C87" i="36"/>
  <c r="G87" i="36" s="1"/>
  <c r="A88" i="36"/>
  <c r="B88" i="36"/>
  <c r="C88" i="36"/>
  <c r="D88" i="36" s="1"/>
  <c r="I88" i="36"/>
  <c r="A89" i="36"/>
  <c r="B89" i="36"/>
  <c r="C89" i="36"/>
  <c r="F89" i="36" s="1"/>
  <c r="E89" i="36"/>
  <c r="A90" i="36"/>
  <c r="B90" i="36"/>
  <c r="C90" i="36"/>
  <c r="J90" i="36" s="1"/>
  <c r="A91" i="36"/>
  <c r="B91" i="36"/>
  <c r="C91" i="36"/>
  <c r="E91" i="36" s="1"/>
  <c r="A92" i="36"/>
  <c r="B92" i="36"/>
  <c r="C92" i="36"/>
  <c r="E92" i="36" s="1"/>
  <c r="F92" i="36"/>
  <c r="A93" i="36"/>
  <c r="B93" i="36"/>
  <c r="C93" i="36"/>
  <c r="I93" i="36" s="1"/>
  <c r="A94" i="36"/>
  <c r="B94" i="36"/>
  <c r="C94" i="36"/>
  <c r="F94" i="36" s="1"/>
  <c r="A95" i="36"/>
  <c r="B95" i="36"/>
  <c r="C95" i="36"/>
  <c r="D95" i="36" s="1"/>
  <c r="A96" i="36"/>
  <c r="B96" i="36"/>
  <c r="C96" i="36"/>
  <c r="E96" i="36" s="1"/>
  <c r="I96" i="36"/>
  <c r="A97" i="36"/>
  <c r="B97" i="36"/>
  <c r="C97" i="36"/>
  <c r="G97" i="36" s="1"/>
  <c r="F97" i="36"/>
  <c r="A98" i="36"/>
  <c r="B98" i="36"/>
  <c r="C98" i="36"/>
  <c r="F98" i="36" s="1"/>
  <c r="D98" i="36"/>
  <c r="J98" i="36"/>
  <c r="A99" i="36"/>
  <c r="B99" i="36"/>
  <c r="C99" i="36"/>
  <c r="D99" i="36" s="1"/>
  <c r="A100" i="36"/>
  <c r="B100" i="36"/>
  <c r="C100" i="36"/>
  <c r="G100" i="36" s="1"/>
  <c r="D100" i="36"/>
  <c r="E100" i="36"/>
  <c r="F100" i="36"/>
  <c r="H100" i="36"/>
  <c r="I100" i="36"/>
  <c r="J100" i="36"/>
  <c r="A101" i="36"/>
  <c r="B101" i="36"/>
  <c r="C101" i="36"/>
  <c r="G101" i="36" s="1"/>
  <c r="E101" i="36"/>
  <c r="A102" i="36"/>
  <c r="B102" i="36"/>
  <c r="C102" i="36"/>
  <c r="D102" i="36" s="1"/>
  <c r="A103" i="36"/>
  <c r="B103" i="36"/>
  <c r="C103" i="36"/>
  <c r="I103" i="36" s="1"/>
  <c r="A104" i="36"/>
  <c r="B104" i="36"/>
  <c r="C104" i="36"/>
  <c r="D104" i="36" s="1"/>
  <c r="A105" i="36"/>
  <c r="B105" i="36"/>
  <c r="C105" i="36"/>
  <c r="J105" i="36" s="1"/>
  <c r="A106" i="36"/>
  <c r="B106" i="36"/>
  <c r="C106" i="36"/>
  <c r="D106" i="36" s="1"/>
  <c r="A107" i="36"/>
  <c r="B107" i="36"/>
  <c r="C107" i="36"/>
  <c r="H107" i="36" s="1"/>
  <c r="A108" i="36"/>
  <c r="B108" i="36"/>
  <c r="C108" i="36"/>
  <c r="E108" i="36" s="1"/>
  <c r="A109" i="36"/>
  <c r="B109" i="36"/>
  <c r="C109" i="36"/>
  <c r="A110" i="36"/>
  <c r="B110" i="36"/>
  <c r="C110" i="36"/>
  <c r="D110" i="36" s="1"/>
  <c r="A111" i="36"/>
  <c r="B111" i="36"/>
  <c r="C111" i="36"/>
  <c r="G111" i="36" s="1"/>
  <c r="A112" i="36"/>
  <c r="B112" i="36"/>
  <c r="C112" i="36"/>
  <c r="E112" i="36" s="1"/>
  <c r="A113" i="36"/>
  <c r="B113" i="36"/>
  <c r="C113" i="36"/>
  <c r="E113" i="36" s="1"/>
  <c r="A114" i="36"/>
  <c r="B114" i="36"/>
  <c r="C114" i="36"/>
  <c r="D114" i="36" s="1"/>
  <c r="F114" i="36"/>
  <c r="A115" i="36"/>
  <c r="B115" i="36"/>
  <c r="C115" i="36"/>
  <c r="E115" i="36" s="1"/>
  <c r="D115" i="36"/>
  <c r="A116" i="36"/>
  <c r="B116" i="36"/>
  <c r="C116" i="36"/>
  <c r="J116" i="36" s="1"/>
  <c r="D116" i="36"/>
  <c r="H116" i="36"/>
  <c r="A117" i="36"/>
  <c r="B117" i="36"/>
  <c r="C117" i="36"/>
  <c r="E117" i="36" s="1"/>
  <c r="A118" i="36"/>
  <c r="B118" i="36"/>
  <c r="C118" i="36"/>
  <c r="G118" i="36" s="1"/>
  <c r="A119" i="36"/>
  <c r="B119" i="36"/>
  <c r="C119" i="36"/>
  <c r="E119" i="36" s="1"/>
  <c r="A120" i="36"/>
  <c r="B120" i="36"/>
  <c r="C120" i="36"/>
  <c r="E120" i="36" s="1"/>
  <c r="A121" i="36"/>
  <c r="B121" i="36"/>
  <c r="C121" i="36"/>
  <c r="F121" i="36" s="1"/>
  <c r="A122" i="36"/>
  <c r="B122" i="36"/>
  <c r="C122" i="36"/>
  <c r="G122" i="36" s="1"/>
  <c r="A123" i="36"/>
  <c r="B123" i="36"/>
  <c r="C123" i="36"/>
  <c r="G123" i="36" s="1"/>
  <c r="A124" i="36"/>
  <c r="B124" i="36"/>
  <c r="C124" i="36"/>
  <c r="J124" i="36" s="1"/>
  <c r="D124" i="36"/>
  <c r="A125" i="36"/>
  <c r="B125" i="36"/>
  <c r="C125" i="36"/>
  <c r="G125" i="36" s="1"/>
  <c r="A126" i="36"/>
  <c r="B126" i="36"/>
  <c r="C126" i="36"/>
  <c r="F126" i="36" s="1"/>
  <c r="A127" i="36"/>
  <c r="B127" i="36"/>
  <c r="C127" i="36"/>
  <c r="A128" i="36"/>
  <c r="B128" i="36"/>
  <c r="C128" i="36"/>
  <c r="D128" i="36" s="1"/>
  <c r="E128" i="36"/>
  <c r="J128" i="36"/>
  <c r="A129" i="36"/>
  <c r="B129" i="36"/>
  <c r="C129" i="36"/>
  <c r="E129" i="36" s="1"/>
  <c r="A130" i="36"/>
  <c r="B130" i="36"/>
  <c r="C130" i="36"/>
  <c r="D130" i="36"/>
  <c r="G130" i="36"/>
  <c r="J130" i="36"/>
  <c r="A131" i="36"/>
  <c r="B131" i="36"/>
  <c r="C131" i="36"/>
  <c r="H131" i="36" s="1"/>
  <c r="A132" i="36"/>
  <c r="B132" i="36"/>
  <c r="C132" i="36"/>
  <c r="E132" i="36" s="1"/>
  <c r="A133" i="36"/>
  <c r="B133" i="36"/>
  <c r="C133" i="36"/>
  <c r="F133" i="36" s="1"/>
  <c r="E133" i="36"/>
  <c r="A134" i="36"/>
  <c r="B134" i="36"/>
  <c r="C134" i="36"/>
  <c r="H134" i="36" s="1"/>
  <c r="A135" i="36"/>
  <c r="B135" i="36"/>
  <c r="C135" i="36"/>
  <c r="E135" i="36" s="1"/>
  <c r="I135" i="36"/>
  <c r="A136" i="36"/>
  <c r="B136" i="36"/>
  <c r="C136" i="36"/>
  <c r="G136" i="36" s="1"/>
  <c r="D136" i="36"/>
  <c r="H136" i="36"/>
  <c r="I136" i="36"/>
  <c r="A137" i="36"/>
  <c r="B137" i="36"/>
  <c r="C137" i="36"/>
  <c r="F137" i="36" s="1"/>
  <c r="A138" i="36"/>
  <c r="B138" i="36"/>
  <c r="C138" i="36"/>
  <c r="F138" i="36" s="1"/>
  <c r="G138" i="36"/>
  <c r="A139" i="36"/>
  <c r="B139" i="36"/>
  <c r="C139" i="36"/>
  <c r="H139" i="36" s="1"/>
  <c r="A140" i="36"/>
  <c r="B140" i="36"/>
  <c r="C140" i="36"/>
  <c r="E140" i="36" s="1"/>
  <c r="A141" i="36"/>
  <c r="B141" i="36"/>
  <c r="C141" i="36"/>
  <c r="A142" i="36"/>
  <c r="B142" i="36"/>
  <c r="C142" i="36"/>
  <c r="H142" i="36" s="1"/>
  <c r="A143" i="36"/>
  <c r="B143" i="36"/>
  <c r="C143" i="36"/>
  <c r="H143" i="36" s="1"/>
  <c r="A144" i="36"/>
  <c r="B144" i="36"/>
  <c r="C144" i="36"/>
  <c r="J144" i="36" s="1"/>
  <c r="A145" i="36"/>
  <c r="B145" i="36"/>
  <c r="C145" i="36"/>
  <c r="G145" i="36" s="1"/>
  <c r="A146" i="36"/>
  <c r="B146" i="36"/>
  <c r="C146" i="36"/>
  <c r="D146" i="36" s="1"/>
  <c r="A147" i="36"/>
  <c r="B147" i="36"/>
  <c r="C147" i="36"/>
  <c r="G147" i="36" s="1"/>
  <c r="A148" i="36"/>
  <c r="B148" i="36"/>
  <c r="C148" i="36"/>
  <c r="I148" i="36" s="1"/>
  <c r="H148" i="36"/>
  <c r="A149" i="36"/>
  <c r="B149" i="36"/>
  <c r="C149" i="36"/>
  <c r="I149" i="36" s="1"/>
  <c r="D149" i="36"/>
  <c r="H149" i="36"/>
  <c r="A150" i="36"/>
  <c r="B150" i="36"/>
  <c r="C150" i="36"/>
  <c r="F150" i="36" s="1"/>
  <c r="A151" i="36"/>
  <c r="B151" i="36"/>
  <c r="C151" i="36"/>
  <c r="F151" i="36" s="1"/>
  <c r="A152" i="36"/>
  <c r="B152" i="36"/>
  <c r="C152" i="36"/>
  <c r="E152" i="36" s="1"/>
  <c r="I152" i="36"/>
  <c r="A153" i="36"/>
  <c r="B153" i="36"/>
  <c r="C153" i="36"/>
  <c r="E153" i="36" s="1"/>
  <c r="D153" i="36"/>
  <c r="F153" i="36"/>
  <c r="G153" i="36"/>
  <c r="I153" i="36"/>
  <c r="J153" i="36"/>
  <c r="A154" i="36"/>
  <c r="B154" i="36"/>
  <c r="C154" i="36"/>
  <c r="E154" i="36" s="1"/>
  <c r="I154" i="36"/>
  <c r="A155" i="36"/>
  <c r="B155" i="36"/>
  <c r="C155" i="36"/>
  <c r="H155" i="36" s="1"/>
  <c r="G155" i="36"/>
  <c r="J155" i="36"/>
  <c r="A156" i="36"/>
  <c r="B156" i="36"/>
  <c r="C156" i="36"/>
  <c r="D156" i="36" s="1"/>
  <c r="A157" i="36"/>
  <c r="B157" i="36"/>
  <c r="C157" i="36"/>
  <c r="G157" i="36" s="1"/>
  <c r="D157" i="36"/>
  <c r="F157" i="36"/>
  <c r="A158" i="36"/>
  <c r="B158" i="36"/>
  <c r="C158" i="36"/>
  <c r="G158" i="36" s="1"/>
  <c r="A159" i="36"/>
  <c r="B159" i="36"/>
  <c r="C159" i="36"/>
  <c r="F159" i="36" s="1"/>
  <c r="A160" i="36"/>
  <c r="B160" i="36"/>
  <c r="C160" i="36"/>
  <c r="E160" i="36" s="1"/>
  <c r="A161" i="36"/>
  <c r="B161" i="36"/>
  <c r="C161" i="36"/>
  <c r="F161" i="36" s="1"/>
  <c r="A162" i="36"/>
  <c r="B162" i="36"/>
  <c r="C162" i="36"/>
  <c r="I162" i="36" s="1"/>
  <c r="A163" i="36"/>
  <c r="B163" i="36"/>
  <c r="C163" i="36"/>
  <c r="D163" i="36" s="1"/>
  <c r="A164" i="36"/>
  <c r="B164" i="36"/>
  <c r="C164" i="36"/>
  <c r="H164" i="36" s="1"/>
  <c r="A165" i="36"/>
  <c r="B165" i="36"/>
  <c r="C165" i="36"/>
  <c r="F165" i="36" s="1"/>
  <c r="G165" i="36"/>
  <c r="A166" i="36"/>
  <c r="B166" i="36"/>
  <c r="C166" i="36"/>
  <c r="F166" i="36" s="1"/>
  <c r="A167" i="36"/>
  <c r="B167" i="36"/>
  <c r="C167" i="36"/>
  <c r="A168" i="36"/>
  <c r="B168" i="36"/>
  <c r="C168" i="36"/>
  <c r="D168" i="36" s="1"/>
  <c r="A169" i="36"/>
  <c r="B169" i="36"/>
  <c r="C169" i="36"/>
  <c r="H169" i="36" s="1"/>
  <c r="A170" i="36"/>
  <c r="B170" i="36"/>
  <c r="C170" i="36"/>
  <c r="A171" i="36"/>
  <c r="B171" i="36"/>
  <c r="C171" i="36"/>
  <c r="G171" i="36" s="1"/>
  <c r="A172" i="36"/>
  <c r="B172" i="36"/>
  <c r="C172" i="36"/>
  <c r="G172" i="36" s="1"/>
  <c r="A173" i="36"/>
  <c r="B173" i="36"/>
  <c r="C173" i="36"/>
  <c r="J173" i="36" s="1"/>
  <c r="A174" i="36"/>
  <c r="B174" i="36"/>
  <c r="C174" i="36"/>
  <c r="F174" i="36" s="1"/>
  <c r="A175" i="36"/>
  <c r="B175" i="36"/>
  <c r="C175" i="36"/>
  <c r="H175" i="36" s="1"/>
  <c r="A176" i="36"/>
  <c r="B176" i="36"/>
  <c r="C176" i="36"/>
  <c r="D176" i="36" s="1"/>
  <c r="A177" i="36"/>
  <c r="B177" i="36"/>
  <c r="C177" i="36"/>
  <c r="F177" i="36" s="1"/>
  <c r="A178" i="36"/>
  <c r="B178" i="36"/>
  <c r="C178" i="36"/>
  <c r="G178" i="36" s="1"/>
  <c r="A179" i="36"/>
  <c r="B179" i="36"/>
  <c r="C179" i="36"/>
  <c r="G179" i="36" s="1"/>
  <c r="A180" i="36"/>
  <c r="B180" i="36"/>
  <c r="C180" i="36"/>
  <c r="I180" i="36" s="1"/>
  <c r="A181" i="36"/>
  <c r="B181" i="36"/>
  <c r="C181" i="36"/>
  <c r="E181" i="36" s="1"/>
  <c r="A182" i="36"/>
  <c r="B182" i="36"/>
  <c r="C182" i="36"/>
  <c r="G182" i="36" s="1"/>
  <c r="A183" i="36"/>
  <c r="B183" i="36"/>
  <c r="C183" i="36"/>
  <c r="D183" i="36" s="1"/>
  <c r="A184" i="36"/>
  <c r="B184" i="36"/>
  <c r="C184" i="36"/>
  <c r="H184" i="36" s="1"/>
  <c r="A185" i="36"/>
  <c r="B185" i="36"/>
  <c r="C185" i="36"/>
  <c r="I185" i="36" s="1"/>
  <c r="J185" i="36"/>
  <c r="A186" i="36"/>
  <c r="B186" i="36"/>
  <c r="C186" i="36"/>
  <c r="F186" i="36" s="1"/>
  <c r="E186" i="36"/>
  <c r="J186" i="36"/>
  <c r="A187" i="36"/>
  <c r="B187" i="36"/>
  <c r="C187" i="36"/>
  <c r="J187" i="36" s="1"/>
  <c r="A188" i="36"/>
  <c r="B188" i="36"/>
  <c r="C188" i="36"/>
  <c r="D188" i="36" s="1"/>
  <c r="A189" i="36"/>
  <c r="B189" i="36"/>
  <c r="C189" i="36"/>
  <c r="G189" i="36" s="1"/>
  <c r="J189" i="36"/>
  <c r="A190" i="36"/>
  <c r="B190" i="36"/>
  <c r="C190" i="36"/>
  <c r="E190" i="36" s="1"/>
  <c r="A191" i="36"/>
  <c r="B191" i="36"/>
  <c r="C191" i="36"/>
  <c r="D191" i="36" s="1"/>
  <c r="A192" i="36"/>
  <c r="B192" i="36"/>
  <c r="C192" i="36"/>
  <c r="A193" i="36"/>
  <c r="B193" i="36"/>
  <c r="C193" i="36"/>
  <c r="G193" i="36" s="1"/>
  <c r="A194" i="36"/>
  <c r="B194" i="36"/>
  <c r="C194" i="36"/>
  <c r="G194" i="36"/>
  <c r="A195" i="36"/>
  <c r="B195" i="36"/>
  <c r="C195" i="36"/>
  <c r="F195" i="36" s="1"/>
  <c r="D195" i="36"/>
  <c r="H195" i="36"/>
  <c r="A196" i="36"/>
  <c r="B196" i="36"/>
  <c r="C196" i="36"/>
  <c r="G196" i="36" s="1"/>
  <c r="A197" i="36"/>
  <c r="B197" i="36"/>
  <c r="C197" i="36"/>
  <c r="E197" i="36" s="1"/>
  <c r="G197" i="36"/>
  <c r="A198" i="36"/>
  <c r="B198" i="36"/>
  <c r="C198" i="36"/>
  <c r="F198" i="36" s="1"/>
  <c r="A199" i="36"/>
  <c r="B199" i="36"/>
  <c r="C199" i="36"/>
  <c r="D199" i="36" s="1"/>
  <c r="A200" i="36"/>
  <c r="B200" i="36"/>
  <c r="C200" i="36"/>
  <c r="D200" i="36" s="1"/>
  <c r="A201" i="36"/>
  <c r="B201" i="36"/>
  <c r="C201" i="36"/>
  <c r="J201" i="36" s="1"/>
  <c r="G201" i="36"/>
  <c r="A202" i="36"/>
  <c r="B202" i="36"/>
  <c r="C202" i="36"/>
  <c r="F202" i="36" s="1"/>
  <c r="A203" i="36"/>
  <c r="B203" i="36"/>
  <c r="C203" i="36"/>
  <c r="H203" i="36" s="1"/>
  <c r="A204" i="36"/>
  <c r="B204" i="36"/>
  <c r="C204" i="36"/>
  <c r="D204" i="36" s="1"/>
  <c r="A205" i="36"/>
  <c r="B205" i="36"/>
  <c r="C205" i="36"/>
  <c r="D205" i="36"/>
  <c r="E205" i="36"/>
  <c r="I205" i="36"/>
  <c r="A206" i="36"/>
  <c r="B206" i="36"/>
  <c r="C206" i="36"/>
  <c r="I206" i="36" s="1"/>
  <c r="E206" i="36"/>
  <c r="A207" i="36"/>
  <c r="B207" i="36"/>
  <c r="C207" i="36"/>
  <c r="D207" i="36" s="1"/>
  <c r="A208" i="36"/>
  <c r="B208" i="36"/>
  <c r="C208" i="36"/>
  <c r="H208" i="36" s="1"/>
  <c r="A209" i="36"/>
  <c r="B209" i="36"/>
  <c r="C209" i="36"/>
  <c r="G209" i="36" s="1"/>
  <c r="E209" i="36"/>
  <c r="F209" i="36"/>
  <c r="A210" i="36"/>
  <c r="B210" i="36"/>
  <c r="C210" i="36"/>
  <c r="F210" i="36" s="1"/>
  <c r="A211" i="36"/>
  <c r="B211" i="36"/>
  <c r="C211" i="36"/>
  <c r="H211" i="36" s="1"/>
  <c r="D211" i="36"/>
  <c r="A212" i="36"/>
  <c r="B212" i="36"/>
  <c r="C212" i="36"/>
  <c r="E212" i="36" s="1"/>
  <c r="I212" i="36"/>
  <c r="A213" i="36"/>
  <c r="B213" i="36"/>
  <c r="C213" i="36"/>
  <c r="H213" i="36" s="1"/>
  <c r="E213" i="36"/>
  <c r="I213" i="36"/>
  <c r="A214" i="36"/>
  <c r="B214" i="36"/>
  <c r="C214" i="36"/>
  <c r="E214" i="36" s="1"/>
  <c r="A215" i="36"/>
  <c r="B215" i="36"/>
  <c r="C215" i="36"/>
  <c r="F215" i="36" s="1"/>
  <c r="A216" i="36"/>
  <c r="B216" i="36"/>
  <c r="C216" i="36"/>
  <c r="E216" i="36" s="1"/>
  <c r="H216" i="36"/>
  <c r="A217" i="36"/>
  <c r="B217" i="36"/>
  <c r="C217" i="36"/>
  <c r="J217" i="36" s="1"/>
  <c r="E217" i="36"/>
  <c r="G217" i="36"/>
  <c r="H217" i="36"/>
  <c r="A218" i="36"/>
  <c r="B218" i="36"/>
  <c r="C218" i="36"/>
  <c r="G218" i="36" s="1"/>
  <c r="A219" i="36"/>
  <c r="B219" i="36"/>
  <c r="C219" i="36"/>
  <c r="F219" i="36" s="1"/>
  <c r="A220" i="36"/>
  <c r="B220" i="36"/>
  <c r="C220" i="36"/>
  <c r="D220" i="36" s="1"/>
  <c r="I220" i="36"/>
  <c r="A221" i="36"/>
  <c r="B221" i="36"/>
  <c r="C221" i="36"/>
  <c r="F221" i="36" s="1"/>
  <c r="E221" i="36"/>
  <c r="A222" i="36"/>
  <c r="B222" i="36"/>
  <c r="C222" i="36"/>
  <c r="I222" i="36" s="1"/>
  <c r="G222" i="36"/>
  <c r="A223" i="36"/>
  <c r="B223" i="36"/>
  <c r="C223" i="36"/>
  <c r="F223" i="36" s="1"/>
  <c r="A224" i="36"/>
  <c r="B224" i="36"/>
  <c r="C224" i="36"/>
  <c r="D224" i="36" s="1"/>
  <c r="A225" i="36"/>
  <c r="B225" i="36"/>
  <c r="C225" i="36"/>
  <c r="I225" i="36" s="1"/>
  <c r="D225" i="36"/>
  <c r="H225" i="36"/>
  <c r="A226" i="36"/>
  <c r="B226" i="36"/>
  <c r="C226" i="36"/>
  <c r="G226" i="36" s="1"/>
  <c r="A227" i="36"/>
  <c r="B227" i="36"/>
  <c r="C227" i="36"/>
  <c r="F227" i="36" s="1"/>
  <c r="G227" i="36"/>
  <c r="A228" i="36"/>
  <c r="B228" i="36"/>
  <c r="C228" i="36"/>
  <c r="G228" i="36" s="1"/>
  <c r="D228" i="36"/>
  <c r="A229" i="36"/>
  <c r="B229" i="36"/>
  <c r="C229" i="36"/>
  <c r="E229" i="36" s="1"/>
  <c r="D229" i="36"/>
  <c r="A230" i="36"/>
  <c r="B230" i="36"/>
  <c r="C230" i="36"/>
  <c r="G230" i="36" s="1"/>
  <c r="E230" i="36"/>
  <c r="A231" i="36"/>
  <c r="B231" i="36"/>
  <c r="C231" i="36"/>
  <c r="D231" i="36" s="1"/>
  <c r="A232" i="36"/>
  <c r="B232" i="36"/>
  <c r="C232" i="36"/>
  <c r="D232" i="36" s="1"/>
  <c r="A233" i="36"/>
  <c r="B233" i="36"/>
  <c r="C233" i="36"/>
  <c r="D233" i="36" s="1"/>
  <c r="I233" i="36"/>
  <c r="A234" i="36"/>
  <c r="B234" i="36"/>
  <c r="C234" i="36"/>
  <c r="F234" i="36" s="1"/>
  <c r="E234" i="36"/>
  <c r="I234" i="36"/>
  <c r="A235" i="36"/>
  <c r="B235" i="36"/>
  <c r="C235" i="36"/>
  <c r="G235" i="36" s="1"/>
  <c r="D235" i="36"/>
  <c r="A236" i="36"/>
  <c r="B236" i="36"/>
  <c r="C236" i="36"/>
  <c r="G236" i="36" s="1"/>
  <c r="E236" i="36"/>
  <c r="A237" i="36"/>
  <c r="B237" i="36"/>
  <c r="C237" i="36"/>
  <c r="E237" i="36" s="1"/>
  <c r="H237" i="36"/>
  <c r="A238" i="36"/>
  <c r="B238" i="36"/>
  <c r="C238" i="36"/>
  <c r="F238" i="36" s="1"/>
  <c r="A239" i="36"/>
  <c r="B239" i="36"/>
  <c r="C239" i="36"/>
  <c r="F239" i="36" s="1"/>
  <c r="A240" i="36"/>
  <c r="B240" i="36"/>
  <c r="C240" i="36"/>
  <c r="G240" i="36" s="1"/>
  <c r="D240" i="36"/>
  <c r="H240" i="36"/>
  <c r="A241" i="36"/>
  <c r="B241" i="36"/>
  <c r="C241" i="36"/>
  <c r="E241" i="36" s="1"/>
  <c r="D241" i="36"/>
  <c r="I241" i="36"/>
  <c r="A242" i="36"/>
  <c r="B242" i="36"/>
  <c r="C242" i="36"/>
  <c r="G242" i="36" s="1"/>
  <c r="I242" i="36"/>
  <c r="A243" i="36"/>
  <c r="B243" i="36"/>
  <c r="C243" i="36"/>
  <c r="H243" i="36"/>
  <c r="A244" i="36"/>
  <c r="B244" i="36"/>
  <c r="C244" i="36"/>
  <c r="H244" i="36" s="1"/>
  <c r="D244" i="36"/>
  <c r="G244" i="36"/>
  <c r="A245" i="36"/>
  <c r="B245" i="36"/>
  <c r="C245" i="36"/>
  <c r="E245" i="36" s="1"/>
  <c r="D245" i="36"/>
  <c r="J245" i="36"/>
  <c r="A246" i="36"/>
  <c r="B246" i="36"/>
  <c r="C246" i="36"/>
  <c r="F246" i="36" s="1"/>
  <c r="A247" i="36"/>
  <c r="B247" i="36"/>
  <c r="C247" i="36"/>
  <c r="D247" i="36" s="1"/>
  <c r="A248" i="36"/>
  <c r="B248" i="36"/>
  <c r="C248" i="36"/>
  <c r="A249" i="36"/>
  <c r="B249" i="36"/>
  <c r="C249" i="36"/>
  <c r="D249" i="36" s="1"/>
  <c r="A250" i="36"/>
  <c r="B250" i="36"/>
  <c r="C250" i="36"/>
  <c r="I250" i="36" s="1"/>
  <c r="A251" i="36"/>
  <c r="B251" i="36"/>
  <c r="C251" i="36"/>
  <c r="H251" i="36" s="1"/>
  <c r="A252" i="36"/>
  <c r="B252" i="36"/>
  <c r="C252" i="36"/>
  <c r="D252" i="36" s="1"/>
  <c r="A253" i="36"/>
  <c r="B253" i="36"/>
  <c r="C253" i="36"/>
  <c r="F253" i="36" s="1"/>
  <c r="A254" i="36"/>
  <c r="B254" i="36"/>
  <c r="C254" i="36"/>
  <c r="G254" i="36" s="1"/>
  <c r="A255" i="36"/>
  <c r="B255" i="36"/>
  <c r="C255" i="36"/>
  <c r="F255" i="36" s="1"/>
  <c r="A256" i="36"/>
  <c r="B256" i="36"/>
  <c r="C256" i="36"/>
  <c r="E256" i="36" s="1"/>
  <c r="A257" i="36"/>
  <c r="B257" i="36"/>
  <c r="C257" i="36"/>
  <c r="E257" i="36" s="1"/>
  <c r="F257" i="36"/>
  <c r="J257" i="36"/>
  <c r="A258" i="36"/>
  <c r="B258" i="36"/>
  <c r="C258" i="36"/>
  <c r="F258" i="36" s="1"/>
  <c r="E258" i="36"/>
  <c r="G258" i="36"/>
  <c r="A259" i="36"/>
  <c r="B259" i="36"/>
  <c r="C259" i="36"/>
  <c r="G259" i="36" s="1"/>
  <c r="A260" i="36"/>
  <c r="B260" i="36"/>
  <c r="C260" i="36"/>
  <c r="D260" i="36" s="1"/>
  <c r="A261" i="36"/>
  <c r="B261" i="36"/>
  <c r="C261" i="36"/>
  <c r="D261" i="36" s="1"/>
  <c r="A262" i="36"/>
  <c r="B262" i="36"/>
  <c r="C262" i="36"/>
  <c r="G262" i="36" s="1"/>
  <c r="A263" i="36"/>
  <c r="B263" i="36"/>
  <c r="C263" i="36"/>
  <c r="D263" i="36" s="1"/>
  <c r="A264" i="36"/>
  <c r="B264" i="36"/>
  <c r="C264" i="36"/>
  <c r="H264" i="36" s="1"/>
  <c r="A265" i="36"/>
  <c r="B265" i="36"/>
  <c r="C265" i="36"/>
  <c r="E265" i="36" s="1"/>
  <c r="A266" i="36"/>
  <c r="B266" i="36"/>
  <c r="C266" i="36"/>
  <c r="G266" i="36" s="1"/>
  <c r="A267" i="36"/>
  <c r="B267" i="36"/>
  <c r="C267" i="36"/>
  <c r="I267" i="36" s="1"/>
  <c r="A268" i="36"/>
  <c r="B268" i="36"/>
  <c r="C268" i="36"/>
  <c r="D268" i="36" s="1"/>
  <c r="A269" i="36"/>
  <c r="B269" i="36"/>
  <c r="C269" i="36"/>
  <c r="E269" i="36" s="1"/>
  <c r="D269" i="36"/>
  <c r="A270" i="36"/>
  <c r="B270" i="36"/>
  <c r="C270" i="36"/>
  <c r="D270" i="36" s="1"/>
  <c r="A271" i="36"/>
  <c r="B271" i="36"/>
  <c r="C271" i="36"/>
  <c r="F271" i="36" s="1"/>
  <c r="H271" i="36"/>
  <c r="A272" i="36"/>
  <c r="B272" i="36"/>
  <c r="C272" i="36"/>
  <c r="H272" i="36" s="1"/>
  <c r="A273" i="36"/>
  <c r="B273" i="36"/>
  <c r="C273" i="36"/>
  <c r="D273" i="36" s="1"/>
  <c r="A274" i="36"/>
  <c r="B274" i="36"/>
  <c r="C274" i="36"/>
  <c r="G274" i="36" s="1"/>
  <c r="A275" i="36"/>
  <c r="B275" i="36"/>
  <c r="C275" i="36"/>
  <c r="D275" i="36" s="1"/>
  <c r="A276" i="36"/>
  <c r="B276" i="36"/>
  <c r="C276" i="36"/>
  <c r="F276" i="36" s="1"/>
  <c r="A277" i="36"/>
  <c r="B277" i="36"/>
  <c r="C277" i="36"/>
  <c r="E277" i="36" s="1"/>
  <c r="A278" i="36"/>
  <c r="B278" i="36"/>
  <c r="C278" i="36"/>
  <c r="E278" i="36" s="1"/>
  <c r="G278" i="36"/>
  <c r="A279" i="36"/>
  <c r="B279" i="36"/>
  <c r="C279" i="36"/>
  <c r="D279" i="36" s="1"/>
  <c r="J279" i="36"/>
  <c r="A280" i="36"/>
  <c r="B280" i="36"/>
  <c r="C280" i="36"/>
  <c r="G280" i="36" s="1"/>
  <c r="D280" i="36"/>
  <c r="J280" i="36"/>
  <c r="A281" i="36"/>
  <c r="B281" i="36"/>
  <c r="C281" i="36"/>
  <c r="I281" i="36" s="1"/>
  <c r="D281" i="36"/>
  <c r="A282" i="36"/>
  <c r="B282" i="36"/>
  <c r="C282" i="36"/>
  <c r="D282" i="36" s="1"/>
  <c r="A283" i="36"/>
  <c r="B283" i="36"/>
  <c r="C283" i="36"/>
  <c r="H283" i="36" s="1"/>
  <c r="A284" i="36"/>
  <c r="B284" i="36"/>
  <c r="C284" i="36"/>
  <c r="H284" i="36" s="1"/>
  <c r="A285" i="36"/>
  <c r="B285" i="36"/>
  <c r="C285" i="36"/>
  <c r="J285" i="36" s="1"/>
  <c r="A286" i="36"/>
  <c r="B286" i="36"/>
  <c r="C286" i="36"/>
  <c r="E286" i="36"/>
  <c r="H286" i="36"/>
  <c r="I286" i="36"/>
  <c r="J286" i="36"/>
  <c r="A287" i="36"/>
  <c r="B287" i="36"/>
  <c r="C287" i="36"/>
  <c r="E287" i="36" s="1"/>
  <c r="A288" i="36"/>
  <c r="B288" i="36"/>
  <c r="C288" i="36"/>
  <c r="E288" i="36" s="1"/>
  <c r="D288" i="36"/>
  <c r="F288" i="36"/>
  <c r="G288" i="36"/>
  <c r="J288" i="36"/>
  <c r="A289" i="36"/>
  <c r="B289" i="36"/>
  <c r="C289" i="36"/>
  <c r="F289" i="36" s="1"/>
  <c r="D289" i="36"/>
  <c r="G289" i="36"/>
  <c r="I289" i="36"/>
  <c r="A290" i="36"/>
  <c r="B290" i="36"/>
  <c r="C290" i="36"/>
  <c r="E290" i="36" s="1"/>
  <c r="D290" i="36"/>
  <c r="A291" i="36"/>
  <c r="B291" i="36"/>
  <c r="C291" i="36"/>
  <c r="A292" i="36"/>
  <c r="B292" i="36"/>
  <c r="C292" i="36"/>
  <c r="E292" i="36" s="1"/>
  <c r="A293" i="36"/>
  <c r="B293" i="36"/>
  <c r="C293" i="36"/>
  <c r="J293" i="36" s="1"/>
  <c r="A294" i="36"/>
  <c r="B294" i="36"/>
  <c r="C294" i="36"/>
  <c r="D294" i="36" s="1"/>
  <c r="A295" i="36"/>
  <c r="B295" i="36"/>
  <c r="C295" i="36"/>
  <c r="D295" i="36" s="1"/>
  <c r="A296" i="36"/>
  <c r="B296" i="36"/>
  <c r="C296" i="36"/>
  <c r="D296" i="36" s="1"/>
  <c r="A297" i="36"/>
  <c r="B297" i="36"/>
  <c r="C297" i="36"/>
  <c r="D297" i="36" s="1"/>
  <c r="G297" i="36"/>
  <c r="A298" i="36"/>
  <c r="B298" i="36"/>
  <c r="C298" i="36"/>
  <c r="F298" i="36" s="1"/>
  <c r="A299" i="36"/>
  <c r="B299" i="36"/>
  <c r="C299" i="36"/>
  <c r="H299" i="36" s="1"/>
  <c r="A300" i="36"/>
  <c r="B300" i="36"/>
  <c r="C300" i="36"/>
  <c r="A301" i="36"/>
  <c r="B301" i="36"/>
  <c r="C301" i="36"/>
  <c r="J301" i="36" s="1"/>
  <c r="A302" i="36"/>
  <c r="B302" i="36"/>
  <c r="C302" i="36"/>
  <c r="G302" i="36" s="1"/>
  <c r="A303" i="36"/>
  <c r="B303" i="36"/>
  <c r="C303" i="36"/>
  <c r="H303" i="36" s="1"/>
  <c r="I303" i="36"/>
  <c r="A304" i="36"/>
  <c r="B304" i="36"/>
  <c r="C304" i="36"/>
  <c r="J304" i="36" s="1"/>
  <c r="A305" i="36"/>
  <c r="B305" i="36"/>
  <c r="C305" i="36"/>
  <c r="F305" i="36" s="1"/>
  <c r="A306" i="36"/>
  <c r="B306" i="36"/>
  <c r="C306" i="36"/>
  <c r="D306" i="36" s="1"/>
  <c r="A307" i="36"/>
  <c r="B307" i="36"/>
  <c r="C307" i="36"/>
  <c r="F307" i="36" s="1"/>
  <c r="A308" i="36"/>
  <c r="B308" i="36"/>
  <c r="C308" i="36"/>
  <c r="E308" i="36" s="1"/>
  <c r="A309" i="36"/>
  <c r="B309" i="36"/>
  <c r="C309" i="36"/>
  <c r="J309" i="36" s="1"/>
  <c r="A310" i="36"/>
  <c r="B310" i="36"/>
  <c r="C310" i="36"/>
  <c r="J310" i="36" s="1"/>
  <c r="G310" i="36"/>
  <c r="I310" i="36"/>
  <c r="A311" i="36"/>
  <c r="B311" i="36"/>
  <c r="C311" i="36"/>
  <c r="H311" i="36" s="1"/>
  <c r="A312" i="36"/>
  <c r="B312" i="36"/>
  <c r="C312" i="36"/>
  <c r="A313" i="36"/>
  <c r="B313" i="36"/>
  <c r="C313" i="36"/>
  <c r="F313" i="36" s="1"/>
  <c r="A314" i="36"/>
  <c r="B314" i="36"/>
  <c r="C314" i="36"/>
  <c r="F314" i="36" s="1"/>
  <c r="A315" i="36"/>
  <c r="B315" i="36"/>
  <c r="C315" i="36"/>
  <c r="I315" i="36" s="1"/>
  <c r="A316" i="36"/>
  <c r="B316" i="36"/>
  <c r="C316" i="36"/>
  <c r="E316" i="36" s="1"/>
  <c r="A12" i="9"/>
  <c r="B12" i="9"/>
  <c r="C12" i="9"/>
  <c r="A13" i="9"/>
  <c r="B13" i="9"/>
  <c r="C13" i="9"/>
  <c r="A14" i="9"/>
  <c r="B14" i="9"/>
  <c r="C14" i="9"/>
  <c r="A15" i="9"/>
  <c r="B15" i="9"/>
  <c r="C15" i="9"/>
  <c r="A16" i="9"/>
  <c r="B16" i="9"/>
  <c r="C16" i="9"/>
  <c r="A17" i="9"/>
  <c r="B17" i="9"/>
  <c r="C17" i="9"/>
  <c r="A18" i="9"/>
  <c r="B18" i="9"/>
  <c r="C18" i="9"/>
  <c r="A19" i="9"/>
  <c r="B19" i="9"/>
  <c r="C19" i="9"/>
  <c r="A20" i="9"/>
  <c r="B20" i="9"/>
  <c r="C20" i="9"/>
  <c r="A21" i="9"/>
  <c r="B21" i="9"/>
  <c r="C21" i="9"/>
  <c r="A22" i="9"/>
  <c r="B22" i="9"/>
  <c r="C22" i="9"/>
  <c r="A23" i="9"/>
  <c r="B23" i="9"/>
  <c r="C23" i="9"/>
  <c r="A24" i="9"/>
  <c r="B24" i="9"/>
  <c r="C24" i="9"/>
  <c r="A25" i="9"/>
  <c r="B25" i="9"/>
  <c r="C25" i="9"/>
  <c r="A26" i="9"/>
  <c r="B26" i="9"/>
  <c r="C26" i="9"/>
  <c r="A27" i="9"/>
  <c r="B27" i="9"/>
  <c r="C27" i="9"/>
  <c r="A28" i="9"/>
  <c r="B28" i="9"/>
  <c r="C28" i="9"/>
  <c r="A29" i="9"/>
  <c r="B29" i="9"/>
  <c r="C29" i="9"/>
  <c r="A30" i="9"/>
  <c r="B30" i="9"/>
  <c r="C30" i="9"/>
  <c r="A31" i="9"/>
  <c r="B31" i="9"/>
  <c r="C31" i="9"/>
  <c r="A32" i="9"/>
  <c r="B32" i="9"/>
  <c r="C32" i="9"/>
  <c r="A33" i="9"/>
  <c r="B33" i="9"/>
  <c r="C33" i="9"/>
  <c r="A34" i="9"/>
  <c r="B34" i="9"/>
  <c r="C34" i="9"/>
  <c r="A35" i="9"/>
  <c r="B35" i="9"/>
  <c r="C35" i="9"/>
  <c r="A36" i="9"/>
  <c r="B36" i="9"/>
  <c r="C36" i="9"/>
  <c r="A37" i="9"/>
  <c r="B37" i="9"/>
  <c r="C37" i="9"/>
  <c r="A38" i="9"/>
  <c r="B38" i="9"/>
  <c r="C38" i="9"/>
  <c r="A39" i="9"/>
  <c r="B39" i="9"/>
  <c r="C39" i="9"/>
  <c r="A40" i="9"/>
  <c r="B40" i="9"/>
  <c r="C40" i="9"/>
  <c r="A41" i="9"/>
  <c r="B41" i="9"/>
  <c r="C41" i="9"/>
  <c r="A42" i="9"/>
  <c r="B42" i="9"/>
  <c r="C42" i="9"/>
  <c r="A43" i="9"/>
  <c r="B43" i="9"/>
  <c r="C43" i="9"/>
  <c r="A44" i="9"/>
  <c r="B44" i="9"/>
  <c r="C44" i="9"/>
  <c r="A45" i="9"/>
  <c r="B45" i="9"/>
  <c r="C45" i="9"/>
  <c r="A46" i="9"/>
  <c r="B46" i="9"/>
  <c r="C46" i="9"/>
  <c r="A47" i="9"/>
  <c r="B47" i="9"/>
  <c r="C47" i="9"/>
  <c r="A48" i="9"/>
  <c r="B48" i="9"/>
  <c r="C48" i="9"/>
  <c r="A49" i="9"/>
  <c r="B49" i="9"/>
  <c r="C49" i="9"/>
  <c r="A50" i="9"/>
  <c r="B50" i="9"/>
  <c r="C50" i="9"/>
  <c r="A51" i="9"/>
  <c r="B51" i="9"/>
  <c r="C51" i="9"/>
  <c r="A52" i="9"/>
  <c r="B52" i="9"/>
  <c r="C52" i="9"/>
  <c r="A53" i="9"/>
  <c r="B53" i="9"/>
  <c r="C53" i="9"/>
  <c r="A54" i="9"/>
  <c r="B54" i="9"/>
  <c r="C54" i="9"/>
  <c r="A55" i="9"/>
  <c r="B55" i="9"/>
  <c r="C55" i="9"/>
  <c r="A56" i="9"/>
  <c r="B56" i="9"/>
  <c r="C56" i="9"/>
  <c r="A57" i="9"/>
  <c r="B57" i="9"/>
  <c r="C57" i="9"/>
  <c r="A58" i="9"/>
  <c r="B58" i="9"/>
  <c r="C58" i="9"/>
  <c r="A59" i="9"/>
  <c r="B59" i="9"/>
  <c r="C59" i="9"/>
  <c r="A60" i="9"/>
  <c r="B60" i="9"/>
  <c r="C60" i="9"/>
  <c r="A61" i="9"/>
  <c r="B61" i="9"/>
  <c r="C61" i="9"/>
  <c r="A62" i="9"/>
  <c r="B62" i="9"/>
  <c r="C62" i="9"/>
  <c r="A63" i="9"/>
  <c r="B63" i="9"/>
  <c r="C63" i="9"/>
  <c r="A64" i="9"/>
  <c r="B64" i="9"/>
  <c r="C64" i="9"/>
  <c r="A65" i="9"/>
  <c r="B65" i="9"/>
  <c r="C65" i="9"/>
  <c r="A66" i="9"/>
  <c r="B66" i="9"/>
  <c r="C66" i="9"/>
  <c r="A67" i="9"/>
  <c r="B67" i="9"/>
  <c r="C67" i="9"/>
  <c r="A68" i="9"/>
  <c r="B68" i="9"/>
  <c r="C68" i="9"/>
  <c r="A69" i="9"/>
  <c r="B69" i="9"/>
  <c r="C69" i="9"/>
  <c r="A70" i="9"/>
  <c r="B70" i="9"/>
  <c r="C70" i="9"/>
  <c r="A71" i="9"/>
  <c r="B71" i="9"/>
  <c r="C71" i="9"/>
  <c r="A72" i="9"/>
  <c r="B72" i="9"/>
  <c r="C72" i="9"/>
  <c r="A73" i="9"/>
  <c r="B73" i="9"/>
  <c r="C73" i="9"/>
  <c r="A74" i="9"/>
  <c r="B74" i="9"/>
  <c r="C74" i="9"/>
  <c r="A75" i="9"/>
  <c r="B75" i="9"/>
  <c r="C75" i="9"/>
  <c r="A76" i="9"/>
  <c r="B76" i="9"/>
  <c r="C76" i="9"/>
  <c r="A77" i="9"/>
  <c r="B77" i="9"/>
  <c r="C77" i="9"/>
  <c r="A78" i="9"/>
  <c r="B78" i="9"/>
  <c r="C78" i="9"/>
  <c r="A79" i="9"/>
  <c r="B79" i="9"/>
  <c r="C79" i="9"/>
  <c r="A80" i="9"/>
  <c r="B80" i="9"/>
  <c r="C80" i="9"/>
  <c r="A81" i="9"/>
  <c r="B81" i="9"/>
  <c r="C81" i="9"/>
  <c r="A82" i="9"/>
  <c r="B82" i="9"/>
  <c r="C82" i="9"/>
  <c r="A83" i="9"/>
  <c r="B83" i="9"/>
  <c r="C83" i="9"/>
  <c r="A84" i="9"/>
  <c r="B84" i="9"/>
  <c r="C84" i="9"/>
  <c r="A85" i="9"/>
  <c r="B85" i="9"/>
  <c r="C85" i="9"/>
  <c r="A86" i="9"/>
  <c r="B86" i="9"/>
  <c r="C86" i="9"/>
  <c r="A87" i="9"/>
  <c r="B87" i="9"/>
  <c r="C87" i="9"/>
  <c r="A88" i="9"/>
  <c r="B88" i="9"/>
  <c r="C88" i="9"/>
  <c r="A89" i="9"/>
  <c r="B89" i="9"/>
  <c r="C89" i="9"/>
  <c r="A90" i="9"/>
  <c r="B90" i="9"/>
  <c r="C90" i="9"/>
  <c r="A91" i="9"/>
  <c r="B91" i="9"/>
  <c r="C91" i="9"/>
  <c r="A92" i="9"/>
  <c r="B92" i="9"/>
  <c r="C92" i="9"/>
  <c r="A93" i="9"/>
  <c r="B93" i="9"/>
  <c r="C93" i="9"/>
  <c r="A94" i="9"/>
  <c r="B94" i="9"/>
  <c r="C94" i="9"/>
  <c r="A95" i="9"/>
  <c r="B95" i="9"/>
  <c r="C95" i="9"/>
  <c r="A96" i="9"/>
  <c r="B96" i="9"/>
  <c r="C96" i="9"/>
  <c r="A97" i="9"/>
  <c r="B97" i="9"/>
  <c r="C97" i="9"/>
  <c r="A98" i="9"/>
  <c r="B98" i="9"/>
  <c r="C98" i="9"/>
  <c r="A99" i="9"/>
  <c r="B99" i="9"/>
  <c r="C99" i="9"/>
  <c r="A100" i="9"/>
  <c r="B100" i="9"/>
  <c r="C100" i="9"/>
  <c r="A101" i="9"/>
  <c r="B101" i="9"/>
  <c r="C101" i="9"/>
  <c r="A102" i="9"/>
  <c r="B102" i="9"/>
  <c r="C102" i="9"/>
  <c r="A103" i="9"/>
  <c r="B103" i="9"/>
  <c r="C103" i="9"/>
  <c r="A104" i="9"/>
  <c r="B104" i="9"/>
  <c r="C104" i="9"/>
  <c r="A105" i="9"/>
  <c r="B105" i="9"/>
  <c r="C105" i="9"/>
  <c r="A106" i="9"/>
  <c r="B106" i="9"/>
  <c r="C106" i="9"/>
  <c r="A107" i="9"/>
  <c r="B107" i="9"/>
  <c r="C107" i="9"/>
  <c r="A108" i="9"/>
  <c r="B108" i="9"/>
  <c r="C108" i="9"/>
  <c r="A109" i="9"/>
  <c r="B109" i="9"/>
  <c r="C109" i="9"/>
  <c r="A110" i="9"/>
  <c r="B110" i="9"/>
  <c r="C110" i="9"/>
  <c r="A111" i="9"/>
  <c r="B111" i="9"/>
  <c r="C111" i="9"/>
  <c r="A112" i="9"/>
  <c r="B112" i="9"/>
  <c r="C112" i="9"/>
  <c r="A113" i="9"/>
  <c r="B113" i="9"/>
  <c r="C113" i="9"/>
  <c r="A114" i="9"/>
  <c r="B114" i="9"/>
  <c r="C114" i="9"/>
  <c r="A115" i="9"/>
  <c r="B115" i="9"/>
  <c r="C115" i="9"/>
  <c r="A116" i="9"/>
  <c r="B116" i="9"/>
  <c r="C116" i="9"/>
  <c r="A117" i="9"/>
  <c r="B117" i="9"/>
  <c r="C117" i="9"/>
  <c r="A118" i="9"/>
  <c r="B118" i="9"/>
  <c r="C118" i="9"/>
  <c r="A119" i="9"/>
  <c r="B119" i="9"/>
  <c r="C119" i="9"/>
  <c r="A120" i="9"/>
  <c r="B120" i="9"/>
  <c r="C120" i="9"/>
  <c r="A121" i="9"/>
  <c r="B121" i="9"/>
  <c r="C121" i="9"/>
  <c r="A122" i="9"/>
  <c r="B122" i="9"/>
  <c r="C122" i="9"/>
  <c r="A123" i="9"/>
  <c r="B123" i="9"/>
  <c r="C123" i="9"/>
  <c r="A124" i="9"/>
  <c r="B124" i="9"/>
  <c r="C124" i="9"/>
  <c r="A125" i="9"/>
  <c r="B125" i="9"/>
  <c r="C125" i="9"/>
  <c r="A126" i="9"/>
  <c r="B126" i="9"/>
  <c r="C126" i="9"/>
  <c r="A127" i="9"/>
  <c r="B127" i="9"/>
  <c r="C127" i="9"/>
  <c r="A128" i="9"/>
  <c r="B128" i="9"/>
  <c r="C128" i="9"/>
  <c r="A129" i="9"/>
  <c r="B129" i="9"/>
  <c r="C129" i="9"/>
  <c r="A130" i="9"/>
  <c r="B130" i="9"/>
  <c r="C130" i="9"/>
  <c r="A131" i="9"/>
  <c r="B131" i="9"/>
  <c r="C131" i="9"/>
  <c r="A132" i="9"/>
  <c r="B132" i="9"/>
  <c r="C132" i="9"/>
  <c r="A133" i="9"/>
  <c r="B133" i="9"/>
  <c r="C133" i="9"/>
  <c r="A134" i="9"/>
  <c r="B134" i="9"/>
  <c r="C134" i="9"/>
  <c r="A135" i="9"/>
  <c r="B135" i="9"/>
  <c r="C135" i="9"/>
  <c r="A136" i="9"/>
  <c r="B136" i="9"/>
  <c r="C136" i="9"/>
  <c r="A137" i="9"/>
  <c r="B137" i="9"/>
  <c r="C137" i="9"/>
  <c r="A138" i="9"/>
  <c r="B138" i="9"/>
  <c r="C138" i="9"/>
  <c r="A139" i="9"/>
  <c r="B139" i="9"/>
  <c r="C139" i="9"/>
  <c r="A140" i="9"/>
  <c r="B140" i="9"/>
  <c r="C140" i="9"/>
  <c r="A141" i="9"/>
  <c r="B141" i="9"/>
  <c r="C141" i="9"/>
  <c r="A142" i="9"/>
  <c r="B142" i="9"/>
  <c r="C142" i="9"/>
  <c r="A143" i="9"/>
  <c r="B143" i="9"/>
  <c r="C143" i="9"/>
  <c r="A144" i="9"/>
  <c r="B144" i="9"/>
  <c r="C144" i="9"/>
  <c r="A145" i="9"/>
  <c r="B145" i="9"/>
  <c r="C145" i="9"/>
  <c r="A146" i="9"/>
  <c r="B146" i="9"/>
  <c r="C146" i="9"/>
  <c r="A147" i="9"/>
  <c r="B147" i="9"/>
  <c r="C147" i="9"/>
  <c r="A148" i="9"/>
  <c r="B148" i="9"/>
  <c r="C148" i="9"/>
  <c r="A149" i="9"/>
  <c r="B149" i="9"/>
  <c r="C149" i="9"/>
  <c r="A150" i="9"/>
  <c r="B150" i="9"/>
  <c r="C150" i="9"/>
  <c r="A151" i="9"/>
  <c r="B151" i="9"/>
  <c r="C151" i="9"/>
  <c r="A152" i="9"/>
  <c r="B152" i="9"/>
  <c r="C152" i="9"/>
  <c r="A153" i="9"/>
  <c r="B153" i="9"/>
  <c r="C153" i="9"/>
  <c r="A154" i="9"/>
  <c r="B154" i="9"/>
  <c r="C154" i="9"/>
  <c r="A155" i="9"/>
  <c r="B155" i="9"/>
  <c r="C155" i="9"/>
  <c r="A156" i="9"/>
  <c r="B156" i="9"/>
  <c r="C156" i="9"/>
  <c r="A157" i="9"/>
  <c r="B157" i="9"/>
  <c r="C157" i="9"/>
  <c r="A158" i="9"/>
  <c r="B158" i="9"/>
  <c r="C158" i="9"/>
  <c r="A159" i="9"/>
  <c r="B159" i="9"/>
  <c r="C159" i="9"/>
  <c r="A160" i="9"/>
  <c r="B160" i="9"/>
  <c r="C160" i="9"/>
  <c r="A161" i="9"/>
  <c r="B161" i="9"/>
  <c r="C161" i="9"/>
  <c r="A162" i="9"/>
  <c r="B162" i="9"/>
  <c r="C162" i="9"/>
  <c r="A163" i="9"/>
  <c r="B163" i="9"/>
  <c r="C163" i="9"/>
  <c r="A164" i="9"/>
  <c r="B164" i="9"/>
  <c r="C164" i="9"/>
  <c r="A165" i="9"/>
  <c r="B165" i="9"/>
  <c r="C165" i="9"/>
  <c r="A166" i="9"/>
  <c r="B166" i="9"/>
  <c r="C166" i="9"/>
  <c r="A167" i="9"/>
  <c r="B167" i="9"/>
  <c r="C167" i="9"/>
  <c r="A168" i="9"/>
  <c r="B168" i="9"/>
  <c r="C168" i="9"/>
  <c r="A169" i="9"/>
  <c r="B169" i="9"/>
  <c r="C169" i="9"/>
  <c r="A170" i="9"/>
  <c r="B170" i="9"/>
  <c r="C170" i="9"/>
  <c r="A171" i="9"/>
  <c r="B171" i="9"/>
  <c r="C171" i="9"/>
  <c r="A172" i="9"/>
  <c r="B172" i="9"/>
  <c r="C172" i="9"/>
  <c r="A173" i="9"/>
  <c r="B173" i="9"/>
  <c r="C173" i="9"/>
  <c r="A174" i="9"/>
  <c r="B174" i="9"/>
  <c r="C174" i="9"/>
  <c r="A175" i="9"/>
  <c r="B175" i="9"/>
  <c r="C175" i="9"/>
  <c r="A176" i="9"/>
  <c r="B176" i="9"/>
  <c r="C176" i="9"/>
  <c r="A177" i="9"/>
  <c r="B177" i="9"/>
  <c r="C177" i="9"/>
  <c r="A178" i="9"/>
  <c r="B178" i="9"/>
  <c r="C178" i="9"/>
  <c r="A179" i="9"/>
  <c r="B179" i="9"/>
  <c r="C179" i="9"/>
  <c r="A180" i="9"/>
  <c r="B180" i="9"/>
  <c r="C180" i="9"/>
  <c r="A181" i="9"/>
  <c r="B181" i="9"/>
  <c r="C181" i="9"/>
  <c r="A182" i="9"/>
  <c r="B182" i="9"/>
  <c r="C182" i="9"/>
  <c r="A183" i="9"/>
  <c r="B183" i="9"/>
  <c r="C183" i="9"/>
  <c r="A184" i="9"/>
  <c r="B184" i="9"/>
  <c r="C184" i="9"/>
  <c r="A185" i="9"/>
  <c r="B185" i="9"/>
  <c r="C185" i="9"/>
  <c r="A186" i="9"/>
  <c r="B186" i="9"/>
  <c r="C186" i="9"/>
  <c r="A187" i="9"/>
  <c r="B187" i="9"/>
  <c r="C187" i="9"/>
  <c r="A188" i="9"/>
  <c r="B188" i="9"/>
  <c r="C188" i="9"/>
  <c r="A189" i="9"/>
  <c r="B189" i="9"/>
  <c r="C189" i="9"/>
  <c r="A190" i="9"/>
  <c r="B190" i="9"/>
  <c r="C190" i="9"/>
  <c r="A191" i="9"/>
  <c r="B191" i="9"/>
  <c r="C191" i="9"/>
  <c r="A192" i="9"/>
  <c r="B192" i="9"/>
  <c r="C192" i="9"/>
  <c r="A193" i="9"/>
  <c r="B193" i="9"/>
  <c r="C193" i="9"/>
  <c r="A194" i="9"/>
  <c r="B194" i="9"/>
  <c r="C194" i="9"/>
  <c r="A195" i="9"/>
  <c r="B195" i="9"/>
  <c r="C195" i="9"/>
  <c r="A196" i="9"/>
  <c r="B196" i="9"/>
  <c r="C196" i="9"/>
  <c r="A197" i="9"/>
  <c r="B197" i="9"/>
  <c r="C197" i="9"/>
  <c r="A198" i="9"/>
  <c r="B198" i="9"/>
  <c r="C198" i="9"/>
  <c r="A199" i="9"/>
  <c r="B199" i="9"/>
  <c r="C199" i="9"/>
  <c r="A200" i="9"/>
  <c r="B200" i="9"/>
  <c r="C200" i="9"/>
  <c r="A201" i="9"/>
  <c r="B201" i="9"/>
  <c r="C201" i="9"/>
  <c r="A202" i="9"/>
  <c r="B202" i="9"/>
  <c r="C202" i="9"/>
  <c r="A203" i="9"/>
  <c r="B203" i="9"/>
  <c r="C203" i="9"/>
  <c r="A204" i="9"/>
  <c r="B204" i="9"/>
  <c r="C204" i="9"/>
  <c r="A205" i="9"/>
  <c r="B205" i="9"/>
  <c r="C205" i="9"/>
  <c r="A206" i="9"/>
  <c r="B206" i="9"/>
  <c r="C206" i="9"/>
  <c r="A207" i="9"/>
  <c r="B207" i="9"/>
  <c r="C207" i="9"/>
  <c r="A208" i="9"/>
  <c r="B208" i="9"/>
  <c r="C208" i="9"/>
  <c r="A209" i="9"/>
  <c r="B209" i="9"/>
  <c r="C209" i="9"/>
  <c r="A210" i="9"/>
  <c r="B210" i="9"/>
  <c r="C210" i="9"/>
  <c r="A211" i="9"/>
  <c r="B211" i="9"/>
  <c r="C211" i="9"/>
  <c r="A212" i="9"/>
  <c r="B212" i="9"/>
  <c r="C212" i="9"/>
  <c r="A213" i="9"/>
  <c r="B213" i="9"/>
  <c r="C213" i="9"/>
  <c r="A214" i="9"/>
  <c r="B214" i="9"/>
  <c r="C214" i="9"/>
  <c r="A215" i="9"/>
  <c r="B215" i="9"/>
  <c r="C215" i="9"/>
  <c r="A216" i="9"/>
  <c r="B216" i="9"/>
  <c r="C216" i="9"/>
  <c r="A217" i="9"/>
  <c r="B217" i="9"/>
  <c r="C217" i="9"/>
  <c r="A218" i="9"/>
  <c r="B218" i="9"/>
  <c r="C218" i="9"/>
  <c r="A219" i="9"/>
  <c r="B219" i="9"/>
  <c r="C219" i="9"/>
  <c r="A220" i="9"/>
  <c r="B220" i="9"/>
  <c r="C220" i="9"/>
  <c r="A221" i="9"/>
  <c r="B221" i="9"/>
  <c r="C221" i="9"/>
  <c r="A222" i="9"/>
  <c r="B222" i="9"/>
  <c r="C222" i="9"/>
  <c r="A223" i="9"/>
  <c r="B223" i="9"/>
  <c r="C223" i="9"/>
  <c r="A224" i="9"/>
  <c r="B224" i="9"/>
  <c r="C224" i="9"/>
  <c r="A225" i="9"/>
  <c r="B225" i="9"/>
  <c r="C225" i="9"/>
  <c r="A226" i="9"/>
  <c r="B226" i="9"/>
  <c r="C226" i="9"/>
  <c r="A227" i="9"/>
  <c r="B227" i="9"/>
  <c r="C227" i="9"/>
  <c r="A228" i="9"/>
  <c r="B228" i="9"/>
  <c r="C228" i="9"/>
  <c r="A229" i="9"/>
  <c r="B229" i="9"/>
  <c r="C229" i="9"/>
  <c r="A230" i="9"/>
  <c r="B230" i="9"/>
  <c r="C230" i="9"/>
  <c r="A231" i="9"/>
  <c r="B231" i="9"/>
  <c r="C231" i="9"/>
  <c r="A232" i="9"/>
  <c r="B232" i="9"/>
  <c r="C232" i="9"/>
  <c r="A233" i="9"/>
  <c r="B233" i="9"/>
  <c r="C233" i="9"/>
  <c r="A234" i="9"/>
  <c r="B234" i="9"/>
  <c r="C234" i="9"/>
  <c r="A235" i="9"/>
  <c r="B235" i="9"/>
  <c r="C235" i="9"/>
  <c r="A236" i="9"/>
  <c r="B236" i="9"/>
  <c r="C236" i="9"/>
  <c r="A237" i="9"/>
  <c r="B237" i="9"/>
  <c r="C237" i="9"/>
  <c r="A238" i="9"/>
  <c r="B238" i="9"/>
  <c r="C238" i="9"/>
  <c r="A239" i="9"/>
  <c r="B239" i="9"/>
  <c r="C239" i="9"/>
  <c r="A240" i="9"/>
  <c r="B240" i="9"/>
  <c r="C240" i="9"/>
  <c r="A241" i="9"/>
  <c r="B241" i="9"/>
  <c r="C241" i="9"/>
  <c r="A242" i="9"/>
  <c r="B242" i="9"/>
  <c r="C242" i="9"/>
  <c r="A243" i="9"/>
  <c r="B243" i="9"/>
  <c r="C243" i="9"/>
  <c r="A244" i="9"/>
  <c r="B244" i="9"/>
  <c r="C244" i="9"/>
  <c r="A245" i="9"/>
  <c r="B245" i="9"/>
  <c r="C245" i="9"/>
  <c r="A246" i="9"/>
  <c r="B246" i="9"/>
  <c r="C246" i="9"/>
  <c r="A247" i="9"/>
  <c r="B247" i="9"/>
  <c r="C247" i="9"/>
  <c r="A248" i="9"/>
  <c r="B248" i="9"/>
  <c r="C248" i="9"/>
  <c r="A249" i="9"/>
  <c r="B249" i="9"/>
  <c r="C249" i="9"/>
  <c r="A250" i="9"/>
  <c r="B250" i="9"/>
  <c r="C250" i="9"/>
  <c r="A251" i="9"/>
  <c r="B251" i="9"/>
  <c r="C251" i="9"/>
  <c r="A252" i="9"/>
  <c r="B252" i="9"/>
  <c r="C252" i="9"/>
  <c r="A253" i="9"/>
  <c r="B253" i="9"/>
  <c r="C253" i="9"/>
  <c r="A254" i="9"/>
  <c r="B254" i="9"/>
  <c r="C254" i="9"/>
  <c r="A255" i="9"/>
  <c r="B255" i="9"/>
  <c r="C255" i="9"/>
  <c r="A256" i="9"/>
  <c r="B256" i="9"/>
  <c r="C256" i="9"/>
  <c r="A257" i="9"/>
  <c r="B257" i="9"/>
  <c r="C257" i="9"/>
  <c r="A258" i="9"/>
  <c r="B258" i="9"/>
  <c r="C258" i="9"/>
  <c r="A259" i="9"/>
  <c r="B259" i="9"/>
  <c r="C259" i="9"/>
  <c r="A260" i="9"/>
  <c r="B260" i="9"/>
  <c r="C260" i="9"/>
  <c r="A261" i="9"/>
  <c r="B261" i="9"/>
  <c r="C261" i="9"/>
  <c r="A262" i="9"/>
  <c r="B262" i="9"/>
  <c r="C262" i="9"/>
  <c r="A263" i="9"/>
  <c r="B263" i="9"/>
  <c r="C263" i="9"/>
  <c r="A264" i="9"/>
  <c r="B264" i="9"/>
  <c r="C264" i="9"/>
  <c r="A265" i="9"/>
  <c r="B265" i="9"/>
  <c r="C265" i="9"/>
  <c r="A266" i="9"/>
  <c r="B266" i="9"/>
  <c r="C266" i="9"/>
  <c r="A267" i="9"/>
  <c r="B267" i="9"/>
  <c r="C267" i="9"/>
  <c r="A268" i="9"/>
  <c r="B268" i="9"/>
  <c r="C268" i="9"/>
  <c r="A269" i="9"/>
  <c r="B269" i="9"/>
  <c r="C269" i="9"/>
  <c r="A270" i="9"/>
  <c r="B270" i="9"/>
  <c r="C270" i="9"/>
  <c r="A271" i="9"/>
  <c r="B271" i="9"/>
  <c r="C271" i="9"/>
  <c r="A272" i="9"/>
  <c r="B272" i="9"/>
  <c r="C272" i="9"/>
  <c r="A273" i="9"/>
  <c r="B273" i="9"/>
  <c r="C273" i="9"/>
  <c r="A274" i="9"/>
  <c r="B274" i="9"/>
  <c r="C274" i="9"/>
  <c r="A275" i="9"/>
  <c r="B275" i="9"/>
  <c r="C275" i="9"/>
  <c r="A276" i="9"/>
  <c r="B276" i="9"/>
  <c r="C276" i="9"/>
  <c r="A277" i="9"/>
  <c r="B277" i="9"/>
  <c r="C277" i="9"/>
  <c r="A278" i="9"/>
  <c r="B278" i="9"/>
  <c r="C278" i="9"/>
  <c r="A279" i="9"/>
  <c r="B279" i="9"/>
  <c r="C279" i="9"/>
  <c r="A280" i="9"/>
  <c r="B280" i="9"/>
  <c r="C280" i="9"/>
  <c r="A281" i="9"/>
  <c r="B281" i="9"/>
  <c r="C281" i="9"/>
  <c r="A282" i="9"/>
  <c r="B282" i="9"/>
  <c r="C282" i="9"/>
  <c r="A283" i="9"/>
  <c r="B283" i="9"/>
  <c r="C283" i="9"/>
  <c r="A284" i="9"/>
  <c r="B284" i="9"/>
  <c r="C284" i="9"/>
  <c r="A285" i="9"/>
  <c r="B285" i="9"/>
  <c r="C285" i="9"/>
  <c r="A286" i="9"/>
  <c r="B286" i="9"/>
  <c r="C286" i="9"/>
  <c r="A287" i="9"/>
  <c r="B287" i="9"/>
  <c r="C287" i="9"/>
  <c r="A288" i="9"/>
  <c r="B288" i="9"/>
  <c r="C288" i="9"/>
  <c r="A289" i="9"/>
  <c r="B289" i="9"/>
  <c r="C289" i="9"/>
  <c r="A290" i="9"/>
  <c r="B290" i="9"/>
  <c r="C290" i="9"/>
  <c r="A291" i="9"/>
  <c r="B291" i="9"/>
  <c r="C291" i="9"/>
  <c r="A292" i="9"/>
  <c r="B292" i="9"/>
  <c r="C292" i="9"/>
  <c r="A293" i="9"/>
  <c r="B293" i="9"/>
  <c r="C293" i="9"/>
  <c r="A294" i="9"/>
  <c r="B294" i="9"/>
  <c r="C294" i="9"/>
  <c r="A295" i="9"/>
  <c r="B295" i="9"/>
  <c r="C295" i="9"/>
  <c r="A296" i="9"/>
  <c r="B296" i="9"/>
  <c r="C296" i="9"/>
  <c r="A297" i="9"/>
  <c r="B297" i="9"/>
  <c r="C297" i="9"/>
  <c r="A298" i="9"/>
  <c r="B298" i="9"/>
  <c r="C298" i="9"/>
  <c r="A299" i="9"/>
  <c r="B299" i="9"/>
  <c r="C299" i="9"/>
  <c r="A300" i="9"/>
  <c r="B300" i="9"/>
  <c r="C300" i="9"/>
  <c r="A301" i="9"/>
  <c r="B301" i="9"/>
  <c r="C301" i="9"/>
  <c r="A302" i="9"/>
  <c r="B302" i="9"/>
  <c r="C302" i="9"/>
  <c r="A303" i="9"/>
  <c r="B303" i="9"/>
  <c r="C303" i="9"/>
  <c r="A304" i="9"/>
  <c r="B304" i="9"/>
  <c r="C304" i="9"/>
  <c r="A305" i="9"/>
  <c r="B305" i="9"/>
  <c r="C305" i="9"/>
  <c r="A306" i="9"/>
  <c r="B306" i="9"/>
  <c r="C306" i="9"/>
  <c r="A307" i="9"/>
  <c r="B307" i="9"/>
  <c r="C307" i="9"/>
  <c r="A308" i="9"/>
  <c r="B308" i="9"/>
  <c r="C308" i="9"/>
  <c r="A309" i="9"/>
  <c r="B309" i="9"/>
  <c r="C309" i="9"/>
  <c r="A310" i="9"/>
  <c r="B310" i="9"/>
  <c r="C310" i="9"/>
  <c r="A311" i="9"/>
  <c r="B311" i="9"/>
  <c r="C311" i="9"/>
  <c r="A312" i="9"/>
  <c r="B312" i="9"/>
  <c r="C312" i="9"/>
  <c r="A313" i="9"/>
  <c r="B313" i="9"/>
  <c r="C313" i="9"/>
  <c r="A314" i="9"/>
  <c r="B314" i="9"/>
  <c r="C314" i="9"/>
  <c r="A315" i="9"/>
  <c r="B315" i="9"/>
  <c r="C315" i="9"/>
  <c r="A316" i="9"/>
  <c r="B316" i="9"/>
  <c r="C316" i="9"/>
  <c r="A317" i="9"/>
  <c r="B317" i="9"/>
  <c r="C317" i="9"/>
  <c r="A318" i="9"/>
  <c r="B318" i="9"/>
  <c r="C318" i="9"/>
  <c r="A319" i="9"/>
  <c r="B319" i="9"/>
  <c r="C319" i="9"/>
  <c r="A6" i="33"/>
  <c r="B6" i="33"/>
  <c r="A7" i="33"/>
  <c r="B7" i="33"/>
  <c r="A8" i="33"/>
  <c r="B8" i="33"/>
  <c r="A9" i="33"/>
  <c r="B9" i="33"/>
  <c r="A10" i="33"/>
  <c r="B10" i="33"/>
  <c r="A11" i="33"/>
  <c r="B11" i="33"/>
  <c r="A12" i="33"/>
  <c r="B12" i="33"/>
  <c r="A13" i="33"/>
  <c r="B13" i="33"/>
  <c r="A14" i="33"/>
  <c r="B14" i="33"/>
  <c r="A15" i="33"/>
  <c r="B15" i="33"/>
  <c r="A16" i="33"/>
  <c r="B16" i="33"/>
  <c r="A17" i="33"/>
  <c r="B17" i="33"/>
  <c r="A18" i="33"/>
  <c r="B18" i="33"/>
  <c r="A19" i="33"/>
  <c r="B19" i="33"/>
  <c r="A20" i="33"/>
  <c r="B20" i="33"/>
  <c r="A21" i="33"/>
  <c r="B21" i="33"/>
  <c r="A22" i="33"/>
  <c r="B22" i="33"/>
  <c r="A23" i="33"/>
  <c r="B23" i="33"/>
  <c r="A24" i="33"/>
  <c r="B24" i="33"/>
  <c r="A25" i="33"/>
  <c r="B25" i="33"/>
  <c r="A26" i="33"/>
  <c r="B26" i="33"/>
  <c r="A27" i="33"/>
  <c r="B27" i="33"/>
  <c r="A28" i="33"/>
  <c r="B28" i="33"/>
  <c r="A29" i="33"/>
  <c r="B29" i="33"/>
  <c r="A30" i="33"/>
  <c r="B30" i="33"/>
  <c r="A31" i="33"/>
  <c r="B31" i="33"/>
  <c r="A32" i="33"/>
  <c r="B32" i="33"/>
  <c r="A33" i="33"/>
  <c r="B33" i="33"/>
  <c r="A34" i="33"/>
  <c r="B34" i="33"/>
  <c r="A35" i="33"/>
  <c r="B35" i="33"/>
  <c r="A36" i="33"/>
  <c r="B36" i="33"/>
  <c r="A37" i="33"/>
  <c r="B37" i="33"/>
  <c r="A38" i="33"/>
  <c r="B38" i="33"/>
  <c r="A39" i="33"/>
  <c r="B39" i="33"/>
  <c r="A40" i="33"/>
  <c r="B40" i="33"/>
  <c r="A41" i="33"/>
  <c r="B41" i="33"/>
  <c r="A42" i="33"/>
  <c r="B42" i="33"/>
  <c r="A43" i="33"/>
  <c r="B43" i="33"/>
  <c r="A44" i="33"/>
  <c r="B44" i="33"/>
  <c r="A45" i="33"/>
  <c r="B45" i="33"/>
  <c r="A46" i="33"/>
  <c r="B46" i="33"/>
  <c r="A47" i="33"/>
  <c r="B47" i="33"/>
  <c r="A48" i="33"/>
  <c r="B48" i="33"/>
  <c r="A49" i="33"/>
  <c r="B49" i="33"/>
  <c r="A50" i="33"/>
  <c r="B50" i="33"/>
  <c r="A51" i="33"/>
  <c r="B51" i="33"/>
  <c r="A52" i="33"/>
  <c r="B52" i="33"/>
  <c r="A53" i="33"/>
  <c r="B53" i="33"/>
  <c r="A54" i="33"/>
  <c r="B54" i="33"/>
  <c r="A55" i="33"/>
  <c r="B55" i="33"/>
  <c r="A56" i="33"/>
  <c r="B56" i="33"/>
  <c r="A57" i="33"/>
  <c r="B57" i="33"/>
  <c r="A58" i="33"/>
  <c r="B58" i="33"/>
  <c r="A59" i="33"/>
  <c r="B59" i="33"/>
  <c r="A60" i="33"/>
  <c r="B60" i="33"/>
  <c r="A61" i="33"/>
  <c r="B61" i="33"/>
  <c r="A62" i="33"/>
  <c r="B62" i="33"/>
  <c r="A63" i="33"/>
  <c r="B63" i="33"/>
  <c r="A64" i="33"/>
  <c r="B64" i="33"/>
  <c r="A65" i="33"/>
  <c r="B65" i="33"/>
  <c r="A66" i="33"/>
  <c r="B66" i="33"/>
  <c r="A67" i="33"/>
  <c r="B67" i="33"/>
  <c r="A68" i="33"/>
  <c r="B68" i="33"/>
  <c r="A69" i="33"/>
  <c r="B69" i="33"/>
  <c r="A70" i="33"/>
  <c r="B70" i="33"/>
  <c r="A71" i="33"/>
  <c r="B71" i="33"/>
  <c r="A72" i="33"/>
  <c r="B72" i="33"/>
  <c r="A73" i="33"/>
  <c r="B73" i="33"/>
  <c r="A74" i="33"/>
  <c r="B74" i="33"/>
  <c r="A75" i="33"/>
  <c r="B75" i="33"/>
  <c r="A76" i="33"/>
  <c r="B76" i="33"/>
  <c r="A77" i="33"/>
  <c r="B77" i="33"/>
  <c r="A78" i="33"/>
  <c r="B78" i="33"/>
  <c r="A79" i="33"/>
  <c r="B79" i="33"/>
  <c r="A80" i="33"/>
  <c r="B80" i="33"/>
  <c r="A81" i="33"/>
  <c r="B81" i="33"/>
  <c r="A82" i="33"/>
  <c r="B82" i="33"/>
  <c r="A83" i="33"/>
  <c r="B83" i="33"/>
  <c r="A84" i="33"/>
  <c r="B84" i="33"/>
  <c r="A85" i="33"/>
  <c r="B85" i="33"/>
  <c r="A86" i="33"/>
  <c r="B86" i="33"/>
  <c r="A87" i="33"/>
  <c r="B87" i="33"/>
  <c r="A88" i="33"/>
  <c r="B88" i="33"/>
  <c r="A89" i="33"/>
  <c r="B89" i="33"/>
  <c r="A90" i="33"/>
  <c r="B90" i="33"/>
  <c r="A91" i="33"/>
  <c r="B91" i="33"/>
  <c r="A92" i="33"/>
  <c r="B92" i="33"/>
  <c r="A93" i="33"/>
  <c r="B93" i="33"/>
  <c r="A94" i="33"/>
  <c r="B94" i="33"/>
  <c r="A95" i="33"/>
  <c r="B95" i="33"/>
  <c r="A96" i="33"/>
  <c r="B96" i="33"/>
  <c r="A97" i="33"/>
  <c r="B97" i="33"/>
  <c r="A98" i="33"/>
  <c r="B98" i="33"/>
  <c r="A99" i="33"/>
  <c r="B99" i="33"/>
  <c r="A100" i="33"/>
  <c r="B100" i="33"/>
  <c r="A101" i="33"/>
  <c r="B101" i="33"/>
  <c r="A102" i="33"/>
  <c r="B102" i="33"/>
  <c r="A103" i="33"/>
  <c r="B103" i="33"/>
  <c r="A104" i="33"/>
  <c r="B104" i="33"/>
  <c r="A105" i="33"/>
  <c r="B105" i="33"/>
  <c r="A106" i="33"/>
  <c r="B106" i="33"/>
  <c r="A107" i="33"/>
  <c r="B107" i="33"/>
  <c r="A108" i="33"/>
  <c r="B108" i="33"/>
  <c r="A109" i="33"/>
  <c r="B109" i="33"/>
  <c r="A110" i="33"/>
  <c r="B110" i="33"/>
  <c r="A111" i="33"/>
  <c r="B111" i="33"/>
  <c r="A112" i="33"/>
  <c r="B112" i="33"/>
  <c r="A113" i="33"/>
  <c r="B113" i="33"/>
  <c r="A114" i="33"/>
  <c r="B114" i="33"/>
  <c r="A115" i="33"/>
  <c r="B115" i="33"/>
  <c r="A116" i="33"/>
  <c r="B116" i="33"/>
  <c r="A117" i="33"/>
  <c r="B117" i="33"/>
  <c r="A118" i="33"/>
  <c r="B118" i="33"/>
  <c r="A119" i="33"/>
  <c r="B119" i="33"/>
  <c r="A120" i="33"/>
  <c r="B120" i="33"/>
  <c r="A121" i="33"/>
  <c r="B121" i="33"/>
  <c r="A122" i="33"/>
  <c r="B122" i="33"/>
  <c r="A123" i="33"/>
  <c r="B123" i="33"/>
  <c r="A124" i="33"/>
  <c r="B124" i="33"/>
  <c r="A125" i="33"/>
  <c r="B125" i="33"/>
  <c r="A126" i="33"/>
  <c r="B126" i="33"/>
  <c r="A127" i="33"/>
  <c r="B127" i="33"/>
  <c r="A128" i="33"/>
  <c r="B128" i="33"/>
  <c r="A129" i="33"/>
  <c r="B129" i="33"/>
  <c r="A130" i="33"/>
  <c r="B130" i="33"/>
  <c r="A131" i="33"/>
  <c r="B131" i="33"/>
  <c r="A132" i="33"/>
  <c r="B132" i="33"/>
  <c r="A133" i="33"/>
  <c r="B133" i="33"/>
  <c r="A134" i="33"/>
  <c r="B134" i="33"/>
  <c r="A135" i="33"/>
  <c r="B135" i="33"/>
  <c r="A136" i="33"/>
  <c r="B136" i="33"/>
  <c r="A137" i="33"/>
  <c r="B137" i="33"/>
  <c r="A138" i="33"/>
  <c r="B138" i="33"/>
  <c r="A139" i="33"/>
  <c r="B139" i="33"/>
  <c r="A140" i="33"/>
  <c r="B140" i="33"/>
  <c r="A141" i="33"/>
  <c r="B141" i="33"/>
  <c r="A142" i="33"/>
  <c r="B142" i="33"/>
  <c r="A143" i="33"/>
  <c r="B143" i="33"/>
  <c r="A144" i="33"/>
  <c r="B144" i="33"/>
  <c r="A145" i="33"/>
  <c r="B145" i="33"/>
  <c r="A146" i="33"/>
  <c r="B146" i="33"/>
  <c r="A147" i="33"/>
  <c r="B147" i="33"/>
  <c r="A148" i="33"/>
  <c r="B148" i="33"/>
  <c r="A149" i="33"/>
  <c r="B149" i="33"/>
  <c r="A150" i="33"/>
  <c r="B150" i="33"/>
  <c r="A151" i="33"/>
  <c r="B151" i="33"/>
  <c r="A152" i="33"/>
  <c r="B152" i="33"/>
  <c r="A153" i="33"/>
  <c r="B153" i="33"/>
  <c r="A154" i="33"/>
  <c r="B154" i="33"/>
  <c r="A155" i="33"/>
  <c r="B155" i="33"/>
  <c r="A156" i="33"/>
  <c r="B156" i="33"/>
  <c r="A157" i="33"/>
  <c r="B157" i="33"/>
  <c r="A158" i="33"/>
  <c r="B158" i="33"/>
  <c r="A159" i="33"/>
  <c r="B159" i="33"/>
  <c r="A160" i="33"/>
  <c r="B160" i="33"/>
  <c r="A161" i="33"/>
  <c r="B161" i="33"/>
  <c r="A162" i="33"/>
  <c r="B162" i="33"/>
  <c r="A163" i="33"/>
  <c r="B163" i="33"/>
  <c r="A164" i="33"/>
  <c r="B164" i="33"/>
  <c r="A165" i="33"/>
  <c r="B165" i="33"/>
  <c r="A166" i="33"/>
  <c r="B166" i="33"/>
  <c r="A167" i="33"/>
  <c r="B167" i="33"/>
  <c r="A168" i="33"/>
  <c r="B168" i="33"/>
  <c r="A169" i="33"/>
  <c r="B169" i="33"/>
  <c r="A170" i="33"/>
  <c r="B170" i="33"/>
  <c r="A171" i="33"/>
  <c r="B171" i="33"/>
  <c r="A172" i="33"/>
  <c r="B172" i="33"/>
  <c r="A173" i="33"/>
  <c r="B173" i="33"/>
  <c r="A174" i="33"/>
  <c r="B174" i="33"/>
  <c r="A175" i="33"/>
  <c r="B175" i="33"/>
  <c r="A176" i="33"/>
  <c r="B176" i="33"/>
  <c r="A177" i="33"/>
  <c r="B177" i="33"/>
  <c r="A178" i="33"/>
  <c r="B178" i="33"/>
  <c r="A179" i="33"/>
  <c r="B179" i="33"/>
  <c r="A180" i="33"/>
  <c r="B180" i="33"/>
  <c r="A181" i="33"/>
  <c r="B181" i="33"/>
  <c r="A182" i="33"/>
  <c r="B182" i="33"/>
  <c r="A183" i="33"/>
  <c r="B183" i="33"/>
  <c r="A184" i="33"/>
  <c r="B184" i="33"/>
  <c r="A185" i="33"/>
  <c r="B185" i="33"/>
  <c r="A186" i="33"/>
  <c r="B186" i="33"/>
  <c r="A187" i="33"/>
  <c r="B187" i="33"/>
  <c r="A188" i="33"/>
  <c r="B188" i="33"/>
  <c r="A189" i="33"/>
  <c r="B189" i="33"/>
  <c r="A190" i="33"/>
  <c r="B190" i="33"/>
  <c r="A191" i="33"/>
  <c r="B191" i="33"/>
  <c r="A192" i="33"/>
  <c r="B192" i="33"/>
  <c r="A193" i="33"/>
  <c r="B193" i="33"/>
  <c r="A194" i="33"/>
  <c r="B194" i="33"/>
  <c r="A195" i="33"/>
  <c r="B195" i="33"/>
  <c r="A196" i="33"/>
  <c r="B196" i="33"/>
  <c r="A197" i="33"/>
  <c r="B197" i="33"/>
  <c r="A198" i="33"/>
  <c r="B198" i="33"/>
  <c r="A199" i="33"/>
  <c r="B199" i="33"/>
  <c r="A200" i="33"/>
  <c r="B200" i="33"/>
  <c r="A201" i="33"/>
  <c r="B201" i="33"/>
  <c r="A202" i="33"/>
  <c r="B202" i="33"/>
  <c r="A203" i="33"/>
  <c r="B203" i="33"/>
  <c r="A204" i="33"/>
  <c r="B204" i="33"/>
  <c r="A205" i="33"/>
  <c r="B205" i="33"/>
  <c r="A206" i="33"/>
  <c r="B206" i="33"/>
  <c r="A207" i="33"/>
  <c r="B207" i="33"/>
  <c r="A208" i="33"/>
  <c r="B208" i="33"/>
  <c r="A209" i="33"/>
  <c r="B209" i="33"/>
  <c r="A210" i="33"/>
  <c r="B210" i="33"/>
  <c r="A211" i="33"/>
  <c r="B211" i="33"/>
  <c r="A212" i="33"/>
  <c r="B212" i="33"/>
  <c r="A213" i="33"/>
  <c r="B213" i="33"/>
  <c r="A214" i="33"/>
  <c r="B214" i="33"/>
  <c r="A215" i="33"/>
  <c r="B215" i="33"/>
  <c r="A216" i="33"/>
  <c r="B216" i="33"/>
  <c r="A217" i="33"/>
  <c r="B217" i="33"/>
  <c r="A218" i="33"/>
  <c r="B218" i="33"/>
  <c r="A219" i="33"/>
  <c r="B219" i="33"/>
  <c r="A220" i="33"/>
  <c r="B220" i="33"/>
  <c r="A221" i="33"/>
  <c r="B221" i="33"/>
  <c r="A222" i="33"/>
  <c r="B222" i="33"/>
  <c r="A223" i="33"/>
  <c r="B223" i="33"/>
  <c r="A224" i="33"/>
  <c r="B224" i="33"/>
  <c r="A225" i="33"/>
  <c r="B225" i="33"/>
  <c r="A226" i="33"/>
  <c r="B226" i="33"/>
  <c r="A227" i="33"/>
  <c r="B227" i="33"/>
  <c r="A228" i="33"/>
  <c r="B228" i="33"/>
  <c r="A229" i="33"/>
  <c r="B229" i="33"/>
  <c r="A230" i="33"/>
  <c r="B230" i="33"/>
  <c r="A231" i="33"/>
  <c r="B231" i="33"/>
  <c r="A232" i="33"/>
  <c r="B232" i="33"/>
  <c r="A233" i="33"/>
  <c r="B233" i="33"/>
  <c r="A234" i="33"/>
  <c r="B234" i="33"/>
  <c r="A235" i="33"/>
  <c r="B235" i="33"/>
  <c r="A236" i="33"/>
  <c r="B236" i="33"/>
  <c r="A237" i="33"/>
  <c r="B237" i="33"/>
  <c r="A238" i="33"/>
  <c r="B238" i="33"/>
  <c r="A239" i="33"/>
  <c r="B239" i="33"/>
  <c r="A240" i="33"/>
  <c r="B240" i="33"/>
  <c r="A241" i="33"/>
  <c r="B241" i="33"/>
  <c r="A242" i="33"/>
  <c r="B242" i="33"/>
  <c r="A243" i="33"/>
  <c r="B243" i="33"/>
  <c r="A244" i="33"/>
  <c r="B244" i="33"/>
  <c r="A245" i="33"/>
  <c r="B245" i="33"/>
  <c r="A246" i="33"/>
  <c r="B246" i="33"/>
  <c r="A247" i="33"/>
  <c r="B247" i="33"/>
  <c r="A248" i="33"/>
  <c r="B248" i="33"/>
  <c r="A249" i="33"/>
  <c r="B249" i="33"/>
  <c r="A250" i="33"/>
  <c r="B250" i="33"/>
  <c r="A251" i="33"/>
  <c r="B251" i="33"/>
  <c r="A252" i="33"/>
  <c r="B252" i="33"/>
  <c r="A253" i="33"/>
  <c r="B253" i="33"/>
  <c r="A254" i="33"/>
  <c r="B254" i="33"/>
  <c r="A255" i="33"/>
  <c r="B255" i="33"/>
  <c r="A256" i="33"/>
  <c r="B256" i="33"/>
  <c r="A257" i="33"/>
  <c r="B257" i="33"/>
  <c r="A258" i="33"/>
  <c r="B258" i="33"/>
  <c r="A259" i="33"/>
  <c r="B259" i="33"/>
  <c r="A260" i="33"/>
  <c r="B260" i="33"/>
  <c r="A261" i="33"/>
  <c r="B261" i="33"/>
  <c r="A262" i="33"/>
  <c r="B262" i="33"/>
  <c r="A263" i="33"/>
  <c r="B263" i="33"/>
  <c r="A264" i="33"/>
  <c r="B264" i="33"/>
  <c r="A265" i="33"/>
  <c r="B265" i="33"/>
  <c r="A266" i="33"/>
  <c r="B266" i="33"/>
  <c r="A267" i="33"/>
  <c r="B267" i="33"/>
  <c r="A268" i="33"/>
  <c r="B268" i="33"/>
  <c r="A269" i="33"/>
  <c r="B269" i="33"/>
  <c r="A270" i="33"/>
  <c r="B270" i="33"/>
  <c r="A271" i="33"/>
  <c r="B271" i="33"/>
  <c r="A272" i="33"/>
  <c r="B272" i="33"/>
  <c r="A273" i="33"/>
  <c r="B273" i="33"/>
  <c r="A274" i="33"/>
  <c r="B274" i="33"/>
  <c r="A275" i="33"/>
  <c r="B275" i="33"/>
  <c r="A276" i="33"/>
  <c r="B276" i="33"/>
  <c r="A277" i="33"/>
  <c r="B277" i="33"/>
  <c r="A278" i="33"/>
  <c r="B278" i="33"/>
  <c r="A279" i="33"/>
  <c r="B279" i="33"/>
  <c r="A280" i="33"/>
  <c r="B280" i="33"/>
  <c r="A281" i="33"/>
  <c r="B281" i="33"/>
  <c r="A282" i="33"/>
  <c r="B282" i="33"/>
  <c r="A283" i="33"/>
  <c r="B283" i="33"/>
  <c r="A284" i="33"/>
  <c r="B284" i="33"/>
  <c r="A285" i="33"/>
  <c r="B285" i="33"/>
  <c r="A286" i="33"/>
  <c r="B286" i="33"/>
  <c r="A287" i="33"/>
  <c r="B287" i="33"/>
  <c r="A288" i="33"/>
  <c r="B288" i="33"/>
  <c r="A289" i="33"/>
  <c r="B289" i="33"/>
  <c r="A290" i="33"/>
  <c r="B290" i="33"/>
  <c r="A291" i="33"/>
  <c r="B291" i="33"/>
  <c r="A292" i="33"/>
  <c r="B292" i="33"/>
  <c r="A293" i="33"/>
  <c r="B293" i="33"/>
  <c r="A294" i="33"/>
  <c r="B294" i="33"/>
  <c r="A295" i="33"/>
  <c r="B295" i="33"/>
  <c r="A296" i="33"/>
  <c r="B296" i="33"/>
  <c r="A297" i="33"/>
  <c r="B297" i="33"/>
  <c r="A298" i="33"/>
  <c r="B298" i="33"/>
  <c r="A299" i="33"/>
  <c r="B299" i="33"/>
  <c r="A300" i="33"/>
  <c r="B300" i="33"/>
  <c r="A301" i="33"/>
  <c r="B301" i="33"/>
  <c r="A302" i="33"/>
  <c r="B302" i="33"/>
  <c r="A303" i="33"/>
  <c r="B303" i="33"/>
  <c r="A304" i="33"/>
  <c r="B304" i="33"/>
  <c r="A305" i="33"/>
  <c r="B305" i="33"/>
  <c r="A306" i="33"/>
  <c r="B306" i="33"/>
  <c r="A307" i="33"/>
  <c r="B307" i="33"/>
  <c r="A308" i="33"/>
  <c r="B308" i="33"/>
  <c r="A309" i="33"/>
  <c r="B309" i="33"/>
  <c r="A310" i="33"/>
  <c r="B310" i="33"/>
  <c r="A311" i="33"/>
  <c r="B311" i="33"/>
  <c r="A312" i="33"/>
  <c r="B312" i="33"/>
  <c r="A313" i="33"/>
  <c r="B313" i="33"/>
  <c r="A6" i="32"/>
  <c r="B6" i="32"/>
  <c r="A7" i="32"/>
  <c r="B7" i="32"/>
  <c r="A8" i="32"/>
  <c r="B8" i="32"/>
  <c r="A9" i="32"/>
  <c r="B9" i="32"/>
  <c r="A10" i="32"/>
  <c r="B10" i="32"/>
  <c r="A11" i="32"/>
  <c r="B11" i="32"/>
  <c r="A12" i="32"/>
  <c r="B12" i="32"/>
  <c r="A13" i="32"/>
  <c r="B13" i="32"/>
  <c r="A14" i="32"/>
  <c r="B14" i="32"/>
  <c r="A15" i="32"/>
  <c r="B15" i="32"/>
  <c r="A16" i="32"/>
  <c r="B16" i="32"/>
  <c r="A17" i="32"/>
  <c r="B17" i="32"/>
  <c r="A18" i="32"/>
  <c r="B18" i="32"/>
  <c r="A19" i="32"/>
  <c r="B19" i="32"/>
  <c r="A20" i="32"/>
  <c r="B20" i="32"/>
  <c r="A21" i="32"/>
  <c r="B21" i="32"/>
  <c r="A22" i="32"/>
  <c r="B22" i="32"/>
  <c r="A23" i="32"/>
  <c r="B23" i="32"/>
  <c r="A24" i="32"/>
  <c r="B24" i="32"/>
  <c r="A25" i="32"/>
  <c r="B25" i="32"/>
  <c r="A26" i="32"/>
  <c r="B26" i="32"/>
  <c r="A27" i="32"/>
  <c r="B27" i="32"/>
  <c r="A28" i="32"/>
  <c r="B28" i="32"/>
  <c r="A29" i="32"/>
  <c r="B29" i="32"/>
  <c r="A30" i="32"/>
  <c r="B30" i="32"/>
  <c r="A31" i="32"/>
  <c r="B31" i="32"/>
  <c r="A32" i="32"/>
  <c r="B32" i="32"/>
  <c r="A33" i="32"/>
  <c r="B33" i="32"/>
  <c r="A34" i="32"/>
  <c r="B34" i="32"/>
  <c r="A35" i="32"/>
  <c r="B35" i="32"/>
  <c r="A36" i="32"/>
  <c r="B36" i="32"/>
  <c r="A37" i="32"/>
  <c r="B37" i="32"/>
  <c r="A38" i="32"/>
  <c r="B38" i="32"/>
  <c r="A39" i="32"/>
  <c r="B39" i="32"/>
  <c r="A40" i="32"/>
  <c r="B40" i="32"/>
  <c r="A41" i="32"/>
  <c r="B41" i="32"/>
  <c r="A42" i="32"/>
  <c r="B42" i="32"/>
  <c r="A43" i="32"/>
  <c r="B43" i="32"/>
  <c r="A44" i="32"/>
  <c r="B44" i="32"/>
  <c r="A45" i="32"/>
  <c r="B45" i="32"/>
  <c r="A46" i="32"/>
  <c r="B46" i="32"/>
  <c r="A47" i="32"/>
  <c r="B47" i="32"/>
  <c r="A48" i="32"/>
  <c r="B48" i="32"/>
  <c r="A49" i="32"/>
  <c r="B49" i="32"/>
  <c r="A50" i="32"/>
  <c r="B50" i="32"/>
  <c r="A51" i="32"/>
  <c r="B51" i="32"/>
  <c r="A52" i="32"/>
  <c r="B52" i="32"/>
  <c r="A53" i="32"/>
  <c r="B53" i="32"/>
  <c r="A54" i="32"/>
  <c r="B54" i="32"/>
  <c r="A55" i="32"/>
  <c r="B55" i="32"/>
  <c r="A56" i="32"/>
  <c r="B56" i="32"/>
  <c r="A57" i="32"/>
  <c r="B57" i="32"/>
  <c r="A58" i="32"/>
  <c r="B58" i="32"/>
  <c r="A59" i="32"/>
  <c r="B59" i="32"/>
  <c r="A60" i="32"/>
  <c r="B60" i="32"/>
  <c r="A61" i="32"/>
  <c r="B61" i="32"/>
  <c r="A62" i="32"/>
  <c r="B62" i="32"/>
  <c r="A63" i="32"/>
  <c r="B63" i="32"/>
  <c r="A64" i="32"/>
  <c r="B64" i="32"/>
  <c r="A65" i="32"/>
  <c r="B65" i="32"/>
  <c r="A66" i="32"/>
  <c r="B66" i="32"/>
  <c r="A67" i="32"/>
  <c r="B67" i="32"/>
  <c r="A68" i="32"/>
  <c r="B68" i="32"/>
  <c r="A69" i="32"/>
  <c r="B69" i="32"/>
  <c r="A70" i="32"/>
  <c r="B70" i="32"/>
  <c r="A71" i="32"/>
  <c r="B71" i="32"/>
  <c r="A72" i="32"/>
  <c r="B72" i="32"/>
  <c r="A73" i="32"/>
  <c r="B73" i="32"/>
  <c r="A74" i="32"/>
  <c r="B74" i="32"/>
  <c r="A75" i="32"/>
  <c r="B75" i="32"/>
  <c r="A76" i="32"/>
  <c r="B76" i="32"/>
  <c r="A77" i="32"/>
  <c r="B77" i="32"/>
  <c r="A78" i="32"/>
  <c r="B78" i="32"/>
  <c r="A79" i="32"/>
  <c r="B79" i="32"/>
  <c r="A80" i="32"/>
  <c r="B80" i="32"/>
  <c r="A81" i="32"/>
  <c r="B81" i="32"/>
  <c r="A82" i="32"/>
  <c r="B82" i="32"/>
  <c r="A83" i="32"/>
  <c r="B83" i="32"/>
  <c r="A84" i="32"/>
  <c r="B84" i="32"/>
  <c r="A85" i="32"/>
  <c r="B85" i="32"/>
  <c r="A86" i="32"/>
  <c r="B86" i="32"/>
  <c r="A87" i="32"/>
  <c r="B87" i="32"/>
  <c r="A88" i="32"/>
  <c r="B88" i="32"/>
  <c r="A89" i="32"/>
  <c r="B89" i="32"/>
  <c r="A90" i="32"/>
  <c r="B90" i="32"/>
  <c r="A91" i="32"/>
  <c r="B91" i="32"/>
  <c r="A92" i="32"/>
  <c r="B92" i="32"/>
  <c r="A93" i="32"/>
  <c r="B93" i="32"/>
  <c r="A94" i="32"/>
  <c r="B94" i="32"/>
  <c r="A95" i="32"/>
  <c r="B95" i="32"/>
  <c r="A96" i="32"/>
  <c r="B96" i="32"/>
  <c r="A97" i="32"/>
  <c r="B97" i="32"/>
  <c r="A98" i="32"/>
  <c r="B98" i="32"/>
  <c r="A99" i="32"/>
  <c r="B99" i="32"/>
  <c r="A100" i="32"/>
  <c r="B100" i="32"/>
  <c r="A101" i="32"/>
  <c r="B101" i="32"/>
  <c r="A102" i="32"/>
  <c r="B102" i="32"/>
  <c r="A103" i="32"/>
  <c r="B103" i="32"/>
  <c r="A104" i="32"/>
  <c r="B104" i="32"/>
  <c r="A105" i="32"/>
  <c r="B105" i="32"/>
  <c r="A106" i="32"/>
  <c r="B106" i="32"/>
  <c r="A107" i="32"/>
  <c r="B107" i="32"/>
  <c r="A108" i="32"/>
  <c r="B108" i="32"/>
  <c r="A109" i="32"/>
  <c r="B109" i="32"/>
  <c r="A110" i="32"/>
  <c r="B110" i="32"/>
  <c r="A111" i="32"/>
  <c r="B111" i="32"/>
  <c r="A112" i="32"/>
  <c r="B112" i="32"/>
  <c r="A113" i="32"/>
  <c r="B113" i="32"/>
  <c r="A114" i="32"/>
  <c r="B114" i="32"/>
  <c r="A115" i="32"/>
  <c r="B115" i="32"/>
  <c r="A116" i="32"/>
  <c r="B116" i="32"/>
  <c r="A117" i="32"/>
  <c r="B117" i="32"/>
  <c r="A118" i="32"/>
  <c r="B118" i="32"/>
  <c r="A119" i="32"/>
  <c r="B119" i="32"/>
  <c r="A120" i="32"/>
  <c r="B120" i="32"/>
  <c r="A121" i="32"/>
  <c r="B121" i="32"/>
  <c r="A122" i="32"/>
  <c r="B122" i="32"/>
  <c r="A123" i="32"/>
  <c r="B123" i="32"/>
  <c r="A124" i="32"/>
  <c r="B124" i="32"/>
  <c r="A125" i="32"/>
  <c r="B125" i="32"/>
  <c r="A126" i="32"/>
  <c r="B126" i="32"/>
  <c r="A127" i="32"/>
  <c r="B127" i="32"/>
  <c r="A128" i="32"/>
  <c r="B128" i="32"/>
  <c r="A129" i="32"/>
  <c r="B129" i="32"/>
  <c r="A130" i="32"/>
  <c r="B130" i="32"/>
  <c r="A131" i="32"/>
  <c r="B131" i="32"/>
  <c r="A132" i="32"/>
  <c r="B132" i="32"/>
  <c r="A133" i="32"/>
  <c r="B133" i="32"/>
  <c r="A134" i="32"/>
  <c r="B134" i="32"/>
  <c r="A135" i="32"/>
  <c r="B135" i="32"/>
  <c r="A136" i="32"/>
  <c r="B136" i="32"/>
  <c r="A137" i="32"/>
  <c r="B137" i="32"/>
  <c r="A138" i="32"/>
  <c r="B138" i="32"/>
  <c r="A139" i="32"/>
  <c r="B139" i="32"/>
  <c r="A140" i="32"/>
  <c r="B140" i="32"/>
  <c r="A141" i="32"/>
  <c r="B141" i="32"/>
  <c r="A142" i="32"/>
  <c r="B142" i="32"/>
  <c r="A143" i="32"/>
  <c r="B143" i="32"/>
  <c r="A144" i="32"/>
  <c r="B144" i="32"/>
  <c r="A145" i="32"/>
  <c r="B145" i="32"/>
  <c r="A146" i="32"/>
  <c r="B146" i="32"/>
  <c r="A147" i="32"/>
  <c r="B147" i="32"/>
  <c r="A148" i="32"/>
  <c r="B148" i="32"/>
  <c r="A149" i="32"/>
  <c r="B149" i="32"/>
  <c r="A150" i="32"/>
  <c r="B150" i="32"/>
  <c r="A151" i="32"/>
  <c r="B151" i="32"/>
  <c r="A152" i="32"/>
  <c r="B152" i="32"/>
  <c r="A153" i="32"/>
  <c r="B153" i="32"/>
  <c r="A154" i="32"/>
  <c r="B154" i="32"/>
  <c r="A155" i="32"/>
  <c r="B155" i="32"/>
  <c r="A156" i="32"/>
  <c r="B156" i="32"/>
  <c r="A157" i="32"/>
  <c r="B157" i="32"/>
  <c r="A158" i="32"/>
  <c r="B158" i="32"/>
  <c r="A159" i="32"/>
  <c r="B159" i="32"/>
  <c r="A160" i="32"/>
  <c r="B160" i="32"/>
  <c r="A161" i="32"/>
  <c r="B161" i="32"/>
  <c r="A162" i="32"/>
  <c r="B162" i="32"/>
  <c r="A163" i="32"/>
  <c r="B163" i="32"/>
  <c r="A164" i="32"/>
  <c r="B164" i="32"/>
  <c r="A165" i="32"/>
  <c r="B165" i="32"/>
  <c r="A166" i="32"/>
  <c r="B166" i="32"/>
  <c r="A167" i="32"/>
  <c r="B167" i="32"/>
  <c r="A168" i="32"/>
  <c r="B168" i="32"/>
  <c r="A169" i="32"/>
  <c r="B169" i="32"/>
  <c r="A170" i="32"/>
  <c r="B170" i="32"/>
  <c r="A171" i="32"/>
  <c r="B171" i="32"/>
  <c r="A172" i="32"/>
  <c r="B172" i="32"/>
  <c r="A173" i="32"/>
  <c r="B173" i="32"/>
  <c r="A174" i="32"/>
  <c r="B174" i="32"/>
  <c r="A175" i="32"/>
  <c r="B175" i="32"/>
  <c r="A176" i="32"/>
  <c r="B176" i="32"/>
  <c r="A177" i="32"/>
  <c r="B177" i="32"/>
  <c r="A178" i="32"/>
  <c r="B178" i="32"/>
  <c r="A179" i="32"/>
  <c r="B179" i="32"/>
  <c r="A180" i="32"/>
  <c r="B180" i="32"/>
  <c r="A181" i="32"/>
  <c r="B181" i="32"/>
  <c r="A182" i="32"/>
  <c r="B182" i="32"/>
  <c r="A183" i="32"/>
  <c r="B183" i="32"/>
  <c r="A184" i="32"/>
  <c r="B184" i="32"/>
  <c r="A185" i="32"/>
  <c r="B185" i="32"/>
  <c r="A186" i="32"/>
  <c r="B186" i="32"/>
  <c r="A187" i="32"/>
  <c r="B187" i="32"/>
  <c r="A188" i="32"/>
  <c r="B188" i="32"/>
  <c r="A189" i="32"/>
  <c r="B189" i="32"/>
  <c r="A190" i="32"/>
  <c r="B190" i="32"/>
  <c r="A191" i="32"/>
  <c r="B191" i="32"/>
  <c r="A192" i="32"/>
  <c r="B192" i="32"/>
  <c r="A193" i="32"/>
  <c r="B193" i="32"/>
  <c r="A194" i="32"/>
  <c r="B194" i="32"/>
  <c r="A195" i="32"/>
  <c r="B195" i="32"/>
  <c r="A196" i="32"/>
  <c r="B196" i="32"/>
  <c r="A197" i="32"/>
  <c r="B197" i="32"/>
  <c r="A198" i="32"/>
  <c r="B198" i="32"/>
  <c r="A199" i="32"/>
  <c r="B199" i="32"/>
  <c r="A200" i="32"/>
  <c r="B200" i="32"/>
  <c r="A201" i="32"/>
  <c r="B201" i="32"/>
  <c r="A202" i="32"/>
  <c r="B202" i="32"/>
  <c r="A203" i="32"/>
  <c r="B203" i="32"/>
  <c r="A204" i="32"/>
  <c r="B204" i="32"/>
  <c r="A205" i="32"/>
  <c r="B205" i="32"/>
  <c r="A206" i="32"/>
  <c r="B206" i="32"/>
  <c r="A207" i="32"/>
  <c r="B207" i="32"/>
  <c r="A208" i="32"/>
  <c r="B208" i="32"/>
  <c r="A209" i="32"/>
  <c r="B209" i="32"/>
  <c r="A210" i="32"/>
  <c r="B210" i="32"/>
  <c r="A211" i="32"/>
  <c r="B211" i="32"/>
  <c r="A212" i="32"/>
  <c r="B212" i="32"/>
  <c r="A213" i="32"/>
  <c r="B213" i="32"/>
  <c r="A214" i="32"/>
  <c r="B214" i="32"/>
  <c r="A215" i="32"/>
  <c r="B215" i="32"/>
  <c r="A216" i="32"/>
  <c r="B216" i="32"/>
  <c r="A217" i="32"/>
  <c r="B217" i="32"/>
  <c r="A218" i="32"/>
  <c r="B218" i="32"/>
  <c r="A219" i="32"/>
  <c r="B219" i="32"/>
  <c r="A220" i="32"/>
  <c r="B220" i="32"/>
  <c r="A221" i="32"/>
  <c r="B221" i="32"/>
  <c r="A222" i="32"/>
  <c r="B222" i="32"/>
  <c r="A223" i="32"/>
  <c r="B223" i="32"/>
  <c r="A224" i="32"/>
  <c r="B224" i="32"/>
  <c r="A225" i="32"/>
  <c r="B225" i="32"/>
  <c r="A226" i="32"/>
  <c r="B226" i="32"/>
  <c r="A227" i="32"/>
  <c r="B227" i="32"/>
  <c r="A228" i="32"/>
  <c r="B228" i="32"/>
  <c r="A229" i="32"/>
  <c r="B229" i="32"/>
  <c r="A230" i="32"/>
  <c r="B230" i="32"/>
  <c r="A231" i="32"/>
  <c r="B231" i="32"/>
  <c r="A232" i="32"/>
  <c r="B232" i="32"/>
  <c r="A233" i="32"/>
  <c r="B233" i="32"/>
  <c r="A234" i="32"/>
  <c r="B234" i="32"/>
  <c r="A235" i="32"/>
  <c r="B235" i="32"/>
  <c r="A236" i="32"/>
  <c r="B236" i="32"/>
  <c r="A237" i="32"/>
  <c r="B237" i="32"/>
  <c r="A238" i="32"/>
  <c r="B238" i="32"/>
  <c r="A239" i="32"/>
  <c r="B239" i="32"/>
  <c r="A240" i="32"/>
  <c r="B240" i="32"/>
  <c r="A241" i="32"/>
  <c r="B241" i="32"/>
  <c r="A242" i="32"/>
  <c r="B242" i="32"/>
  <c r="A243" i="32"/>
  <c r="B243" i="32"/>
  <c r="A244" i="32"/>
  <c r="B244" i="32"/>
  <c r="A245" i="32"/>
  <c r="B245" i="32"/>
  <c r="A246" i="32"/>
  <c r="B246" i="32"/>
  <c r="A247" i="32"/>
  <c r="B247" i="32"/>
  <c r="A248" i="32"/>
  <c r="B248" i="32"/>
  <c r="A249" i="32"/>
  <c r="B249" i="32"/>
  <c r="A250" i="32"/>
  <c r="B250" i="32"/>
  <c r="A251" i="32"/>
  <c r="B251" i="32"/>
  <c r="A252" i="32"/>
  <c r="B252" i="32"/>
  <c r="A253" i="32"/>
  <c r="B253" i="32"/>
  <c r="A254" i="32"/>
  <c r="B254" i="32"/>
  <c r="A255" i="32"/>
  <c r="B255" i="32"/>
  <c r="A256" i="32"/>
  <c r="B256" i="32"/>
  <c r="A257" i="32"/>
  <c r="B257" i="32"/>
  <c r="A258" i="32"/>
  <c r="B258" i="32"/>
  <c r="A259" i="32"/>
  <c r="B259" i="32"/>
  <c r="A260" i="32"/>
  <c r="B260" i="32"/>
  <c r="A261" i="32"/>
  <c r="B261" i="32"/>
  <c r="A262" i="32"/>
  <c r="B262" i="32"/>
  <c r="A263" i="32"/>
  <c r="B263" i="32"/>
  <c r="A264" i="32"/>
  <c r="B264" i="32"/>
  <c r="A265" i="32"/>
  <c r="B265" i="32"/>
  <c r="A266" i="32"/>
  <c r="B266" i="32"/>
  <c r="A267" i="32"/>
  <c r="B267" i="32"/>
  <c r="A268" i="32"/>
  <c r="B268" i="32"/>
  <c r="A269" i="32"/>
  <c r="B269" i="32"/>
  <c r="A270" i="32"/>
  <c r="B270" i="32"/>
  <c r="A271" i="32"/>
  <c r="B271" i="32"/>
  <c r="A272" i="32"/>
  <c r="B272" i="32"/>
  <c r="A273" i="32"/>
  <c r="B273" i="32"/>
  <c r="A274" i="32"/>
  <c r="B274" i="32"/>
  <c r="A275" i="32"/>
  <c r="B275" i="32"/>
  <c r="A276" i="32"/>
  <c r="B276" i="32"/>
  <c r="A277" i="32"/>
  <c r="B277" i="32"/>
  <c r="A278" i="32"/>
  <c r="B278" i="32"/>
  <c r="A279" i="32"/>
  <c r="B279" i="32"/>
  <c r="A280" i="32"/>
  <c r="B280" i="32"/>
  <c r="A281" i="32"/>
  <c r="B281" i="32"/>
  <c r="A282" i="32"/>
  <c r="B282" i="32"/>
  <c r="A283" i="32"/>
  <c r="B283" i="32"/>
  <c r="A284" i="32"/>
  <c r="B284" i="32"/>
  <c r="A285" i="32"/>
  <c r="B285" i="32"/>
  <c r="A286" i="32"/>
  <c r="B286" i="32"/>
  <c r="A287" i="32"/>
  <c r="B287" i="32"/>
  <c r="A288" i="32"/>
  <c r="B288" i="32"/>
  <c r="A289" i="32"/>
  <c r="B289" i="32"/>
  <c r="A290" i="32"/>
  <c r="B290" i="32"/>
  <c r="A291" i="32"/>
  <c r="B291" i="32"/>
  <c r="A292" i="32"/>
  <c r="B292" i="32"/>
  <c r="A293" i="32"/>
  <c r="B293" i="32"/>
  <c r="A294" i="32"/>
  <c r="B294" i="32"/>
  <c r="A295" i="32"/>
  <c r="B295" i="32"/>
  <c r="A296" i="32"/>
  <c r="B296" i="32"/>
  <c r="A297" i="32"/>
  <c r="B297" i="32"/>
  <c r="A298" i="32"/>
  <c r="B298" i="32"/>
  <c r="A299" i="32"/>
  <c r="B299" i="32"/>
  <c r="A300" i="32"/>
  <c r="B300" i="32"/>
  <c r="A301" i="32"/>
  <c r="B301" i="32"/>
  <c r="A302" i="32"/>
  <c r="B302" i="32"/>
  <c r="A303" i="32"/>
  <c r="B303" i="32"/>
  <c r="A304" i="32"/>
  <c r="B304" i="32"/>
  <c r="A305" i="32"/>
  <c r="B305" i="32"/>
  <c r="A306" i="32"/>
  <c r="B306" i="32"/>
  <c r="A307" i="32"/>
  <c r="B307" i="32"/>
  <c r="A308" i="32"/>
  <c r="B308" i="32"/>
  <c r="A309" i="32"/>
  <c r="B309" i="32"/>
  <c r="A310" i="32"/>
  <c r="B310" i="32"/>
  <c r="A311" i="32"/>
  <c r="B311" i="32"/>
  <c r="A312" i="32"/>
  <c r="B312" i="32"/>
  <c r="A313" i="32"/>
  <c r="B313" i="32"/>
  <c r="A8" i="19"/>
  <c r="B8" i="19"/>
  <c r="C8" i="19"/>
  <c r="D8" i="19"/>
  <c r="E8" i="19"/>
  <c r="F8" i="19"/>
  <c r="H8" i="19"/>
  <c r="I8" i="19"/>
  <c r="J8" i="19"/>
  <c r="K8" i="19"/>
  <c r="L8" i="19"/>
  <c r="M8" i="19"/>
  <c r="N8" i="19"/>
  <c r="P8" i="19"/>
  <c r="O8" i="19" s="1"/>
  <c r="Q8" i="19"/>
  <c r="S8" i="19"/>
  <c r="V8" i="19"/>
  <c r="W8" i="19"/>
  <c r="X8" i="19"/>
  <c r="Z8" i="19"/>
  <c r="D6" i="32" s="1"/>
  <c r="AA8" i="19"/>
  <c r="D6" i="33" s="1"/>
  <c r="A9" i="19"/>
  <c r="B9" i="19"/>
  <c r="C9" i="19"/>
  <c r="D9" i="19"/>
  <c r="E9" i="19"/>
  <c r="F9" i="19"/>
  <c r="H9" i="19"/>
  <c r="I9" i="19"/>
  <c r="J9" i="19"/>
  <c r="K9" i="19"/>
  <c r="L9" i="19"/>
  <c r="M9" i="19"/>
  <c r="N9" i="19"/>
  <c r="P9" i="19"/>
  <c r="Q9" i="19"/>
  <c r="S9" i="19"/>
  <c r="V9" i="19"/>
  <c r="W9" i="19"/>
  <c r="X9" i="19"/>
  <c r="Z9" i="19"/>
  <c r="D7" i="32" s="1"/>
  <c r="AA9" i="19"/>
  <c r="D7" i="33" s="1"/>
  <c r="A10" i="19"/>
  <c r="B10" i="19"/>
  <c r="C10" i="19"/>
  <c r="D10" i="19"/>
  <c r="E10" i="19"/>
  <c r="F10" i="19"/>
  <c r="H10" i="19"/>
  <c r="I10" i="19"/>
  <c r="J10" i="19"/>
  <c r="K10" i="19"/>
  <c r="L10" i="19"/>
  <c r="M10" i="19"/>
  <c r="N10" i="19"/>
  <c r="P10" i="19"/>
  <c r="Q10" i="19"/>
  <c r="S10" i="19"/>
  <c r="V10" i="19"/>
  <c r="W10" i="19"/>
  <c r="X10" i="19"/>
  <c r="Z10" i="19"/>
  <c r="D8" i="32" s="1"/>
  <c r="AA10" i="19"/>
  <c r="D8" i="33" s="1"/>
  <c r="A11" i="19"/>
  <c r="B11" i="19"/>
  <c r="C11" i="19"/>
  <c r="D11" i="19"/>
  <c r="E11" i="19"/>
  <c r="F11" i="19"/>
  <c r="H11" i="19"/>
  <c r="I11" i="19"/>
  <c r="J11" i="19"/>
  <c r="K11" i="19"/>
  <c r="L11" i="19"/>
  <c r="M11" i="19"/>
  <c r="N11" i="19"/>
  <c r="P11" i="19"/>
  <c r="Q11" i="19"/>
  <c r="S11" i="19"/>
  <c r="V11" i="19"/>
  <c r="W11" i="19"/>
  <c r="X11" i="19"/>
  <c r="Z11" i="19"/>
  <c r="D9" i="32" s="1"/>
  <c r="AA11" i="19"/>
  <c r="D9" i="33" s="1"/>
  <c r="A12" i="19"/>
  <c r="B12" i="19"/>
  <c r="C12" i="19"/>
  <c r="D12" i="19"/>
  <c r="E12" i="19"/>
  <c r="F12" i="19"/>
  <c r="H12" i="19"/>
  <c r="I12" i="19"/>
  <c r="J12" i="19"/>
  <c r="K12" i="19"/>
  <c r="L12" i="19"/>
  <c r="M12" i="19"/>
  <c r="N12" i="19"/>
  <c r="P12" i="19"/>
  <c r="O12" i="19" s="1"/>
  <c r="Q12" i="19"/>
  <c r="S12" i="19"/>
  <c r="V12" i="19"/>
  <c r="W12" i="19"/>
  <c r="X12" i="19"/>
  <c r="Z12" i="19"/>
  <c r="D10" i="32" s="1"/>
  <c r="AA12" i="19"/>
  <c r="D10" i="33" s="1"/>
  <c r="A13" i="19"/>
  <c r="B13" i="19"/>
  <c r="C13" i="19"/>
  <c r="D13" i="19"/>
  <c r="E13" i="19"/>
  <c r="F13" i="19"/>
  <c r="H13" i="19"/>
  <c r="I13" i="19"/>
  <c r="J13" i="19"/>
  <c r="K13" i="19"/>
  <c r="L13" i="19"/>
  <c r="M13" i="19"/>
  <c r="N13" i="19"/>
  <c r="P13" i="19"/>
  <c r="Q13" i="19"/>
  <c r="S13" i="19"/>
  <c r="V13" i="19"/>
  <c r="Y13" i="19" s="1"/>
  <c r="C11" i="32" s="1"/>
  <c r="W13" i="19"/>
  <c r="X13" i="19"/>
  <c r="Z13" i="19"/>
  <c r="D11" i="32" s="1"/>
  <c r="AA13" i="19"/>
  <c r="D11" i="33" s="1"/>
  <c r="A14" i="19"/>
  <c r="B14" i="19"/>
  <c r="C14" i="19"/>
  <c r="D14" i="19"/>
  <c r="E14" i="19"/>
  <c r="F14" i="19"/>
  <c r="H14" i="19"/>
  <c r="I14" i="19"/>
  <c r="J14" i="19"/>
  <c r="K14" i="19"/>
  <c r="L14" i="19"/>
  <c r="M14" i="19"/>
  <c r="N14" i="19"/>
  <c r="P14" i="19"/>
  <c r="Q14" i="19"/>
  <c r="S14" i="19"/>
  <c r="V14" i="19"/>
  <c r="W14" i="19"/>
  <c r="X14" i="19"/>
  <c r="Z14" i="19"/>
  <c r="D12" i="32" s="1"/>
  <c r="AA14" i="19"/>
  <c r="D12" i="33" s="1"/>
  <c r="A15" i="19"/>
  <c r="B15" i="19"/>
  <c r="C15" i="19"/>
  <c r="D15" i="19"/>
  <c r="E15" i="19"/>
  <c r="F15" i="19"/>
  <c r="H15" i="19"/>
  <c r="I15" i="19"/>
  <c r="J15" i="19"/>
  <c r="K15" i="19"/>
  <c r="L15" i="19"/>
  <c r="M15" i="19"/>
  <c r="N15" i="19"/>
  <c r="P15" i="19"/>
  <c r="Q15" i="19"/>
  <c r="S15" i="19"/>
  <c r="V15" i="19"/>
  <c r="W15" i="19"/>
  <c r="X15" i="19"/>
  <c r="Z15" i="19"/>
  <c r="D13" i="32" s="1"/>
  <c r="AA15" i="19"/>
  <c r="D13" i="33" s="1"/>
  <c r="A16" i="19"/>
  <c r="B16" i="19"/>
  <c r="C16" i="19"/>
  <c r="D16" i="19"/>
  <c r="E16" i="19"/>
  <c r="F16" i="19"/>
  <c r="H16" i="19"/>
  <c r="I16" i="19"/>
  <c r="J16" i="19"/>
  <c r="K16" i="19"/>
  <c r="L16" i="19"/>
  <c r="M16" i="19"/>
  <c r="N16" i="19"/>
  <c r="O16" i="19"/>
  <c r="P16" i="19"/>
  <c r="Q16" i="19"/>
  <c r="S16" i="19"/>
  <c r="V16" i="19"/>
  <c r="Y16" i="19" s="1"/>
  <c r="C14" i="32" s="1"/>
  <c r="W16" i="19"/>
  <c r="X16" i="19"/>
  <c r="Z16" i="19"/>
  <c r="D14" i="32" s="1"/>
  <c r="AA16" i="19"/>
  <c r="D14" i="33" s="1"/>
  <c r="A17" i="19"/>
  <c r="B17" i="19"/>
  <c r="C17" i="19"/>
  <c r="D17" i="19"/>
  <c r="E17" i="19"/>
  <c r="F17" i="19"/>
  <c r="H17" i="19"/>
  <c r="I17" i="19"/>
  <c r="J17" i="19"/>
  <c r="K17" i="19"/>
  <c r="L17" i="19"/>
  <c r="M17" i="19"/>
  <c r="N17" i="19"/>
  <c r="P17" i="19"/>
  <c r="Q17" i="19"/>
  <c r="S17" i="19"/>
  <c r="V17" i="19"/>
  <c r="W17" i="19"/>
  <c r="X17" i="19"/>
  <c r="Z17" i="19"/>
  <c r="D15" i="32" s="1"/>
  <c r="AA17" i="19"/>
  <c r="D15" i="33" s="1"/>
  <c r="A18" i="19"/>
  <c r="B18" i="19"/>
  <c r="C18" i="19"/>
  <c r="D18" i="19"/>
  <c r="E18" i="19"/>
  <c r="F18" i="19"/>
  <c r="H18" i="19"/>
  <c r="I18" i="19"/>
  <c r="J18" i="19"/>
  <c r="K18" i="19"/>
  <c r="L18" i="19"/>
  <c r="M18" i="19"/>
  <c r="N18" i="19"/>
  <c r="P18" i="19"/>
  <c r="Q18" i="19"/>
  <c r="S18" i="19"/>
  <c r="V18" i="19"/>
  <c r="W18" i="19"/>
  <c r="X18" i="19"/>
  <c r="Z18" i="19"/>
  <c r="D16" i="32" s="1"/>
  <c r="AA18" i="19"/>
  <c r="D16" i="33" s="1"/>
  <c r="A19" i="19"/>
  <c r="B19" i="19"/>
  <c r="C19" i="19"/>
  <c r="D19" i="19"/>
  <c r="E19" i="19"/>
  <c r="F19" i="19"/>
  <c r="H19" i="19"/>
  <c r="I19" i="19"/>
  <c r="J19" i="19"/>
  <c r="K19" i="19"/>
  <c r="L19" i="19"/>
  <c r="M19" i="19"/>
  <c r="N19" i="19"/>
  <c r="P19" i="19"/>
  <c r="Q19" i="19"/>
  <c r="S19" i="19"/>
  <c r="V19" i="19"/>
  <c r="W19" i="19"/>
  <c r="X19" i="19"/>
  <c r="Z19" i="19"/>
  <c r="D17" i="32" s="1"/>
  <c r="AA19" i="19"/>
  <c r="D17" i="33" s="1"/>
  <c r="A20" i="19"/>
  <c r="B20" i="19"/>
  <c r="C20" i="19"/>
  <c r="D20" i="19"/>
  <c r="E20" i="19"/>
  <c r="F20" i="19"/>
  <c r="H20" i="19"/>
  <c r="I20" i="19"/>
  <c r="J20" i="19"/>
  <c r="K20" i="19"/>
  <c r="L20" i="19"/>
  <c r="M20" i="19"/>
  <c r="N20" i="19"/>
  <c r="P20" i="19"/>
  <c r="Q20" i="19"/>
  <c r="S20" i="19"/>
  <c r="V20" i="19"/>
  <c r="W20" i="19"/>
  <c r="X20" i="19"/>
  <c r="Z20" i="19"/>
  <c r="D18" i="32" s="1"/>
  <c r="AA20" i="19"/>
  <c r="D18" i="33" s="1"/>
  <c r="A21" i="19"/>
  <c r="B21" i="19"/>
  <c r="C21" i="19"/>
  <c r="D21" i="19"/>
  <c r="E21" i="19"/>
  <c r="F21" i="19"/>
  <c r="H21" i="19"/>
  <c r="I21" i="19"/>
  <c r="J21" i="19"/>
  <c r="K21" i="19"/>
  <c r="L21" i="19"/>
  <c r="M21" i="19"/>
  <c r="N21" i="19"/>
  <c r="P21" i="19"/>
  <c r="Q21" i="19"/>
  <c r="S21" i="19"/>
  <c r="V21" i="19"/>
  <c r="W21" i="19"/>
  <c r="X21" i="19"/>
  <c r="Z21" i="19"/>
  <c r="D19" i="32" s="1"/>
  <c r="AA21" i="19"/>
  <c r="D19" i="33" s="1"/>
  <c r="A22" i="19"/>
  <c r="B22" i="19"/>
  <c r="C22" i="19"/>
  <c r="D22" i="19"/>
  <c r="E22" i="19"/>
  <c r="F22" i="19"/>
  <c r="H22" i="19"/>
  <c r="I22" i="19"/>
  <c r="J22" i="19"/>
  <c r="K22" i="19"/>
  <c r="L22" i="19"/>
  <c r="M22" i="19"/>
  <c r="N22" i="19"/>
  <c r="P22" i="19"/>
  <c r="Q22" i="19"/>
  <c r="S22" i="19"/>
  <c r="V22" i="19"/>
  <c r="W22" i="19"/>
  <c r="X22" i="19"/>
  <c r="Z22" i="19"/>
  <c r="D20" i="32" s="1"/>
  <c r="AA22" i="19"/>
  <c r="D20" i="33" s="1"/>
  <c r="A23" i="19"/>
  <c r="B23" i="19"/>
  <c r="C23" i="19"/>
  <c r="D23" i="19"/>
  <c r="E23" i="19"/>
  <c r="F23" i="19"/>
  <c r="H23" i="19"/>
  <c r="I23" i="19"/>
  <c r="J23" i="19"/>
  <c r="K23" i="19"/>
  <c r="L23" i="19"/>
  <c r="M23" i="19"/>
  <c r="N23" i="19"/>
  <c r="P23" i="19"/>
  <c r="Q23" i="19"/>
  <c r="S23" i="19"/>
  <c r="V23" i="19"/>
  <c r="W23" i="19"/>
  <c r="X23" i="19"/>
  <c r="Z23" i="19"/>
  <c r="D21" i="32" s="1"/>
  <c r="AA23" i="19"/>
  <c r="D21" i="33" s="1"/>
  <c r="A24" i="19"/>
  <c r="B24" i="19"/>
  <c r="C24" i="19"/>
  <c r="D24" i="19"/>
  <c r="E24" i="19"/>
  <c r="F24" i="19"/>
  <c r="H24" i="19"/>
  <c r="I24" i="19"/>
  <c r="J24" i="19"/>
  <c r="K24" i="19"/>
  <c r="L24" i="19"/>
  <c r="M24" i="19"/>
  <c r="N24" i="19"/>
  <c r="P24" i="19"/>
  <c r="Q24" i="19"/>
  <c r="S24" i="19"/>
  <c r="V24" i="19"/>
  <c r="W24" i="19"/>
  <c r="X24" i="19"/>
  <c r="Z24" i="19"/>
  <c r="D22" i="32" s="1"/>
  <c r="AA24" i="19"/>
  <c r="D22" i="33" s="1"/>
  <c r="A25" i="19"/>
  <c r="B25" i="19"/>
  <c r="C25" i="19"/>
  <c r="D25" i="19"/>
  <c r="E25" i="19"/>
  <c r="F25" i="19"/>
  <c r="H25" i="19"/>
  <c r="I25" i="19"/>
  <c r="J25" i="19"/>
  <c r="K25" i="19"/>
  <c r="L25" i="19"/>
  <c r="M25" i="19"/>
  <c r="N25" i="19"/>
  <c r="P25" i="19"/>
  <c r="Q25" i="19"/>
  <c r="S25" i="19"/>
  <c r="V25" i="19"/>
  <c r="W25" i="19"/>
  <c r="X25" i="19"/>
  <c r="Z25" i="19"/>
  <c r="D23" i="32" s="1"/>
  <c r="AA25" i="19"/>
  <c r="D23" i="33" s="1"/>
  <c r="A26" i="19"/>
  <c r="B26" i="19"/>
  <c r="C26" i="19"/>
  <c r="D26" i="19"/>
  <c r="E26" i="19"/>
  <c r="F26" i="19"/>
  <c r="H26" i="19"/>
  <c r="I26" i="19"/>
  <c r="J26" i="19"/>
  <c r="K26" i="19"/>
  <c r="L26" i="19"/>
  <c r="M26" i="19"/>
  <c r="N26" i="19"/>
  <c r="P26" i="19"/>
  <c r="Q26" i="19"/>
  <c r="S26" i="19"/>
  <c r="V26" i="19"/>
  <c r="W26" i="19"/>
  <c r="X26" i="19"/>
  <c r="Z26" i="19"/>
  <c r="D24" i="32" s="1"/>
  <c r="AA26" i="19"/>
  <c r="D24" i="33" s="1"/>
  <c r="A27" i="19"/>
  <c r="B27" i="19"/>
  <c r="C27" i="19"/>
  <c r="D27" i="19"/>
  <c r="E27" i="19"/>
  <c r="F27" i="19"/>
  <c r="H27" i="19"/>
  <c r="I27" i="19"/>
  <c r="J27" i="19"/>
  <c r="K27" i="19"/>
  <c r="L27" i="19"/>
  <c r="M27" i="19"/>
  <c r="N27" i="19"/>
  <c r="P27" i="19"/>
  <c r="Q27" i="19"/>
  <c r="S27" i="19"/>
  <c r="V27" i="19"/>
  <c r="W27" i="19"/>
  <c r="X27" i="19"/>
  <c r="Z27" i="19"/>
  <c r="D25" i="32" s="1"/>
  <c r="AA27" i="19"/>
  <c r="D25" i="33" s="1"/>
  <c r="A28" i="19"/>
  <c r="B28" i="19"/>
  <c r="C28" i="19"/>
  <c r="D28" i="19"/>
  <c r="E28" i="19"/>
  <c r="F28" i="19"/>
  <c r="H28" i="19"/>
  <c r="I28" i="19"/>
  <c r="J28" i="19"/>
  <c r="K28" i="19"/>
  <c r="L28" i="19"/>
  <c r="M28" i="19"/>
  <c r="N28" i="19"/>
  <c r="P28" i="19"/>
  <c r="Q28" i="19"/>
  <c r="S28" i="19"/>
  <c r="V28" i="19"/>
  <c r="W28" i="19"/>
  <c r="X28" i="19"/>
  <c r="Z28" i="19"/>
  <c r="D26" i="32" s="1"/>
  <c r="AA28" i="19"/>
  <c r="D26" i="33" s="1"/>
  <c r="A29" i="19"/>
  <c r="B29" i="19"/>
  <c r="C29" i="19"/>
  <c r="D29" i="19"/>
  <c r="E29" i="19"/>
  <c r="F29" i="19"/>
  <c r="H29" i="19"/>
  <c r="I29" i="19"/>
  <c r="J29" i="19"/>
  <c r="K29" i="19"/>
  <c r="L29" i="19"/>
  <c r="M29" i="19"/>
  <c r="N29" i="19"/>
  <c r="P29" i="19"/>
  <c r="Q29" i="19"/>
  <c r="S29" i="19"/>
  <c r="V29" i="19"/>
  <c r="W29" i="19"/>
  <c r="X29" i="19"/>
  <c r="Z29" i="19"/>
  <c r="D27" i="32" s="1"/>
  <c r="AA29" i="19"/>
  <c r="D27" i="33" s="1"/>
  <c r="A30" i="19"/>
  <c r="B30" i="19"/>
  <c r="C30" i="19"/>
  <c r="D30" i="19"/>
  <c r="E30" i="19"/>
  <c r="F30" i="19"/>
  <c r="H30" i="19"/>
  <c r="I30" i="19"/>
  <c r="J30" i="19"/>
  <c r="K30" i="19"/>
  <c r="L30" i="19"/>
  <c r="M30" i="19"/>
  <c r="N30" i="19"/>
  <c r="P30" i="19"/>
  <c r="O30" i="19" s="1"/>
  <c r="Q30" i="19"/>
  <c r="S30" i="19"/>
  <c r="V30" i="19"/>
  <c r="W30" i="19"/>
  <c r="X30" i="19"/>
  <c r="Z30" i="19"/>
  <c r="D28" i="32" s="1"/>
  <c r="AA30" i="19"/>
  <c r="D28" i="33" s="1"/>
  <c r="A31" i="19"/>
  <c r="B31" i="19"/>
  <c r="C31" i="19"/>
  <c r="D31" i="19"/>
  <c r="E31" i="19"/>
  <c r="F31" i="19"/>
  <c r="H31" i="19"/>
  <c r="I31" i="19"/>
  <c r="J31" i="19"/>
  <c r="K31" i="19"/>
  <c r="L31" i="19"/>
  <c r="M31" i="19"/>
  <c r="N31" i="19"/>
  <c r="P31" i="19"/>
  <c r="Q31" i="19"/>
  <c r="S31" i="19"/>
  <c r="V31" i="19"/>
  <c r="Y31" i="19" s="1"/>
  <c r="C29" i="32" s="1"/>
  <c r="W31" i="19"/>
  <c r="X31" i="19"/>
  <c r="Z31" i="19"/>
  <c r="D29" i="32" s="1"/>
  <c r="AA31" i="19"/>
  <c r="D29" i="33" s="1"/>
  <c r="A32" i="19"/>
  <c r="B32" i="19"/>
  <c r="C32" i="19"/>
  <c r="D32" i="19"/>
  <c r="E32" i="19"/>
  <c r="F32" i="19"/>
  <c r="H32" i="19"/>
  <c r="I32" i="19"/>
  <c r="J32" i="19"/>
  <c r="K32" i="19"/>
  <c r="L32" i="19"/>
  <c r="M32" i="19"/>
  <c r="N32" i="19"/>
  <c r="P32" i="19"/>
  <c r="Q32" i="19"/>
  <c r="S32" i="19"/>
  <c r="V32" i="19"/>
  <c r="W32" i="19"/>
  <c r="X32" i="19"/>
  <c r="Z32" i="19"/>
  <c r="D30" i="32" s="1"/>
  <c r="AA32" i="19"/>
  <c r="D30" i="33" s="1"/>
  <c r="A33" i="19"/>
  <c r="B33" i="19"/>
  <c r="C33" i="19"/>
  <c r="D33" i="19"/>
  <c r="E33" i="19"/>
  <c r="F33" i="19"/>
  <c r="H33" i="19"/>
  <c r="I33" i="19"/>
  <c r="J33" i="19"/>
  <c r="K33" i="19"/>
  <c r="L33" i="19"/>
  <c r="M33" i="19"/>
  <c r="N33" i="19"/>
  <c r="P33" i="19"/>
  <c r="Q33" i="19"/>
  <c r="S33" i="19"/>
  <c r="V33" i="19"/>
  <c r="W33" i="19"/>
  <c r="X33" i="19"/>
  <c r="Z33" i="19"/>
  <c r="D31" i="32" s="1"/>
  <c r="AA33" i="19"/>
  <c r="D31" i="33" s="1"/>
  <c r="A34" i="19"/>
  <c r="B34" i="19"/>
  <c r="C34" i="19"/>
  <c r="D34" i="19"/>
  <c r="E34" i="19"/>
  <c r="F34" i="19"/>
  <c r="H34" i="19"/>
  <c r="I34" i="19"/>
  <c r="J34" i="19"/>
  <c r="K34" i="19"/>
  <c r="L34" i="19"/>
  <c r="M34" i="19"/>
  <c r="N34" i="19"/>
  <c r="P34" i="19"/>
  <c r="Q34" i="19"/>
  <c r="S34" i="19"/>
  <c r="V34" i="19"/>
  <c r="W34" i="19"/>
  <c r="X34" i="19"/>
  <c r="Z34" i="19"/>
  <c r="D32" i="32" s="1"/>
  <c r="AA34" i="19"/>
  <c r="D32" i="33" s="1"/>
  <c r="A35" i="19"/>
  <c r="B35" i="19"/>
  <c r="C35" i="19"/>
  <c r="D35" i="19"/>
  <c r="E35" i="19"/>
  <c r="F35" i="19"/>
  <c r="H35" i="19"/>
  <c r="I35" i="19"/>
  <c r="J35" i="19"/>
  <c r="K35" i="19"/>
  <c r="L35" i="19"/>
  <c r="M35" i="19"/>
  <c r="N35" i="19"/>
  <c r="P35" i="19"/>
  <c r="Q35" i="19"/>
  <c r="S35" i="19"/>
  <c r="V35" i="19"/>
  <c r="W35" i="19"/>
  <c r="X35" i="19"/>
  <c r="Z35" i="19"/>
  <c r="D33" i="32" s="1"/>
  <c r="AA35" i="19"/>
  <c r="D33" i="33" s="1"/>
  <c r="A36" i="19"/>
  <c r="B36" i="19"/>
  <c r="C36" i="19"/>
  <c r="D36" i="19"/>
  <c r="E36" i="19"/>
  <c r="F36" i="19"/>
  <c r="H36" i="19"/>
  <c r="I36" i="19"/>
  <c r="J36" i="19"/>
  <c r="K36" i="19"/>
  <c r="L36" i="19"/>
  <c r="M36" i="19"/>
  <c r="N36" i="19"/>
  <c r="P36" i="19"/>
  <c r="Q36" i="19"/>
  <c r="S36" i="19"/>
  <c r="V36" i="19"/>
  <c r="W36" i="19"/>
  <c r="X36" i="19"/>
  <c r="Z36" i="19"/>
  <c r="D34" i="32" s="1"/>
  <c r="AA36" i="19"/>
  <c r="D34" i="33" s="1"/>
  <c r="A37" i="19"/>
  <c r="B37" i="19"/>
  <c r="C37" i="19"/>
  <c r="D37" i="19"/>
  <c r="E37" i="19"/>
  <c r="F37" i="19"/>
  <c r="H37" i="19"/>
  <c r="I37" i="19"/>
  <c r="J37" i="19"/>
  <c r="K37" i="19"/>
  <c r="L37" i="19"/>
  <c r="M37" i="19"/>
  <c r="N37" i="19"/>
  <c r="P37" i="19"/>
  <c r="Q37" i="19"/>
  <c r="S37" i="19"/>
  <c r="V37" i="19"/>
  <c r="W37" i="19"/>
  <c r="X37" i="19"/>
  <c r="Z37" i="19"/>
  <c r="D35" i="32" s="1"/>
  <c r="AA37" i="19"/>
  <c r="D35" i="33" s="1"/>
  <c r="A38" i="19"/>
  <c r="B38" i="19"/>
  <c r="C38" i="19"/>
  <c r="D38" i="19"/>
  <c r="E38" i="19"/>
  <c r="F38" i="19"/>
  <c r="H38" i="19"/>
  <c r="I38" i="19"/>
  <c r="J38" i="19"/>
  <c r="K38" i="19"/>
  <c r="L38" i="19"/>
  <c r="M38" i="19"/>
  <c r="N38" i="19"/>
  <c r="P38" i="19"/>
  <c r="Q38" i="19"/>
  <c r="S38" i="19"/>
  <c r="V38" i="19"/>
  <c r="W38" i="19"/>
  <c r="X38" i="19"/>
  <c r="Z38" i="19"/>
  <c r="D36" i="32" s="1"/>
  <c r="AA38" i="19"/>
  <c r="D36" i="33" s="1"/>
  <c r="A39" i="19"/>
  <c r="B39" i="19"/>
  <c r="C39" i="19"/>
  <c r="D39" i="19"/>
  <c r="E39" i="19"/>
  <c r="F39" i="19"/>
  <c r="H39" i="19"/>
  <c r="I39" i="19"/>
  <c r="J39" i="19"/>
  <c r="K39" i="19"/>
  <c r="L39" i="19"/>
  <c r="M39" i="19"/>
  <c r="N39" i="19"/>
  <c r="P39" i="19"/>
  <c r="Q39" i="19"/>
  <c r="S39" i="19"/>
  <c r="V39" i="19"/>
  <c r="W39" i="19"/>
  <c r="X39" i="19"/>
  <c r="Z39" i="19"/>
  <c r="D37" i="32" s="1"/>
  <c r="AA39" i="19"/>
  <c r="D37" i="33" s="1"/>
  <c r="A40" i="19"/>
  <c r="B40" i="19"/>
  <c r="C40" i="19"/>
  <c r="D40" i="19"/>
  <c r="E40" i="19"/>
  <c r="F40" i="19"/>
  <c r="H40" i="19"/>
  <c r="I40" i="19"/>
  <c r="J40" i="19"/>
  <c r="K40" i="19"/>
  <c r="L40" i="19"/>
  <c r="M40" i="19"/>
  <c r="N40" i="19"/>
  <c r="P40" i="19"/>
  <c r="Q40" i="19"/>
  <c r="S40" i="19"/>
  <c r="V40" i="19"/>
  <c r="W40" i="19"/>
  <c r="X40" i="19"/>
  <c r="Z40" i="19"/>
  <c r="D38" i="32" s="1"/>
  <c r="AA40" i="19"/>
  <c r="D38" i="33" s="1"/>
  <c r="A41" i="19"/>
  <c r="B41" i="19"/>
  <c r="C41" i="19"/>
  <c r="D41" i="19"/>
  <c r="E41" i="19"/>
  <c r="F41" i="19"/>
  <c r="H41" i="19"/>
  <c r="I41" i="19"/>
  <c r="J41" i="19"/>
  <c r="K41" i="19"/>
  <c r="L41" i="19"/>
  <c r="M41" i="19"/>
  <c r="N41" i="19"/>
  <c r="P41" i="19"/>
  <c r="Q41" i="19"/>
  <c r="S41" i="19"/>
  <c r="V41" i="19"/>
  <c r="W41" i="19"/>
  <c r="X41" i="19"/>
  <c r="Z41" i="19"/>
  <c r="D39" i="32" s="1"/>
  <c r="AA41" i="19"/>
  <c r="D39" i="33" s="1"/>
  <c r="A42" i="19"/>
  <c r="B42" i="19"/>
  <c r="C42" i="19"/>
  <c r="D42" i="19"/>
  <c r="E42" i="19"/>
  <c r="F42" i="19"/>
  <c r="H42" i="19"/>
  <c r="I42" i="19"/>
  <c r="J42" i="19"/>
  <c r="K42" i="19"/>
  <c r="L42" i="19"/>
  <c r="M42" i="19"/>
  <c r="N42" i="19"/>
  <c r="P42" i="19"/>
  <c r="Q42" i="19"/>
  <c r="S42" i="19"/>
  <c r="V42" i="19"/>
  <c r="W42" i="19"/>
  <c r="X42" i="19"/>
  <c r="Z42" i="19"/>
  <c r="D40" i="32" s="1"/>
  <c r="AA42" i="19"/>
  <c r="D40" i="33" s="1"/>
  <c r="A43" i="19"/>
  <c r="B43" i="19"/>
  <c r="C43" i="19"/>
  <c r="D43" i="19"/>
  <c r="E43" i="19"/>
  <c r="F43" i="19"/>
  <c r="H43" i="19"/>
  <c r="I43" i="19"/>
  <c r="J43" i="19"/>
  <c r="K43" i="19"/>
  <c r="L43" i="19"/>
  <c r="M43" i="19"/>
  <c r="N43" i="19"/>
  <c r="P43" i="19"/>
  <c r="Q43" i="19"/>
  <c r="S43" i="19"/>
  <c r="V43" i="19"/>
  <c r="W43" i="19"/>
  <c r="X43" i="19"/>
  <c r="Z43" i="19"/>
  <c r="D41" i="32" s="1"/>
  <c r="AA43" i="19"/>
  <c r="D41" i="33" s="1"/>
  <c r="A44" i="19"/>
  <c r="B44" i="19"/>
  <c r="C44" i="19"/>
  <c r="D44" i="19"/>
  <c r="E44" i="19"/>
  <c r="F44" i="19"/>
  <c r="H44" i="19"/>
  <c r="I44" i="19"/>
  <c r="J44" i="19"/>
  <c r="K44" i="19"/>
  <c r="L44" i="19"/>
  <c r="M44" i="19"/>
  <c r="N44" i="19"/>
  <c r="P44" i="19"/>
  <c r="Q44" i="19"/>
  <c r="O44" i="19" s="1"/>
  <c r="S44" i="19"/>
  <c r="V44" i="19"/>
  <c r="W44" i="19"/>
  <c r="X44" i="19"/>
  <c r="Z44" i="19"/>
  <c r="D42" i="32" s="1"/>
  <c r="AA44" i="19"/>
  <c r="D42" i="33" s="1"/>
  <c r="A45" i="19"/>
  <c r="B45" i="19"/>
  <c r="C45" i="19"/>
  <c r="D45" i="19"/>
  <c r="E45" i="19"/>
  <c r="F45" i="19"/>
  <c r="H45" i="19"/>
  <c r="I45" i="19"/>
  <c r="J45" i="19"/>
  <c r="K45" i="19"/>
  <c r="L45" i="19"/>
  <c r="M45" i="19"/>
  <c r="N45" i="19"/>
  <c r="P45" i="19"/>
  <c r="Q45" i="19"/>
  <c r="O45" i="19" s="1"/>
  <c r="S45" i="19"/>
  <c r="V45" i="19"/>
  <c r="W45" i="19"/>
  <c r="X45" i="19"/>
  <c r="Z45" i="19"/>
  <c r="D43" i="32" s="1"/>
  <c r="AA45" i="19"/>
  <c r="D43" i="33" s="1"/>
  <c r="A46" i="19"/>
  <c r="B46" i="19"/>
  <c r="C46" i="19"/>
  <c r="D46" i="19"/>
  <c r="E46" i="19"/>
  <c r="F46" i="19"/>
  <c r="H46" i="19"/>
  <c r="I46" i="19"/>
  <c r="J46" i="19"/>
  <c r="K46" i="19"/>
  <c r="L46" i="19"/>
  <c r="M46" i="19"/>
  <c r="N46" i="19"/>
  <c r="P46" i="19"/>
  <c r="O46" i="19" s="1"/>
  <c r="Q46" i="19"/>
  <c r="S46" i="19"/>
  <c r="V46" i="19"/>
  <c r="W46" i="19"/>
  <c r="X46" i="19"/>
  <c r="Z46" i="19"/>
  <c r="D44" i="32" s="1"/>
  <c r="AA46" i="19"/>
  <c r="D44" i="33" s="1"/>
  <c r="A47" i="19"/>
  <c r="B47" i="19"/>
  <c r="C47" i="19"/>
  <c r="D47" i="19"/>
  <c r="E47" i="19"/>
  <c r="F47" i="19"/>
  <c r="H47" i="19"/>
  <c r="I47" i="19"/>
  <c r="J47" i="19"/>
  <c r="K47" i="19"/>
  <c r="L47" i="19"/>
  <c r="M47" i="19"/>
  <c r="N47" i="19"/>
  <c r="P47" i="19"/>
  <c r="Q47" i="19"/>
  <c r="S47" i="19"/>
  <c r="V47" i="19"/>
  <c r="Y47" i="19" s="1"/>
  <c r="C45" i="32" s="1"/>
  <c r="W47" i="19"/>
  <c r="X47" i="19"/>
  <c r="Z47" i="19"/>
  <c r="D45" i="32" s="1"/>
  <c r="AA47" i="19"/>
  <c r="D45" i="33" s="1"/>
  <c r="A48" i="19"/>
  <c r="B48" i="19"/>
  <c r="C48" i="19"/>
  <c r="D48" i="19"/>
  <c r="E48" i="19"/>
  <c r="F48" i="19"/>
  <c r="H48" i="19"/>
  <c r="I48" i="19"/>
  <c r="J48" i="19"/>
  <c r="K48" i="19"/>
  <c r="L48" i="19"/>
  <c r="M48" i="19"/>
  <c r="N48" i="19"/>
  <c r="P48" i="19"/>
  <c r="Q48" i="19"/>
  <c r="S48" i="19"/>
  <c r="V48" i="19"/>
  <c r="W48" i="19"/>
  <c r="X48" i="19"/>
  <c r="Z48" i="19"/>
  <c r="D46" i="32" s="1"/>
  <c r="AA48" i="19"/>
  <c r="D46" i="33" s="1"/>
  <c r="A49" i="19"/>
  <c r="B49" i="19"/>
  <c r="C49" i="19"/>
  <c r="D49" i="19"/>
  <c r="E49" i="19"/>
  <c r="F49" i="19"/>
  <c r="H49" i="19"/>
  <c r="I49" i="19"/>
  <c r="J49" i="19"/>
  <c r="K49" i="19"/>
  <c r="L49" i="19"/>
  <c r="M49" i="19"/>
  <c r="N49" i="19"/>
  <c r="P49" i="19"/>
  <c r="Q49" i="19"/>
  <c r="S49" i="19"/>
  <c r="V49" i="19"/>
  <c r="W49" i="19"/>
  <c r="X49" i="19"/>
  <c r="Z49" i="19"/>
  <c r="D47" i="32" s="1"/>
  <c r="AA49" i="19"/>
  <c r="D47" i="33" s="1"/>
  <c r="A50" i="19"/>
  <c r="B50" i="19"/>
  <c r="C50" i="19"/>
  <c r="D50" i="19"/>
  <c r="E50" i="19"/>
  <c r="F50" i="19"/>
  <c r="H50" i="19"/>
  <c r="I50" i="19"/>
  <c r="J50" i="19"/>
  <c r="K50" i="19"/>
  <c r="L50" i="19"/>
  <c r="M50" i="19"/>
  <c r="N50" i="19"/>
  <c r="P50" i="19"/>
  <c r="Q50" i="19"/>
  <c r="S50" i="19"/>
  <c r="V50" i="19"/>
  <c r="W50" i="19"/>
  <c r="X50" i="19"/>
  <c r="Z50" i="19"/>
  <c r="D48" i="32" s="1"/>
  <c r="AA50" i="19"/>
  <c r="D48" i="33" s="1"/>
  <c r="A51" i="19"/>
  <c r="B51" i="19"/>
  <c r="C51" i="19"/>
  <c r="D51" i="19"/>
  <c r="E51" i="19"/>
  <c r="F51" i="19"/>
  <c r="H51" i="19"/>
  <c r="I51" i="19"/>
  <c r="J51" i="19"/>
  <c r="K51" i="19"/>
  <c r="L51" i="19"/>
  <c r="M51" i="19"/>
  <c r="N51" i="19"/>
  <c r="P51" i="19"/>
  <c r="Q51" i="19"/>
  <c r="S51" i="19"/>
  <c r="V51" i="19"/>
  <c r="W51" i="19"/>
  <c r="X51" i="19"/>
  <c r="Z51" i="19"/>
  <c r="D49" i="32" s="1"/>
  <c r="AA51" i="19"/>
  <c r="D49" i="33" s="1"/>
  <c r="A52" i="19"/>
  <c r="B52" i="19"/>
  <c r="C52" i="19"/>
  <c r="D52" i="19"/>
  <c r="E52" i="19"/>
  <c r="F52" i="19"/>
  <c r="H52" i="19"/>
  <c r="I52" i="19"/>
  <c r="J52" i="19"/>
  <c r="K52" i="19"/>
  <c r="L52" i="19"/>
  <c r="M52" i="19"/>
  <c r="N52" i="19"/>
  <c r="P52" i="19"/>
  <c r="Q52" i="19"/>
  <c r="S52" i="19"/>
  <c r="V52" i="19"/>
  <c r="W52" i="19"/>
  <c r="X52" i="19"/>
  <c r="Z52" i="19"/>
  <c r="D50" i="32" s="1"/>
  <c r="AA52" i="19"/>
  <c r="D50" i="33" s="1"/>
  <c r="A53" i="19"/>
  <c r="B53" i="19"/>
  <c r="C53" i="19"/>
  <c r="D53" i="19"/>
  <c r="E53" i="19"/>
  <c r="F53" i="19"/>
  <c r="H53" i="19"/>
  <c r="I53" i="19"/>
  <c r="J53" i="19"/>
  <c r="K53" i="19"/>
  <c r="L53" i="19"/>
  <c r="M53" i="19"/>
  <c r="N53" i="19"/>
  <c r="P53" i="19"/>
  <c r="Q53" i="19"/>
  <c r="S53" i="19"/>
  <c r="V53" i="19"/>
  <c r="W53" i="19"/>
  <c r="X53" i="19"/>
  <c r="Z53" i="19"/>
  <c r="D51" i="32" s="1"/>
  <c r="AA53" i="19"/>
  <c r="D51" i="33" s="1"/>
  <c r="A54" i="19"/>
  <c r="B54" i="19"/>
  <c r="C54" i="19"/>
  <c r="D54" i="19"/>
  <c r="E54" i="19"/>
  <c r="F54" i="19"/>
  <c r="H54" i="19"/>
  <c r="I54" i="19"/>
  <c r="J54" i="19"/>
  <c r="K54" i="19"/>
  <c r="L54" i="19"/>
  <c r="M54" i="19"/>
  <c r="N54" i="19"/>
  <c r="P54" i="19"/>
  <c r="Q54" i="19"/>
  <c r="S54" i="19"/>
  <c r="V54" i="19"/>
  <c r="W54" i="19"/>
  <c r="X54" i="19"/>
  <c r="Z54" i="19"/>
  <c r="D52" i="32" s="1"/>
  <c r="AA54" i="19"/>
  <c r="D52" i="33" s="1"/>
  <c r="A55" i="19"/>
  <c r="B55" i="19"/>
  <c r="C55" i="19"/>
  <c r="D55" i="19"/>
  <c r="E55" i="19"/>
  <c r="F55" i="19"/>
  <c r="H55" i="19"/>
  <c r="I55" i="19"/>
  <c r="J55" i="19"/>
  <c r="K55" i="19"/>
  <c r="L55" i="19"/>
  <c r="M55" i="19"/>
  <c r="N55" i="19"/>
  <c r="P55" i="19"/>
  <c r="Q55" i="19"/>
  <c r="S55" i="19"/>
  <c r="V55" i="19"/>
  <c r="W55" i="19"/>
  <c r="X55" i="19"/>
  <c r="Z55" i="19"/>
  <c r="D53" i="32" s="1"/>
  <c r="AA55" i="19"/>
  <c r="D53" i="33" s="1"/>
  <c r="A56" i="19"/>
  <c r="B56" i="19"/>
  <c r="C56" i="19"/>
  <c r="D56" i="19"/>
  <c r="E56" i="19"/>
  <c r="F56" i="19"/>
  <c r="H56" i="19"/>
  <c r="I56" i="19"/>
  <c r="J56" i="19"/>
  <c r="K56" i="19"/>
  <c r="L56" i="19"/>
  <c r="M56" i="19"/>
  <c r="N56" i="19"/>
  <c r="P56" i="19"/>
  <c r="Q56" i="19"/>
  <c r="S56" i="19"/>
  <c r="V56" i="19"/>
  <c r="W56" i="19"/>
  <c r="X56" i="19"/>
  <c r="Z56" i="19"/>
  <c r="D54" i="32" s="1"/>
  <c r="AA56" i="19"/>
  <c r="D54" i="33" s="1"/>
  <c r="A57" i="19"/>
  <c r="B57" i="19"/>
  <c r="C57" i="19"/>
  <c r="D57" i="19"/>
  <c r="E57" i="19"/>
  <c r="F57" i="19"/>
  <c r="H57" i="19"/>
  <c r="I57" i="19"/>
  <c r="J57" i="19"/>
  <c r="K57" i="19"/>
  <c r="L57" i="19"/>
  <c r="M57" i="19"/>
  <c r="N57" i="19"/>
  <c r="P57" i="19"/>
  <c r="Q57" i="19"/>
  <c r="S57" i="19"/>
  <c r="V57" i="19"/>
  <c r="W57" i="19"/>
  <c r="X57" i="19"/>
  <c r="Z57" i="19"/>
  <c r="D55" i="32" s="1"/>
  <c r="AA57" i="19"/>
  <c r="D55" i="33" s="1"/>
  <c r="A58" i="19"/>
  <c r="B58" i="19"/>
  <c r="C58" i="19"/>
  <c r="D58" i="19"/>
  <c r="E58" i="19"/>
  <c r="F58" i="19"/>
  <c r="H58" i="19"/>
  <c r="I58" i="19"/>
  <c r="J58" i="19"/>
  <c r="K58" i="19"/>
  <c r="L58" i="19"/>
  <c r="M58" i="19"/>
  <c r="N58" i="19"/>
  <c r="P58" i="19"/>
  <c r="Q58" i="19"/>
  <c r="S58" i="19"/>
  <c r="V58" i="19"/>
  <c r="W58" i="19"/>
  <c r="X58" i="19"/>
  <c r="Z58" i="19"/>
  <c r="D56" i="32" s="1"/>
  <c r="AA58" i="19"/>
  <c r="D56" i="33" s="1"/>
  <c r="A59" i="19"/>
  <c r="B59" i="19"/>
  <c r="C59" i="19"/>
  <c r="D59" i="19"/>
  <c r="E59" i="19"/>
  <c r="F59" i="19"/>
  <c r="H59" i="19"/>
  <c r="I59" i="19"/>
  <c r="J59" i="19"/>
  <c r="K59" i="19"/>
  <c r="L59" i="19"/>
  <c r="M59" i="19"/>
  <c r="N59" i="19"/>
  <c r="P59" i="19"/>
  <c r="Q59" i="19"/>
  <c r="S59" i="19"/>
  <c r="V59" i="19"/>
  <c r="W59" i="19"/>
  <c r="X59" i="19"/>
  <c r="Z59" i="19"/>
  <c r="D57" i="32" s="1"/>
  <c r="AA59" i="19"/>
  <c r="D57" i="33" s="1"/>
  <c r="A60" i="19"/>
  <c r="B60" i="19"/>
  <c r="C60" i="19"/>
  <c r="D60" i="19"/>
  <c r="E60" i="19"/>
  <c r="F60" i="19"/>
  <c r="H60" i="19"/>
  <c r="I60" i="19"/>
  <c r="J60" i="19"/>
  <c r="K60" i="19"/>
  <c r="L60" i="19"/>
  <c r="M60" i="19"/>
  <c r="N60" i="19"/>
  <c r="P60" i="19"/>
  <c r="Q60" i="19"/>
  <c r="O60" i="19" s="1"/>
  <c r="S60" i="19"/>
  <c r="V60" i="19"/>
  <c r="W60" i="19"/>
  <c r="X60" i="19"/>
  <c r="Z60" i="19"/>
  <c r="D58" i="32" s="1"/>
  <c r="AA60" i="19"/>
  <c r="D58" i="33" s="1"/>
  <c r="A61" i="19"/>
  <c r="B61" i="19"/>
  <c r="C61" i="19"/>
  <c r="D61" i="19"/>
  <c r="E61" i="19"/>
  <c r="F61" i="19"/>
  <c r="H61" i="19"/>
  <c r="I61" i="19"/>
  <c r="J61" i="19"/>
  <c r="K61" i="19"/>
  <c r="L61" i="19"/>
  <c r="M61" i="19"/>
  <c r="N61" i="19"/>
  <c r="P61" i="19"/>
  <c r="Q61" i="19"/>
  <c r="S61" i="19"/>
  <c r="V61" i="19"/>
  <c r="W61" i="19"/>
  <c r="X61" i="19"/>
  <c r="Z61" i="19"/>
  <c r="D59" i="32" s="1"/>
  <c r="AA61" i="19"/>
  <c r="D59" i="33" s="1"/>
  <c r="A62" i="19"/>
  <c r="B62" i="19"/>
  <c r="C62" i="19"/>
  <c r="D62" i="19"/>
  <c r="E62" i="19"/>
  <c r="F62" i="19"/>
  <c r="H62" i="19"/>
  <c r="I62" i="19"/>
  <c r="J62" i="19"/>
  <c r="K62" i="19"/>
  <c r="L62" i="19"/>
  <c r="M62" i="19"/>
  <c r="N62" i="19"/>
  <c r="P62" i="19"/>
  <c r="Q62" i="19"/>
  <c r="S62" i="19"/>
  <c r="V62" i="19"/>
  <c r="W62" i="19"/>
  <c r="X62" i="19"/>
  <c r="Z62" i="19"/>
  <c r="D60" i="32" s="1"/>
  <c r="AA62" i="19"/>
  <c r="D60" i="33" s="1"/>
  <c r="A63" i="19"/>
  <c r="B63" i="19"/>
  <c r="C63" i="19"/>
  <c r="D63" i="19"/>
  <c r="E63" i="19"/>
  <c r="F63" i="19"/>
  <c r="H63" i="19"/>
  <c r="I63" i="19"/>
  <c r="J63" i="19"/>
  <c r="K63" i="19"/>
  <c r="L63" i="19"/>
  <c r="M63" i="19"/>
  <c r="N63" i="19"/>
  <c r="P63" i="19"/>
  <c r="Q63" i="19"/>
  <c r="S63" i="19"/>
  <c r="V63" i="19"/>
  <c r="W63" i="19"/>
  <c r="X63" i="19"/>
  <c r="Z63" i="19"/>
  <c r="D61" i="32" s="1"/>
  <c r="AA63" i="19"/>
  <c r="D61" i="33" s="1"/>
  <c r="A64" i="19"/>
  <c r="B64" i="19"/>
  <c r="C64" i="19"/>
  <c r="D64" i="19"/>
  <c r="E64" i="19"/>
  <c r="F64" i="19"/>
  <c r="H64" i="19"/>
  <c r="I64" i="19"/>
  <c r="J64" i="19"/>
  <c r="K64" i="19"/>
  <c r="L64" i="19"/>
  <c r="M64" i="19"/>
  <c r="N64" i="19"/>
  <c r="P64" i="19"/>
  <c r="Q64" i="19"/>
  <c r="S64" i="19"/>
  <c r="V64" i="19"/>
  <c r="W64" i="19"/>
  <c r="X64" i="19"/>
  <c r="Z64" i="19"/>
  <c r="D62" i="32" s="1"/>
  <c r="AA64" i="19"/>
  <c r="D62" i="33" s="1"/>
  <c r="A65" i="19"/>
  <c r="B65" i="19"/>
  <c r="C65" i="19"/>
  <c r="D65" i="19"/>
  <c r="E65" i="19"/>
  <c r="F65" i="19"/>
  <c r="H65" i="19"/>
  <c r="I65" i="19"/>
  <c r="J65" i="19"/>
  <c r="K65" i="19"/>
  <c r="L65" i="19"/>
  <c r="M65" i="19"/>
  <c r="N65" i="19"/>
  <c r="P65" i="19"/>
  <c r="Q65" i="19"/>
  <c r="S65" i="19"/>
  <c r="V65" i="19"/>
  <c r="W65" i="19"/>
  <c r="X65" i="19"/>
  <c r="Z65" i="19"/>
  <c r="D63" i="32" s="1"/>
  <c r="AA65" i="19"/>
  <c r="D63" i="33" s="1"/>
  <c r="A66" i="19"/>
  <c r="B66" i="19"/>
  <c r="C66" i="19"/>
  <c r="D66" i="19"/>
  <c r="E66" i="19"/>
  <c r="F66" i="19"/>
  <c r="H66" i="19"/>
  <c r="I66" i="19"/>
  <c r="J66" i="19"/>
  <c r="K66" i="19"/>
  <c r="L66" i="19"/>
  <c r="M66" i="19"/>
  <c r="N66" i="19"/>
  <c r="P66" i="19"/>
  <c r="Q66" i="19"/>
  <c r="S66" i="19"/>
  <c r="V66" i="19"/>
  <c r="W66" i="19"/>
  <c r="X66" i="19"/>
  <c r="Z66" i="19"/>
  <c r="D64" i="32" s="1"/>
  <c r="AA66" i="19"/>
  <c r="D64" i="33" s="1"/>
  <c r="A67" i="19"/>
  <c r="B67" i="19"/>
  <c r="C67" i="19"/>
  <c r="D67" i="19"/>
  <c r="E67" i="19"/>
  <c r="F67" i="19"/>
  <c r="H67" i="19"/>
  <c r="I67" i="19"/>
  <c r="J67" i="19"/>
  <c r="K67" i="19"/>
  <c r="L67" i="19"/>
  <c r="M67" i="19"/>
  <c r="N67" i="19"/>
  <c r="P67" i="19"/>
  <c r="Q67" i="19"/>
  <c r="S67" i="19"/>
  <c r="V67" i="19"/>
  <c r="W67" i="19"/>
  <c r="X67" i="19"/>
  <c r="Z67" i="19"/>
  <c r="D65" i="32" s="1"/>
  <c r="AA67" i="19"/>
  <c r="D65" i="33" s="1"/>
  <c r="A68" i="19"/>
  <c r="B68" i="19"/>
  <c r="C68" i="19"/>
  <c r="D68" i="19"/>
  <c r="E68" i="19"/>
  <c r="F68" i="19"/>
  <c r="H68" i="19"/>
  <c r="I68" i="19"/>
  <c r="J68" i="19"/>
  <c r="K68" i="19"/>
  <c r="L68" i="19"/>
  <c r="M68" i="19"/>
  <c r="N68" i="19"/>
  <c r="P68" i="19"/>
  <c r="Q68" i="19"/>
  <c r="S68" i="19"/>
  <c r="V68" i="19"/>
  <c r="W68" i="19"/>
  <c r="X68" i="19"/>
  <c r="Z68" i="19"/>
  <c r="D66" i="32" s="1"/>
  <c r="AA68" i="19"/>
  <c r="D66" i="33" s="1"/>
  <c r="A69" i="19"/>
  <c r="B69" i="19"/>
  <c r="C69" i="19"/>
  <c r="D69" i="19"/>
  <c r="E69" i="19"/>
  <c r="F69" i="19"/>
  <c r="H69" i="19"/>
  <c r="I69" i="19"/>
  <c r="J69" i="19"/>
  <c r="K69" i="19"/>
  <c r="L69" i="19"/>
  <c r="M69" i="19"/>
  <c r="N69" i="19"/>
  <c r="P69" i="19"/>
  <c r="Q69" i="19"/>
  <c r="S69" i="19"/>
  <c r="V69" i="19"/>
  <c r="W69" i="19"/>
  <c r="X69" i="19"/>
  <c r="Z69" i="19"/>
  <c r="D67" i="32" s="1"/>
  <c r="AA69" i="19"/>
  <c r="D67" i="33" s="1"/>
  <c r="A70" i="19"/>
  <c r="B70" i="19"/>
  <c r="C70" i="19"/>
  <c r="D70" i="19"/>
  <c r="E70" i="19"/>
  <c r="F70" i="19"/>
  <c r="H70" i="19"/>
  <c r="I70" i="19"/>
  <c r="J70" i="19"/>
  <c r="K70" i="19"/>
  <c r="L70" i="19"/>
  <c r="M70" i="19"/>
  <c r="N70" i="19"/>
  <c r="P70" i="19"/>
  <c r="Q70" i="19"/>
  <c r="S70" i="19"/>
  <c r="V70" i="19"/>
  <c r="W70" i="19"/>
  <c r="X70" i="19"/>
  <c r="Z70" i="19"/>
  <c r="D68" i="32" s="1"/>
  <c r="AA70" i="19"/>
  <c r="D68" i="33" s="1"/>
  <c r="A71" i="19"/>
  <c r="B71" i="19"/>
  <c r="C71" i="19"/>
  <c r="D71" i="19"/>
  <c r="E71" i="19"/>
  <c r="F71" i="19"/>
  <c r="H71" i="19"/>
  <c r="I71" i="19"/>
  <c r="J71" i="19"/>
  <c r="K71" i="19"/>
  <c r="L71" i="19"/>
  <c r="M71" i="19"/>
  <c r="N71" i="19"/>
  <c r="P71" i="19"/>
  <c r="Q71" i="19"/>
  <c r="S71" i="19"/>
  <c r="V71" i="19"/>
  <c r="W71" i="19"/>
  <c r="X71" i="19"/>
  <c r="Z71" i="19"/>
  <c r="D69" i="32" s="1"/>
  <c r="AA71" i="19"/>
  <c r="D69" i="33" s="1"/>
  <c r="A72" i="19"/>
  <c r="B72" i="19"/>
  <c r="C72" i="19"/>
  <c r="D72" i="19"/>
  <c r="E72" i="19"/>
  <c r="F72" i="19"/>
  <c r="H72" i="19"/>
  <c r="I72" i="19"/>
  <c r="J72" i="19"/>
  <c r="K72" i="19"/>
  <c r="L72" i="19"/>
  <c r="M72" i="19"/>
  <c r="N72" i="19"/>
  <c r="P72" i="19"/>
  <c r="Q72" i="19"/>
  <c r="S72" i="19"/>
  <c r="V72" i="19"/>
  <c r="W72" i="19"/>
  <c r="X72" i="19"/>
  <c r="Z72" i="19"/>
  <c r="D70" i="32" s="1"/>
  <c r="AA72" i="19"/>
  <c r="D70" i="33" s="1"/>
  <c r="A73" i="19"/>
  <c r="B73" i="19"/>
  <c r="C73" i="19"/>
  <c r="D73" i="19"/>
  <c r="E73" i="19"/>
  <c r="F73" i="19"/>
  <c r="H73" i="19"/>
  <c r="I73" i="19"/>
  <c r="J73" i="19"/>
  <c r="K73" i="19"/>
  <c r="L73" i="19"/>
  <c r="M73" i="19"/>
  <c r="N73" i="19"/>
  <c r="P73" i="19"/>
  <c r="Q73" i="19"/>
  <c r="S73" i="19"/>
  <c r="V73" i="19"/>
  <c r="W73" i="19"/>
  <c r="X73" i="19"/>
  <c r="Z73" i="19"/>
  <c r="D71" i="32" s="1"/>
  <c r="AA73" i="19"/>
  <c r="D71" i="33" s="1"/>
  <c r="A74" i="19"/>
  <c r="B74" i="19"/>
  <c r="C74" i="19"/>
  <c r="D74" i="19"/>
  <c r="E74" i="19"/>
  <c r="F74" i="19"/>
  <c r="H74" i="19"/>
  <c r="I74" i="19"/>
  <c r="J74" i="19"/>
  <c r="K74" i="19"/>
  <c r="L74" i="19"/>
  <c r="M74" i="19"/>
  <c r="N74" i="19"/>
  <c r="P74" i="19"/>
  <c r="Q74" i="19"/>
  <c r="S74" i="19"/>
  <c r="V74" i="19"/>
  <c r="W74" i="19"/>
  <c r="X74" i="19"/>
  <c r="Z74" i="19"/>
  <c r="D72" i="32" s="1"/>
  <c r="AA74" i="19"/>
  <c r="D72" i="33" s="1"/>
  <c r="A75" i="19"/>
  <c r="B75" i="19"/>
  <c r="C75" i="19"/>
  <c r="D75" i="19"/>
  <c r="E75" i="19"/>
  <c r="F75" i="19"/>
  <c r="H75" i="19"/>
  <c r="I75" i="19"/>
  <c r="J75" i="19"/>
  <c r="K75" i="19"/>
  <c r="L75" i="19"/>
  <c r="M75" i="19"/>
  <c r="N75" i="19"/>
  <c r="P75" i="19"/>
  <c r="Q75" i="19"/>
  <c r="S75" i="19"/>
  <c r="V75" i="19"/>
  <c r="W75" i="19"/>
  <c r="X75" i="19"/>
  <c r="Z75" i="19"/>
  <c r="D73" i="32" s="1"/>
  <c r="AA75" i="19"/>
  <c r="D73" i="33" s="1"/>
  <c r="A76" i="19"/>
  <c r="B76" i="19"/>
  <c r="C76" i="19"/>
  <c r="D76" i="19"/>
  <c r="E76" i="19"/>
  <c r="F76" i="19"/>
  <c r="H76" i="19"/>
  <c r="I76" i="19"/>
  <c r="J76" i="19"/>
  <c r="K76" i="19"/>
  <c r="L76" i="19"/>
  <c r="M76" i="19"/>
  <c r="N76" i="19"/>
  <c r="P76" i="19"/>
  <c r="Q76" i="19"/>
  <c r="S76" i="19"/>
  <c r="V76" i="19"/>
  <c r="W76" i="19"/>
  <c r="X76" i="19"/>
  <c r="Z76" i="19"/>
  <c r="D74" i="32" s="1"/>
  <c r="AA76" i="19"/>
  <c r="D74" i="33" s="1"/>
  <c r="A77" i="19"/>
  <c r="B77" i="19"/>
  <c r="C77" i="19"/>
  <c r="D77" i="19"/>
  <c r="E77" i="19"/>
  <c r="F77" i="19"/>
  <c r="H77" i="19"/>
  <c r="I77" i="19"/>
  <c r="J77" i="19"/>
  <c r="K77" i="19"/>
  <c r="L77" i="19"/>
  <c r="M77" i="19"/>
  <c r="N77" i="19"/>
  <c r="P77" i="19"/>
  <c r="Q77" i="19"/>
  <c r="S77" i="19"/>
  <c r="V77" i="19"/>
  <c r="W77" i="19"/>
  <c r="X77" i="19"/>
  <c r="Z77" i="19"/>
  <c r="D75" i="32" s="1"/>
  <c r="AA77" i="19"/>
  <c r="D75" i="33" s="1"/>
  <c r="A78" i="19"/>
  <c r="B78" i="19"/>
  <c r="C78" i="19"/>
  <c r="D78" i="19"/>
  <c r="E78" i="19"/>
  <c r="F78" i="19"/>
  <c r="H78" i="19"/>
  <c r="I78" i="19"/>
  <c r="J78" i="19"/>
  <c r="K78" i="19"/>
  <c r="L78" i="19"/>
  <c r="M78" i="19"/>
  <c r="N78" i="19"/>
  <c r="P78" i="19"/>
  <c r="Q78" i="19"/>
  <c r="S78" i="19"/>
  <c r="V78" i="19"/>
  <c r="W78" i="19"/>
  <c r="X78" i="19"/>
  <c r="Z78" i="19"/>
  <c r="D76" i="32" s="1"/>
  <c r="AA78" i="19"/>
  <c r="D76" i="33" s="1"/>
  <c r="A79" i="19"/>
  <c r="B79" i="19"/>
  <c r="C79" i="19"/>
  <c r="D79" i="19"/>
  <c r="E79" i="19"/>
  <c r="F79" i="19"/>
  <c r="H79" i="19"/>
  <c r="I79" i="19"/>
  <c r="J79" i="19"/>
  <c r="K79" i="19"/>
  <c r="L79" i="19"/>
  <c r="M79" i="19"/>
  <c r="N79" i="19"/>
  <c r="P79" i="19"/>
  <c r="Q79" i="19"/>
  <c r="S79" i="19"/>
  <c r="V79" i="19"/>
  <c r="W79" i="19"/>
  <c r="X79" i="19"/>
  <c r="Z79" i="19"/>
  <c r="D77" i="32" s="1"/>
  <c r="AA79" i="19"/>
  <c r="D77" i="33" s="1"/>
  <c r="A80" i="19"/>
  <c r="B80" i="19"/>
  <c r="C80" i="19"/>
  <c r="D80" i="19"/>
  <c r="E80" i="19"/>
  <c r="F80" i="19"/>
  <c r="H80" i="19"/>
  <c r="I80" i="19"/>
  <c r="J80" i="19"/>
  <c r="K80" i="19"/>
  <c r="L80" i="19"/>
  <c r="M80" i="19"/>
  <c r="N80" i="19"/>
  <c r="P80" i="19"/>
  <c r="Q80" i="19"/>
  <c r="S80" i="19"/>
  <c r="V80" i="19"/>
  <c r="W80" i="19"/>
  <c r="X80" i="19"/>
  <c r="Z80" i="19"/>
  <c r="D78" i="32" s="1"/>
  <c r="AA80" i="19"/>
  <c r="D78" i="33" s="1"/>
  <c r="A81" i="19"/>
  <c r="B81" i="19"/>
  <c r="C81" i="19"/>
  <c r="D81" i="19"/>
  <c r="E81" i="19"/>
  <c r="F81" i="19"/>
  <c r="H81" i="19"/>
  <c r="I81" i="19"/>
  <c r="J81" i="19"/>
  <c r="K81" i="19"/>
  <c r="L81" i="19"/>
  <c r="M81" i="19"/>
  <c r="N81" i="19"/>
  <c r="P81" i="19"/>
  <c r="Q81" i="19"/>
  <c r="S81" i="19"/>
  <c r="V81" i="19"/>
  <c r="W81" i="19"/>
  <c r="X81" i="19"/>
  <c r="Z81" i="19"/>
  <c r="D79" i="32" s="1"/>
  <c r="AA81" i="19"/>
  <c r="D79" i="33" s="1"/>
  <c r="A82" i="19"/>
  <c r="B82" i="19"/>
  <c r="C82" i="19"/>
  <c r="D82" i="19"/>
  <c r="E82" i="19"/>
  <c r="F82" i="19"/>
  <c r="H82" i="19"/>
  <c r="I82" i="19"/>
  <c r="J82" i="19"/>
  <c r="K82" i="19"/>
  <c r="L82" i="19"/>
  <c r="M82" i="19"/>
  <c r="N82" i="19"/>
  <c r="P82" i="19"/>
  <c r="Q82" i="19"/>
  <c r="S82" i="19"/>
  <c r="V82" i="19"/>
  <c r="W82" i="19"/>
  <c r="X82" i="19"/>
  <c r="Z82" i="19"/>
  <c r="D80" i="32" s="1"/>
  <c r="AA82" i="19"/>
  <c r="D80" i="33" s="1"/>
  <c r="A83" i="19"/>
  <c r="B83" i="19"/>
  <c r="C83" i="19"/>
  <c r="D83" i="19"/>
  <c r="E83" i="19"/>
  <c r="F83" i="19"/>
  <c r="H83" i="19"/>
  <c r="I83" i="19"/>
  <c r="J83" i="19"/>
  <c r="K83" i="19"/>
  <c r="L83" i="19"/>
  <c r="M83" i="19"/>
  <c r="N83" i="19"/>
  <c r="P83" i="19"/>
  <c r="Q83" i="19"/>
  <c r="S83" i="19"/>
  <c r="V83" i="19"/>
  <c r="W83" i="19"/>
  <c r="X83" i="19"/>
  <c r="Z83" i="19"/>
  <c r="D81" i="32" s="1"/>
  <c r="AA83" i="19"/>
  <c r="D81" i="33" s="1"/>
  <c r="A84" i="19"/>
  <c r="B84" i="19"/>
  <c r="C84" i="19"/>
  <c r="D84" i="19"/>
  <c r="E84" i="19"/>
  <c r="F84" i="19"/>
  <c r="H84" i="19"/>
  <c r="I84" i="19"/>
  <c r="J84" i="19"/>
  <c r="K84" i="19"/>
  <c r="L84" i="19"/>
  <c r="M84" i="19"/>
  <c r="N84" i="19"/>
  <c r="P84" i="19"/>
  <c r="Q84" i="19"/>
  <c r="S84" i="19"/>
  <c r="V84" i="19"/>
  <c r="W84" i="19"/>
  <c r="X84" i="19"/>
  <c r="Z84" i="19"/>
  <c r="D82" i="32" s="1"/>
  <c r="AA84" i="19"/>
  <c r="D82" i="33" s="1"/>
  <c r="A85" i="19"/>
  <c r="B85" i="19"/>
  <c r="C85" i="19"/>
  <c r="D85" i="19"/>
  <c r="E85" i="19"/>
  <c r="F85" i="19"/>
  <c r="H85" i="19"/>
  <c r="I85" i="19"/>
  <c r="J85" i="19"/>
  <c r="K85" i="19"/>
  <c r="L85" i="19"/>
  <c r="M85" i="19"/>
  <c r="N85" i="19"/>
  <c r="P85" i="19"/>
  <c r="Q85" i="19"/>
  <c r="S85" i="19"/>
  <c r="V85" i="19"/>
  <c r="W85" i="19"/>
  <c r="X85" i="19"/>
  <c r="Z85" i="19"/>
  <c r="D83" i="32" s="1"/>
  <c r="AA85" i="19"/>
  <c r="D83" i="33" s="1"/>
  <c r="A86" i="19"/>
  <c r="B86" i="19"/>
  <c r="C86" i="19"/>
  <c r="D86" i="19"/>
  <c r="E86" i="19"/>
  <c r="F86" i="19"/>
  <c r="H86" i="19"/>
  <c r="I86" i="19"/>
  <c r="J86" i="19"/>
  <c r="K86" i="19"/>
  <c r="L86" i="19"/>
  <c r="M86" i="19"/>
  <c r="N86" i="19"/>
  <c r="P86" i="19"/>
  <c r="Q86" i="19"/>
  <c r="S86" i="19"/>
  <c r="V86" i="19"/>
  <c r="W86" i="19"/>
  <c r="X86" i="19"/>
  <c r="Z86" i="19"/>
  <c r="D84" i="32" s="1"/>
  <c r="AA86" i="19"/>
  <c r="D84" i="33" s="1"/>
  <c r="A87" i="19"/>
  <c r="B87" i="19"/>
  <c r="C87" i="19"/>
  <c r="D87" i="19"/>
  <c r="E87" i="19"/>
  <c r="F87" i="19"/>
  <c r="H87" i="19"/>
  <c r="I87" i="19"/>
  <c r="J87" i="19"/>
  <c r="K87" i="19"/>
  <c r="L87" i="19"/>
  <c r="M87" i="19"/>
  <c r="N87" i="19"/>
  <c r="P87" i="19"/>
  <c r="Q87" i="19"/>
  <c r="S87" i="19"/>
  <c r="V87" i="19"/>
  <c r="W87" i="19"/>
  <c r="X87" i="19"/>
  <c r="Z87" i="19"/>
  <c r="D85" i="32" s="1"/>
  <c r="AA87" i="19"/>
  <c r="D85" i="33" s="1"/>
  <c r="A88" i="19"/>
  <c r="B88" i="19"/>
  <c r="C88" i="19"/>
  <c r="D88" i="19"/>
  <c r="E88" i="19"/>
  <c r="F88" i="19"/>
  <c r="H88" i="19"/>
  <c r="I88" i="19"/>
  <c r="J88" i="19"/>
  <c r="K88" i="19"/>
  <c r="L88" i="19"/>
  <c r="M88" i="19"/>
  <c r="N88" i="19"/>
  <c r="P88" i="19"/>
  <c r="Q88" i="19"/>
  <c r="S88" i="19"/>
  <c r="V88" i="19"/>
  <c r="Y88" i="19" s="1"/>
  <c r="C86" i="32" s="1"/>
  <c r="E86" i="32" s="1"/>
  <c r="W88" i="19"/>
  <c r="X88" i="19"/>
  <c r="Z88" i="19"/>
  <c r="D86" i="32" s="1"/>
  <c r="AA88" i="19"/>
  <c r="D86" i="33" s="1"/>
  <c r="A89" i="19"/>
  <c r="B89" i="19"/>
  <c r="C89" i="19"/>
  <c r="D89" i="19"/>
  <c r="E89" i="19"/>
  <c r="F89" i="19"/>
  <c r="H89" i="19"/>
  <c r="I89" i="19"/>
  <c r="J89" i="19"/>
  <c r="K89" i="19"/>
  <c r="L89" i="19"/>
  <c r="M89" i="19"/>
  <c r="N89" i="19"/>
  <c r="P89" i="19"/>
  <c r="Q89" i="19"/>
  <c r="S89" i="19"/>
  <c r="V89" i="19"/>
  <c r="W89" i="19"/>
  <c r="X89" i="19"/>
  <c r="Z89" i="19"/>
  <c r="D87" i="32" s="1"/>
  <c r="AA89" i="19"/>
  <c r="D87" i="33" s="1"/>
  <c r="A90" i="19"/>
  <c r="B90" i="19"/>
  <c r="C90" i="19"/>
  <c r="D90" i="19"/>
  <c r="E90" i="19"/>
  <c r="F90" i="19"/>
  <c r="H90" i="19"/>
  <c r="I90" i="19"/>
  <c r="J90" i="19"/>
  <c r="K90" i="19"/>
  <c r="L90" i="19"/>
  <c r="M90" i="19"/>
  <c r="N90" i="19"/>
  <c r="P90" i="19"/>
  <c r="Q90" i="19"/>
  <c r="S90" i="19"/>
  <c r="V90" i="19"/>
  <c r="W90" i="19"/>
  <c r="X90" i="19"/>
  <c r="Y90" i="19" s="1"/>
  <c r="C88" i="32" s="1"/>
  <c r="Z90" i="19"/>
  <c r="D88" i="32" s="1"/>
  <c r="AA90" i="19"/>
  <c r="D88" i="33" s="1"/>
  <c r="A91" i="19"/>
  <c r="B91" i="19"/>
  <c r="C91" i="19"/>
  <c r="D91" i="19"/>
  <c r="E91" i="19"/>
  <c r="F91" i="19"/>
  <c r="H91" i="19"/>
  <c r="I91" i="19"/>
  <c r="J91" i="19"/>
  <c r="K91" i="19"/>
  <c r="L91" i="19"/>
  <c r="M91" i="19"/>
  <c r="N91" i="19"/>
  <c r="P91" i="19"/>
  <c r="O91" i="19" s="1"/>
  <c r="Q91" i="19"/>
  <c r="S91" i="19"/>
  <c r="V91" i="19"/>
  <c r="W91" i="19"/>
  <c r="X91" i="19"/>
  <c r="Z91" i="19"/>
  <c r="D89" i="32" s="1"/>
  <c r="AA91" i="19"/>
  <c r="D89" i="33" s="1"/>
  <c r="A92" i="19"/>
  <c r="B92" i="19"/>
  <c r="C92" i="19"/>
  <c r="D92" i="19"/>
  <c r="E92" i="19"/>
  <c r="F92" i="19"/>
  <c r="H92" i="19"/>
  <c r="I92" i="19"/>
  <c r="J92" i="19"/>
  <c r="K92" i="19"/>
  <c r="L92" i="19"/>
  <c r="M92" i="19"/>
  <c r="N92" i="19"/>
  <c r="P92" i="19"/>
  <c r="Q92" i="19"/>
  <c r="S92" i="19"/>
  <c r="V92" i="19"/>
  <c r="W92" i="19"/>
  <c r="X92" i="19"/>
  <c r="Z92" i="19"/>
  <c r="D90" i="32" s="1"/>
  <c r="AA92" i="19"/>
  <c r="D90" i="33" s="1"/>
  <c r="A93" i="19"/>
  <c r="B93" i="19"/>
  <c r="C93" i="19"/>
  <c r="D93" i="19"/>
  <c r="E93" i="19"/>
  <c r="F93" i="19"/>
  <c r="H93" i="19"/>
  <c r="I93" i="19"/>
  <c r="J93" i="19"/>
  <c r="K93" i="19"/>
  <c r="L93" i="19"/>
  <c r="M93" i="19"/>
  <c r="N93" i="19"/>
  <c r="P93" i="19"/>
  <c r="Q93" i="19"/>
  <c r="S93" i="19"/>
  <c r="V93" i="19"/>
  <c r="W93" i="19"/>
  <c r="X93" i="19"/>
  <c r="Z93" i="19"/>
  <c r="D91" i="32" s="1"/>
  <c r="AA93" i="19"/>
  <c r="D91" i="33" s="1"/>
  <c r="A94" i="19"/>
  <c r="B94" i="19"/>
  <c r="C94" i="19"/>
  <c r="G94" i="19" s="1"/>
  <c r="D94" i="19"/>
  <c r="E94" i="19"/>
  <c r="F94" i="19"/>
  <c r="H94" i="19"/>
  <c r="I94" i="19"/>
  <c r="J94" i="19"/>
  <c r="K94" i="19"/>
  <c r="L94" i="19"/>
  <c r="M94" i="19"/>
  <c r="N94" i="19"/>
  <c r="P94" i="19"/>
  <c r="Q94" i="19"/>
  <c r="S94" i="19"/>
  <c r="V94" i="19"/>
  <c r="W94" i="19"/>
  <c r="X94" i="19"/>
  <c r="Z94" i="19"/>
  <c r="D92" i="32" s="1"/>
  <c r="AA94" i="19"/>
  <c r="D92" i="33" s="1"/>
  <c r="A95" i="19"/>
  <c r="B95" i="19"/>
  <c r="C95" i="19"/>
  <c r="D95" i="19"/>
  <c r="E95" i="19"/>
  <c r="F95" i="19"/>
  <c r="H95" i="19"/>
  <c r="I95" i="19"/>
  <c r="J95" i="19"/>
  <c r="K95" i="19"/>
  <c r="L95" i="19"/>
  <c r="M95" i="19"/>
  <c r="N95" i="19"/>
  <c r="P95" i="19"/>
  <c r="Q95" i="19"/>
  <c r="S95" i="19"/>
  <c r="W95" i="19"/>
  <c r="X95" i="19"/>
  <c r="Z95" i="19"/>
  <c r="D93" i="32" s="1"/>
  <c r="AA95" i="19"/>
  <c r="D93" i="33" s="1"/>
  <c r="A96" i="19"/>
  <c r="B96" i="19"/>
  <c r="C96" i="19"/>
  <c r="D96" i="19"/>
  <c r="E96" i="19"/>
  <c r="F96" i="19"/>
  <c r="H96" i="19"/>
  <c r="I96" i="19"/>
  <c r="J96" i="19"/>
  <c r="K96" i="19"/>
  <c r="L96" i="19"/>
  <c r="M96" i="19"/>
  <c r="N96" i="19"/>
  <c r="P96" i="19"/>
  <c r="Q96" i="19"/>
  <c r="S96" i="19"/>
  <c r="V96" i="19"/>
  <c r="W96" i="19"/>
  <c r="X96" i="19"/>
  <c r="Z96" i="19"/>
  <c r="D94" i="32" s="1"/>
  <c r="AA96" i="19"/>
  <c r="D94" i="33" s="1"/>
  <c r="A97" i="19"/>
  <c r="B97" i="19"/>
  <c r="C97" i="19"/>
  <c r="D97" i="19"/>
  <c r="E97" i="19"/>
  <c r="F97" i="19"/>
  <c r="H97" i="19"/>
  <c r="I97" i="19"/>
  <c r="J97" i="19"/>
  <c r="K97" i="19"/>
  <c r="L97" i="19"/>
  <c r="M97" i="19"/>
  <c r="N97" i="19"/>
  <c r="P97" i="19"/>
  <c r="Q97" i="19"/>
  <c r="S97" i="19"/>
  <c r="V97" i="19"/>
  <c r="W97" i="19"/>
  <c r="X97" i="19"/>
  <c r="Z97" i="19"/>
  <c r="D95" i="32" s="1"/>
  <c r="AA97" i="19"/>
  <c r="D95" i="33" s="1"/>
  <c r="A98" i="19"/>
  <c r="B98" i="19"/>
  <c r="C98" i="19"/>
  <c r="D98" i="19"/>
  <c r="E98" i="19"/>
  <c r="F98" i="19"/>
  <c r="H98" i="19"/>
  <c r="I98" i="19"/>
  <c r="J98" i="19"/>
  <c r="K98" i="19"/>
  <c r="L98" i="19"/>
  <c r="M98" i="19"/>
  <c r="N98" i="19"/>
  <c r="P98" i="19"/>
  <c r="Q98" i="19"/>
  <c r="S98" i="19"/>
  <c r="V98" i="19"/>
  <c r="W98" i="19"/>
  <c r="X98" i="19"/>
  <c r="Z98" i="19"/>
  <c r="D96" i="32" s="1"/>
  <c r="AA98" i="19"/>
  <c r="D96" i="33" s="1"/>
  <c r="A99" i="19"/>
  <c r="B99" i="19"/>
  <c r="C99" i="19"/>
  <c r="D99" i="19"/>
  <c r="E99" i="19"/>
  <c r="F99" i="19"/>
  <c r="H99" i="19"/>
  <c r="I99" i="19"/>
  <c r="J99" i="19"/>
  <c r="K99" i="19"/>
  <c r="L99" i="19"/>
  <c r="M99" i="19"/>
  <c r="N99" i="19"/>
  <c r="P99" i="19"/>
  <c r="Q99" i="19"/>
  <c r="S99" i="19"/>
  <c r="V99" i="19"/>
  <c r="W99" i="19"/>
  <c r="X99" i="19"/>
  <c r="Z99" i="19"/>
  <c r="D97" i="32" s="1"/>
  <c r="AA99" i="19"/>
  <c r="D97" i="33" s="1"/>
  <c r="A100" i="19"/>
  <c r="B100" i="19"/>
  <c r="C100" i="19"/>
  <c r="D100" i="19"/>
  <c r="E100" i="19"/>
  <c r="F100" i="19"/>
  <c r="H100" i="19"/>
  <c r="I100" i="19"/>
  <c r="J100" i="19"/>
  <c r="K100" i="19"/>
  <c r="L100" i="19"/>
  <c r="M100" i="19"/>
  <c r="N100" i="19"/>
  <c r="P100" i="19"/>
  <c r="Q100" i="19"/>
  <c r="S100" i="19"/>
  <c r="V100" i="19"/>
  <c r="W100" i="19"/>
  <c r="X100" i="19"/>
  <c r="Z100" i="19"/>
  <c r="D98" i="32" s="1"/>
  <c r="AA100" i="19"/>
  <c r="D98" i="33" s="1"/>
  <c r="A101" i="19"/>
  <c r="B101" i="19"/>
  <c r="C101" i="19"/>
  <c r="D101" i="19"/>
  <c r="E101" i="19"/>
  <c r="F101" i="19"/>
  <c r="H101" i="19"/>
  <c r="I101" i="19"/>
  <c r="J101" i="19"/>
  <c r="K101" i="19"/>
  <c r="L101" i="19"/>
  <c r="M101" i="19"/>
  <c r="N101" i="19"/>
  <c r="P101" i="19"/>
  <c r="Q101" i="19"/>
  <c r="S101" i="19"/>
  <c r="V101" i="19"/>
  <c r="W101" i="19"/>
  <c r="X101" i="19"/>
  <c r="Z101" i="19"/>
  <c r="D99" i="32" s="1"/>
  <c r="AA101" i="19"/>
  <c r="D99" i="33" s="1"/>
  <c r="A102" i="19"/>
  <c r="B102" i="19"/>
  <c r="C102" i="19"/>
  <c r="D102" i="19"/>
  <c r="E102" i="19"/>
  <c r="F102" i="19"/>
  <c r="H102" i="19"/>
  <c r="I102" i="19"/>
  <c r="J102" i="19"/>
  <c r="K102" i="19"/>
  <c r="L102" i="19"/>
  <c r="M102" i="19"/>
  <c r="N102" i="19"/>
  <c r="P102" i="19"/>
  <c r="Q102" i="19"/>
  <c r="S102" i="19"/>
  <c r="V102" i="19"/>
  <c r="W102" i="19"/>
  <c r="X102" i="19"/>
  <c r="Z102" i="19"/>
  <c r="D100" i="32" s="1"/>
  <c r="AA102" i="19"/>
  <c r="D100" i="33" s="1"/>
  <c r="A103" i="19"/>
  <c r="B103" i="19"/>
  <c r="C103" i="19"/>
  <c r="D103" i="19"/>
  <c r="E103" i="19"/>
  <c r="F103" i="19"/>
  <c r="H103" i="19"/>
  <c r="I103" i="19"/>
  <c r="J103" i="19"/>
  <c r="K103" i="19"/>
  <c r="L103" i="19"/>
  <c r="M103" i="19"/>
  <c r="N103" i="19"/>
  <c r="P103" i="19"/>
  <c r="Q103" i="19"/>
  <c r="S103" i="19"/>
  <c r="V103" i="19"/>
  <c r="W103" i="19"/>
  <c r="X103" i="19"/>
  <c r="Z103" i="19"/>
  <c r="D101" i="32" s="1"/>
  <c r="AA103" i="19"/>
  <c r="D101" i="33" s="1"/>
  <c r="A104" i="19"/>
  <c r="B104" i="19"/>
  <c r="C104" i="19"/>
  <c r="D104" i="19"/>
  <c r="E104" i="19"/>
  <c r="F104" i="19"/>
  <c r="H104" i="19"/>
  <c r="I104" i="19"/>
  <c r="J104" i="19"/>
  <c r="K104" i="19"/>
  <c r="L104" i="19"/>
  <c r="M104" i="19"/>
  <c r="N104" i="19"/>
  <c r="P104" i="19"/>
  <c r="O104" i="19" s="1"/>
  <c r="Q104" i="19"/>
  <c r="S104" i="19"/>
  <c r="V104" i="19"/>
  <c r="W104" i="19"/>
  <c r="X104" i="19"/>
  <c r="Z104" i="19"/>
  <c r="D102" i="32" s="1"/>
  <c r="AA104" i="19"/>
  <c r="D102" i="33" s="1"/>
  <c r="A105" i="19"/>
  <c r="B105" i="19"/>
  <c r="C105" i="19"/>
  <c r="D105" i="19"/>
  <c r="E105" i="19"/>
  <c r="F105" i="19"/>
  <c r="H105" i="19"/>
  <c r="I105" i="19"/>
  <c r="J105" i="19"/>
  <c r="K105" i="19"/>
  <c r="L105" i="19"/>
  <c r="M105" i="19"/>
  <c r="N105" i="19"/>
  <c r="P105" i="19"/>
  <c r="Q105" i="19"/>
  <c r="S105" i="19"/>
  <c r="V105" i="19"/>
  <c r="W105" i="19"/>
  <c r="X105" i="19"/>
  <c r="Z105" i="19"/>
  <c r="D103" i="32" s="1"/>
  <c r="AA105" i="19"/>
  <c r="D103" i="33" s="1"/>
  <c r="A106" i="19"/>
  <c r="B106" i="19"/>
  <c r="C106" i="19"/>
  <c r="D106" i="19"/>
  <c r="E106" i="19"/>
  <c r="F106" i="19"/>
  <c r="H106" i="19"/>
  <c r="I106" i="19"/>
  <c r="J106" i="19"/>
  <c r="K106" i="19"/>
  <c r="L106" i="19"/>
  <c r="M106" i="19"/>
  <c r="N106" i="19"/>
  <c r="P106" i="19"/>
  <c r="Q106" i="19"/>
  <c r="S106" i="19"/>
  <c r="V106" i="19"/>
  <c r="W106" i="19"/>
  <c r="X106" i="19"/>
  <c r="Z106" i="19"/>
  <c r="D104" i="32" s="1"/>
  <c r="AA106" i="19"/>
  <c r="D104" i="33" s="1"/>
  <c r="A107" i="19"/>
  <c r="B107" i="19"/>
  <c r="C107" i="19"/>
  <c r="D107" i="19"/>
  <c r="E107" i="19"/>
  <c r="F107" i="19"/>
  <c r="H107" i="19"/>
  <c r="I107" i="19"/>
  <c r="J107" i="19"/>
  <c r="K107" i="19"/>
  <c r="L107" i="19"/>
  <c r="M107" i="19"/>
  <c r="N107" i="19"/>
  <c r="P107" i="19"/>
  <c r="Q107" i="19"/>
  <c r="S107" i="19"/>
  <c r="V107" i="19"/>
  <c r="W107" i="19"/>
  <c r="X107" i="19"/>
  <c r="Z107" i="19"/>
  <c r="D105" i="32" s="1"/>
  <c r="AA107" i="19"/>
  <c r="D105" i="33" s="1"/>
  <c r="A108" i="19"/>
  <c r="B108" i="19"/>
  <c r="C108" i="19"/>
  <c r="D108" i="19"/>
  <c r="E108" i="19"/>
  <c r="F108" i="19"/>
  <c r="H108" i="19"/>
  <c r="I108" i="19"/>
  <c r="J108" i="19"/>
  <c r="K108" i="19"/>
  <c r="L108" i="19"/>
  <c r="M108" i="19"/>
  <c r="N108" i="19"/>
  <c r="O108" i="19"/>
  <c r="P108" i="19"/>
  <c r="Q108" i="19"/>
  <c r="S108" i="19"/>
  <c r="V108" i="19"/>
  <c r="W108" i="19"/>
  <c r="X108" i="19"/>
  <c r="Z108" i="19"/>
  <c r="D106" i="32" s="1"/>
  <c r="AA108" i="19"/>
  <c r="D106" i="33" s="1"/>
  <c r="A109" i="19"/>
  <c r="B109" i="19"/>
  <c r="C109" i="19"/>
  <c r="D109" i="19"/>
  <c r="E109" i="19"/>
  <c r="F109" i="19"/>
  <c r="H109" i="19"/>
  <c r="I109" i="19"/>
  <c r="J109" i="19"/>
  <c r="K109" i="19"/>
  <c r="L109" i="19"/>
  <c r="M109" i="19"/>
  <c r="N109" i="19"/>
  <c r="P109" i="19"/>
  <c r="Q109" i="19"/>
  <c r="S109" i="19"/>
  <c r="V109" i="19"/>
  <c r="W109" i="19"/>
  <c r="X109" i="19"/>
  <c r="Z109" i="19"/>
  <c r="D107" i="32" s="1"/>
  <c r="AA109" i="19"/>
  <c r="D107" i="33" s="1"/>
  <c r="A110" i="19"/>
  <c r="B110" i="19"/>
  <c r="C110" i="19"/>
  <c r="D110" i="19"/>
  <c r="E110" i="19"/>
  <c r="F110" i="19"/>
  <c r="H110" i="19"/>
  <c r="I110" i="19"/>
  <c r="J110" i="19"/>
  <c r="K110" i="19"/>
  <c r="L110" i="19"/>
  <c r="M110" i="19"/>
  <c r="N110" i="19"/>
  <c r="P110" i="19"/>
  <c r="Q110" i="19"/>
  <c r="S110" i="19"/>
  <c r="V110" i="19"/>
  <c r="W110" i="19"/>
  <c r="X110" i="19"/>
  <c r="Z110" i="19"/>
  <c r="D108" i="32" s="1"/>
  <c r="AA110" i="19"/>
  <c r="D108" i="33" s="1"/>
  <c r="A111" i="19"/>
  <c r="B111" i="19"/>
  <c r="C111" i="19"/>
  <c r="D111" i="19"/>
  <c r="E111" i="19"/>
  <c r="F111" i="19"/>
  <c r="H111" i="19"/>
  <c r="I111" i="19"/>
  <c r="J111" i="19"/>
  <c r="K111" i="19"/>
  <c r="L111" i="19"/>
  <c r="M111" i="19"/>
  <c r="N111" i="19"/>
  <c r="P111" i="19"/>
  <c r="Q111" i="19"/>
  <c r="S111" i="19"/>
  <c r="V111" i="19"/>
  <c r="W111" i="19"/>
  <c r="X111" i="19"/>
  <c r="Z111" i="19"/>
  <c r="D109" i="32" s="1"/>
  <c r="AA111" i="19"/>
  <c r="D109" i="33" s="1"/>
  <c r="A112" i="19"/>
  <c r="B112" i="19"/>
  <c r="C112" i="19"/>
  <c r="D112" i="19"/>
  <c r="E112" i="19"/>
  <c r="F112" i="19"/>
  <c r="H112" i="19"/>
  <c r="I112" i="19"/>
  <c r="J112" i="19"/>
  <c r="K112" i="19"/>
  <c r="L112" i="19"/>
  <c r="M112" i="19"/>
  <c r="N112" i="19"/>
  <c r="P112" i="19"/>
  <c r="Q112" i="19"/>
  <c r="S112" i="19"/>
  <c r="V112" i="19"/>
  <c r="W112" i="19"/>
  <c r="X112" i="19"/>
  <c r="Z112" i="19"/>
  <c r="D110" i="32" s="1"/>
  <c r="AA112" i="19"/>
  <c r="D110" i="33" s="1"/>
  <c r="A113" i="19"/>
  <c r="B113" i="19"/>
  <c r="C113" i="19"/>
  <c r="D113" i="19"/>
  <c r="E113" i="19"/>
  <c r="F113" i="19"/>
  <c r="H113" i="19"/>
  <c r="I113" i="19"/>
  <c r="J113" i="19"/>
  <c r="K113" i="19"/>
  <c r="L113" i="19"/>
  <c r="M113" i="19"/>
  <c r="N113" i="19"/>
  <c r="P113" i="19"/>
  <c r="Q113" i="19"/>
  <c r="S113" i="19"/>
  <c r="V113" i="19"/>
  <c r="W113" i="19"/>
  <c r="X113" i="19"/>
  <c r="Z113" i="19"/>
  <c r="D111" i="32" s="1"/>
  <c r="AA113" i="19"/>
  <c r="D111" i="33" s="1"/>
  <c r="A114" i="19"/>
  <c r="B114" i="19"/>
  <c r="C114" i="19"/>
  <c r="D114" i="19"/>
  <c r="E114" i="19"/>
  <c r="F114" i="19"/>
  <c r="H114" i="19"/>
  <c r="I114" i="19"/>
  <c r="J114" i="19"/>
  <c r="K114" i="19"/>
  <c r="L114" i="19"/>
  <c r="M114" i="19"/>
  <c r="N114" i="19"/>
  <c r="P114" i="19"/>
  <c r="Q114" i="19"/>
  <c r="S114" i="19"/>
  <c r="V114" i="19"/>
  <c r="W114" i="19"/>
  <c r="X114" i="19"/>
  <c r="Z114" i="19"/>
  <c r="D112" i="32" s="1"/>
  <c r="AA114" i="19"/>
  <c r="D112" i="33" s="1"/>
  <c r="A115" i="19"/>
  <c r="B115" i="19"/>
  <c r="C115" i="19"/>
  <c r="D115" i="19"/>
  <c r="E115" i="19"/>
  <c r="F115" i="19"/>
  <c r="H115" i="19"/>
  <c r="I115" i="19"/>
  <c r="J115" i="19"/>
  <c r="K115" i="19"/>
  <c r="L115" i="19"/>
  <c r="M115" i="19"/>
  <c r="N115" i="19"/>
  <c r="P115" i="19"/>
  <c r="Q115" i="19"/>
  <c r="S115" i="19"/>
  <c r="V115" i="19"/>
  <c r="W115" i="19"/>
  <c r="X115" i="19"/>
  <c r="Z115" i="19"/>
  <c r="D113" i="32" s="1"/>
  <c r="AA115" i="19"/>
  <c r="D113" i="33" s="1"/>
  <c r="A116" i="19"/>
  <c r="B116" i="19"/>
  <c r="C116" i="19"/>
  <c r="D116" i="19"/>
  <c r="E116" i="19"/>
  <c r="F116" i="19"/>
  <c r="H116" i="19"/>
  <c r="I116" i="19"/>
  <c r="J116" i="19"/>
  <c r="K116" i="19"/>
  <c r="L116" i="19"/>
  <c r="M116" i="19"/>
  <c r="N116" i="19"/>
  <c r="P116" i="19"/>
  <c r="Q116" i="19"/>
  <c r="S116" i="19"/>
  <c r="V116" i="19"/>
  <c r="W116" i="19"/>
  <c r="X116" i="19"/>
  <c r="Z116" i="19"/>
  <c r="D114" i="32" s="1"/>
  <c r="AA116" i="19"/>
  <c r="D114" i="33" s="1"/>
  <c r="A117" i="19"/>
  <c r="B117" i="19"/>
  <c r="C117" i="19"/>
  <c r="D117" i="19"/>
  <c r="E117" i="19"/>
  <c r="F117" i="19"/>
  <c r="H117" i="19"/>
  <c r="I117" i="19"/>
  <c r="J117" i="19"/>
  <c r="K117" i="19"/>
  <c r="L117" i="19"/>
  <c r="M117" i="19"/>
  <c r="N117" i="19"/>
  <c r="P117" i="19"/>
  <c r="Q117" i="19"/>
  <c r="S117" i="19"/>
  <c r="V117" i="19"/>
  <c r="W117" i="19"/>
  <c r="X117" i="19"/>
  <c r="Z117" i="19"/>
  <c r="D115" i="32" s="1"/>
  <c r="AA117" i="19"/>
  <c r="D115" i="33" s="1"/>
  <c r="A118" i="19"/>
  <c r="B118" i="19"/>
  <c r="C118" i="19"/>
  <c r="D118" i="19"/>
  <c r="E118" i="19"/>
  <c r="F118" i="19"/>
  <c r="H118" i="19"/>
  <c r="I118" i="19"/>
  <c r="J118" i="19"/>
  <c r="K118" i="19"/>
  <c r="L118" i="19"/>
  <c r="M118" i="19"/>
  <c r="N118" i="19"/>
  <c r="P118" i="19"/>
  <c r="Q118" i="19"/>
  <c r="S118" i="19"/>
  <c r="V118" i="19"/>
  <c r="W118" i="19"/>
  <c r="X118" i="19"/>
  <c r="Z118" i="19"/>
  <c r="D116" i="32" s="1"/>
  <c r="AA118" i="19"/>
  <c r="D116" i="33" s="1"/>
  <c r="A119" i="19"/>
  <c r="B119" i="19"/>
  <c r="C119" i="19"/>
  <c r="D119" i="19"/>
  <c r="E119" i="19"/>
  <c r="F119" i="19"/>
  <c r="H119" i="19"/>
  <c r="I119" i="19"/>
  <c r="J119" i="19"/>
  <c r="K119" i="19"/>
  <c r="L119" i="19"/>
  <c r="M119" i="19"/>
  <c r="N119" i="19"/>
  <c r="P119" i="19"/>
  <c r="Q119" i="19"/>
  <c r="S119" i="19"/>
  <c r="V119" i="19"/>
  <c r="W119" i="19"/>
  <c r="X119" i="19"/>
  <c r="Z119" i="19"/>
  <c r="D117" i="32" s="1"/>
  <c r="AA119" i="19"/>
  <c r="D117" i="33" s="1"/>
  <c r="A120" i="19"/>
  <c r="B120" i="19"/>
  <c r="C120" i="19"/>
  <c r="D120" i="19"/>
  <c r="E120" i="19"/>
  <c r="F120" i="19"/>
  <c r="H120" i="19"/>
  <c r="I120" i="19"/>
  <c r="J120" i="19"/>
  <c r="K120" i="19"/>
  <c r="L120" i="19"/>
  <c r="M120" i="19"/>
  <c r="N120" i="19"/>
  <c r="P120" i="19"/>
  <c r="Q120" i="19"/>
  <c r="S120" i="19"/>
  <c r="V120" i="19"/>
  <c r="W120" i="19"/>
  <c r="X120" i="19"/>
  <c r="Z120" i="19"/>
  <c r="D118" i="32" s="1"/>
  <c r="AA120" i="19"/>
  <c r="D118" i="33" s="1"/>
  <c r="A121" i="19"/>
  <c r="B121" i="19"/>
  <c r="C121" i="19"/>
  <c r="D121" i="19"/>
  <c r="E121" i="19"/>
  <c r="F121" i="19"/>
  <c r="H121" i="19"/>
  <c r="I121" i="19"/>
  <c r="J121" i="19"/>
  <c r="K121" i="19"/>
  <c r="L121" i="19"/>
  <c r="M121" i="19"/>
  <c r="N121" i="19"/>
  <c r="P121" i="19"/>
  <c r="Q121" i="19"/>
  <c r="S121" i="19"/>
  <c r="V121" i="19"/>
  <c r="W121" i="19"/>
  <c r="X121" i="19"/>
  <c r="Z121" i="19"/>
  <c r="D119" i="32" s="1"/>
  <c r="AA121" i="19"/>
  <c r="D119" i="33" s="1"/>
  <c r="A122" i="19"/>
  <c r="B122" i="19"/>
  <c r="C122" i="19"/>
  <c r="D122" i="19"/>
  <c r="E122" i="19"/>
  <c r="F122" i="19"/>
  <c r="H122" i="19"/>
  <c r="I122" i="19"/>
  <c r="J122" i="19"/>
  <c r="K122" i="19"/>
  <c r="L122" i="19"/>
  <c r="M122" i="19"/>
  <c r="N122" i="19"/>
  <c r="P122" i="19"/>
  <c r="Q122" i="19"/>
  <c r="S122" i="19"/>
  <c r="V122" i="19"/>
  <c r="W122" i="19"/>
  <c r="X122" i="19"/>
  <c r="Z122" i="19"/>
  <c r="D120" i="32" s="1"/>
  <c r="AA122" i="19"/>
  <c r="D120" i="33" s="1"/>
  <c r="A123" i="19"/>
  <c r="B123" i="19"/>
  <c r="C123" i="19"/>
  <c r="D123" i="19"/>
  <c r="E123" i="19"/>
  <c r="F123" i="19"/>
  <c r="H123" i="19"/>
  <c r="I123" i="19"/>
  <c r="J123" i="19"/>
  <c r="K123" i="19"/>
  <c r="L123" i="19"/>
  <c r="M123" i="19"/>
  <c r="N123" i="19"/>
  <c r="P123" i="19"/>
  <c r="O123" i="19" s="1"/>
  <c r="Q123" i="19"/>
  <c r="S123" i="19"/>
  <c r="V123" i="19"/>
  <c r="W123" i="19"/>
  <c r="X123" i="19"/>
  <c r="Z123" i="19"/>
  <c r="D121" i="32" s="1"/>
  <c r="AA123" i="19"/>
  <c r="D121" i="33" s="1"/>
  <c r="A124" i="19"/>
  <c r="B124" i="19"/>
  <c r="C124" i="19"/>
  <c r="D124" i="19"/>
  <c r="E124" i="19"/>
  <c r="F124" i="19"/>
  <c r="H124" i="19"/>
  <c r="I124" i="19"/>
  <c r="J124" i="19"/>
  <c r="K124" i="19"/>
  <c r="L124" i="19"/>
  <c r="M124" i="19"/>
  <c r="N124" i="19"/>
  <c r="P124" i="19"/>
  <c r="Q124" i="19"/>
  <c r="S124" i="19"/>
  <c r="V124" i="19"/>
  <c r="W124" i="19"/>
  <c r="X124" i="19"/>
  <c r="Z124" i="19"/>
  <c r="D122" i="32" s="1"/>
  <c r="AA124" i="19"/>
  <c r="D122" i="33" s="1"/>
  <c r="A125" i="19"/>
  <c r="B125" i="19"/>
  <c r="C125" i="19"/>
  <c r="D125" i="19"/>
  <c r="E125" i="19"/>
  <c r="F125" i="19"/>
  <c r="H125" i="19"/>
  <c r="I125" i="19"/>
  <c r="J125" i="19"/>
  <c r="K125" i="19"/>
  <c r="L125" i="19"/>
  <c r="M125" i="19"/>
  <c r="N125" i="19"/>
  <c r="P125" i="19"/>
  <c r="Q125" i="19"/>
  <c r="S125" i="19"/>
  <c r="V125" i="19"/>
  <c r="W125" i="19"/>
  <c r="X125" i="19"/>
  <c r="Z125" i="19"/>
  <c r="D123" i="32" s="1"/>
  <c r="AA125" i="19"/>
  <c r="D123" i="33" s="1"/>
  <c r="A126" i="19"/>
  <c r="B126" i="19"/>
  <c r="C126" i="19"/>
  <c r="D126" i="19"/>
  <c r="E126" i="19"/>
  <c r="F126" i="19"/>
  <c r="H126" i="19"/>
  <c r="I126" i="19"/>
  <c r="J126" i="19"/>
  <c r="K126" i="19"/>
  <c r="L126" i="19"/>
  <c r="M126" i="19"/>
  <c r="N126" i="19"/>
  <c r="P126" i="19"/>
  <c r="Q126" i="19"/>
  <c r="S126" i="19"/>
  <c r="V126" i="19"/>
  <c r="W126" i="19"/>
  <c r="X126" i="19"/>
  <c r="Z126" i="19"/>
  <c r="D124" i="32" s="1"/>
  <c r="AA126" i="19"/>
  <c r="D124" i="33" s="1"/>
  <c r="A127" i="19"/>
  <c r="B127" i="19"/>
  <c r="C127" i="19"/>
  <c r="D127" i="19"/>
  <c r="E127" i="19"/>
  <c r="F127" i="19"/>
  <c r="H127" i="19"/>
  <c r="I127" i="19"/>
  <c r="J127" i="19"/>
  <c r="K127" i="19"/>
  <c r="L127" i="19"/>
  <c r="M127" i="19"/>
  <c r="N127" i="19"/>
  <c r="P127" i="19"/>
  <c r="Q127" i="19"/>
  <c r="S127" i="19"/>
  <c r="V127" i="19"/>
  <c r="W127" i="19"/>
  <c r="X127" i="19"/>
  <c r="Z127" i="19"/>
  <c r="D125" i="32" s="1"/>
  <c r="AA127" i="19"/>
  <c r="D125" i="33" s="1"/>
  <c r="A128" i="19"/>
  <c r="B128" i="19"/>
  <c r="C128" i="19"/>
  <c r="D128" i="19"/>
  <c r="E128" i="19"/>
  <c r="F128" i="19"/>
  <c r="H128" i="19"/>
  <c r="I128" i="19"/>
  <c r="J128" i="19"/>
  <c r="K128" i="19"/>
  <c r="L128" i="19"/>
  <c r="M128" i="19"/>
  <c r="N128" i="19"/>
  <c r="P128" i="19"/>
  <c r="Q128" i="19"/>
  <c r="S128" i="19"/>
  <c r="V128" i="19"/>
  <c r="W128" i="19"/>
  <c r="X128" i="19"/>
  <c r="Z128" i="19"/>
  <c r="D126" i="32" s="1"/>
  <c r="AA128" i="19"/>
  <c r="D126" i="33" s="1"/>
  <c r="A129" i="19"/>
  <c r="B129" i="19"/>
  <c r="C129" i="19"/>
  <c r="D129" i="19"/>
  <c r="E129" i="19"/>
  <c r="F129" i="19"/>
  <c r="H129" i="19"/>
  <c r="I129" i="19"/>
  <c r="J129" i="19"/>
  <c r="K129" i="19"/>
  <c r="L129" i="19"/>
  <c r="M129" i="19"/>
  <c r="N129" i="19"/>
  <c r="P129" i="19"/>
  <c r="Q129" i="19"/>
  <c r="S129" i="19"/>
  <c r="V129" i="19"/>
  <c r="W129" i="19"/>
  <c r="X129" i="19"/>
  <c r="Z129" i="19"/>
  <c r="D127" i="32" s="1"/>
  <c r="AA129" i="19"/>
  <c r="D127" i="33" s="1"/>
  <c r="A130" i="19"/>
  <c r="B130" i="19"/>
  <c r="C130" i="19"/>
  <c r="D130" i="19"/>
  <c r="E130" i="19"/>
  <c r="F130" i="19"/>
  <c r="H130" i="19"/>
  <c r="I130" i="19"/>
  <c r="J130" i="19"/>
  <c r="K130" i="19"/>
  <c r="L130" i="19"/>
  <c r="M130" i="19"/>
  <c r="N130" i="19"/>
  <c r="P130" i="19"/>
  <c r="Q130" i="19"/>
  <c r="S130" i="19"/>
  <c r="V130" i="19"/>
  <c r="W130" i="19"/>
  <c r="X130" i="19"/>
  <c r="Z130" i="19"/>
  <c r="D128" i="32" s="1"/>
  <c r="AA130" i="19"/>
  <c r="D128" i="33" s="1"/>
  <c r="A131" i="19"/>
  <c r="B131" i="19"/>
  <c r="C131" i="19"/>
  <c r="D131" i="19"/>
  <c r="E131" i="19"/>
  <c r="F131" i="19"/>
  <c r="H131" i="19"/>
  <c r="I131" i="19"/>
  <c r="J131" i="19"/>
  <c r="K131" i="19"/>
  <c r="L131" i="19"/>
  <c r="M131" i="19"/>
  <c r="N131" i="19"/>
  <c r="P131" i="19"/>
  <c r="O131" i="19" s="1"/>
  <c r="Q131" i="19"/>
  <c r="S131" i="19"/>
  <c r="V131" i="19"/>
  <c r="W131" i="19"/>
  <c r="X131" i="19"/>
  <c r="Z131" i="19"/>
  <c r="D129" i="32" s="1"/>
  <c r="AA131" i="19"/>
  <c r="D129" i="33" s="1"/>
  <c r="A132" i="19"/>
  <c r="B132" i="19"/>
  <c r="C132" i="19"/>
  <c r="D132" i="19"/>
  <c r="E132" i="19"/>
  <c r="F132" i="19"/>
  <c r="H132" i="19"/>
  <c r="I132" i="19"/>
  <c r="J132" i="19"/>
  <c r="K132" i="19"/>
  <c r="L132" i="19"/>
  <c r="M132" i="19"/>
  <c r="N132" i="19"/>
  <c r="P132" i="19"/>
  <c r="Q132" i="19"/>
  <c r="S132" i="19"/>
  <c r="V132" i="19"/>
  <c r="W132" i="19"/>
  <c r="X132" i="19"/>
  <c r="Z132" i="19"/>
  <c r="D130" i="32" s="1"/>
  <c r="AA132" i="19"/>
  <c r="D130" i="33" s="1"/>
  <c r="A133" i="19"/>
  <c r="B133" i="19"/>
  <c r="C133" i="19"/>
  <c r="D133" i="19"/>
  <c r="E133" i="19"/>
  <c r="F133" i="19"/>
  <c r="H133" i="19"/>
  <c r="I133" i="19"/>
  <c r="J133" i="19"/>
  <c r="K133" i="19"/>
  <c r="L133" i="19"/>
  <c r="M133" i="19"/>
  <c r="N133" i="19"/>
  <c r="P133" i="19"/>
  <c r="Q133" i="19"/>
  <c r="S133" i="19"/>
  <c r="V133" i="19"/>
  <c r="W133" i="19"/>
  <c r="X133" i="19"/>
  <c r="Z133" i="19"/>
  <c r="D131" i="32" s="1"/>
  <c r="AA133" i="19"/>
  <c r="D131" i="33" s="1"/>
  <c r="A134" i="19"/>
  <c r="B134" i="19"/>
  <c r="C134" i="19"/>
  <c r="D134" i="19"/>
  <c r="E134" i="19"/>
  <c r="F134" i="19"/>
  <c r="H134" i="19"/>
  <c r="I134" i="19"/>
  <c r="J134" i="19"/>
  <c r="K134" i="19"/>
  <c r="L134" i="19"/>
  <c r="M134" i="19"/>
  <c r="N134" i="19"/>
  <c r="P134" i="19"/>
  <c r="Q134" i="19"/>
  <c r="S134" i="19"/>
  <c r="V134" i="19"/>
  <c r="W134" i="19"/>
  <c r="X134" i="19"/>
  <c r="Z134" i="19"/>
  <c r="D132" i="32" s="1"/>
  <c r="AA134" i="19"/>
  <c r="D132" i="33" s="1"/>
  <c r="A135" i="19"/>
  <c r="B135" i="19"/>
  <c r="C135" i="19"/>
  <c r="D135" i="19"/>
  <c r="E135" i="19"/>
  <c r="F135" i="19"/>
  <c r="H135" i="19"/>
  <c r="I135" i="19"/>
  <c r="J135" i="19"/>
  <c r="K135" i="19"/>
  <c r="L135" i="19"/>
  <c r="M135" i="19"/>
  <c r="N135" i="19"/>
  <c r="P135" i="19"/>
  <c r="Q135" i="19"/>
  <c r="S135" i="19"/>
  <c r="V135" i="19"/>
  <c r="W135" i="19"/>
  <c r="X135" i="19"/>
  <c r="Z135" i="19"/>
  <c r="D133" i="32" s="1"/>
  <c r="AA135" i="19"/>
  <c r="D133" i="33" s="1"/>
  <c r="A136" i="19"/>
  <c r="B136" i="19"/>
  <c r="C136" i="19"/>
  <c r="D136" i="19"/>
  <c r="E136" i="19"/>
  <c r="F136" i="19"/>
  <c r="H136" i="19"/>
  <c r="I136" i="19"/>
  <c r="J136" i="19"/>
  <c r="K136" i="19"/>
  <c r="L136" i="19"/>
  <c r="M136" i="19"/>
  <c r="N136" i="19"/>
  <c r="P136" i="19"/>
  <c r="O136" i="19" s="1"/>
  <c r="Q136" i="19"/>
  <c r="S136" i="19"/>
  <c r="V136" i="19"/>
  <c r="W136" i="19"/>
  <c r="X136" i="19"/>
  <c r="Z136" i="19"/>
  <c r="D134" i="32" s="1"/>
  <c r="AA136" i="19"/>
  <c r="D134" i="33" s="1"/>
  <c r="A137" i="19"/>
  <c r="B137" i="19"/>
  <c r="C137" i="19"/>
  <c r="D137" i="19"/>
  <c r="E137" i="19"/>
  <c r="F137" i="19"/>
  <c r="H137" i="19"/>
  <c r="I137" i="19"/>
  <c r="J137" i="19"/>
  <c r="K137" i="19"/>
  <c r="L137" i="19"/>
  <c r="M137" i="19"/>
  <c r="N137" i="19"/>
  <c r="P137" i="19"/>
  <c r="Q137" i="19"/>
  <c r="S137" i="19"/>
  <c r="V137" i="19"/>
  <c r="W137" i="19"/>
  <c r="X137" i="19"/>
  <c r="Z137" i="19"/>
  <c r="D135" i="32" s="1"/>
  <c r="AA137" i="19"/>
  <c r="D135" i="33" s="1"/>
  <c r="A138" i="19"/>
  <c r="B138" i="19"/>
  <c r="C138" i="19"/>
  <c r="D138" i="19"/>
  <c r="E138" i="19"/>
  <c r="F138" i="19"/>
  <c r="H138" i="19"/>
  <c r="I138" i="19"/>
  <c r="J138" i="19"/>
  <c r="K138" i="19"/>
  <c r="L138" i="19"/>
  <c r="M138" i="19"/>
  <c r="N138" i="19"/>
  <c r="P138" i="19"/>
  <c r="Q138" i="19"/>
  <c r="S138" i="19"/>
  <c r="V138" i="19"/>
  <c r="W138" i="19"/>
  <c r="X138" i="19"/>
  <c r="Z138" i="19"/>
  <c r="D136" i="32" s="1"/>
  <c r="AA138" i="19"/>
  <c r="D136" i="33" s="1"/>
  <c r="A139" i="19"/>
  <c r="B139" i="19"/>
  <c r="C139" i="19"/>
  <c r="D139" i="19"/>
  <c r="E139" i="19"/>
  <c r="F139" i="19"/>
  <c r="H139" i="19"/>
  <c r="I139" i="19"/>
  <c r="J139" i="19"/>
  <c r="K139" i="19"/>
  <c r="L139" i="19"/>
  <c r="M139" i="19"/>
  <c r="N139" i="19"/>
  <c r="P139" i="19"/>
  <c r="O139" i="19" s="1"/>
  <c r="Q139" i="19"/>
  <c r="S139" i="19"/>
  <c r="V139" i="19"/>
  <c r="W139" i="19"/>
  <c r="X139" i="19"/>
  <c r="Z139" i="19"/>
  <c r="D137" i="32" s="1"/>
  <c r="AA139" i="19"/>
  <c r="D137" i="33" s="1"/>
  <c r="A140" i="19"/>
  <c r="B140" i="19"/>
  <c r="C140" i="19"/>
  <c r="D140" i="19"/>
  <c r="E140" i="19"/>
  <c r="F140" i="19"/>
  <c r="H140" i="19"/>
  <c r="I140" i="19"/>
  <c r="J140" i="19"/>
  <c r="K140" i="19"/>
  <c r="L140" i="19"/>
  <c r="M140" i="19"/>
  <c r="N140" i="19"/>
  <c r="P140" i="19"/>
  <c r="Q140" i="19"/>
  <c r="S140" i="19"/>
  <c r="V140" i="19"/>
  <c r="Y140" i="19" s="1"/>
  <c r="C138" i="32" s="1"/>
  <c r="W140" i="19"/>
  <c r="X140" i="19"/>
  <c r="Z140" i="19"/>
  <c r="D138" i="32" s="1"/>
  <c r="AA140" i="19"/>
  <c r="D138" i="33" s="1"/>
  <c r="A141" i="19"/>
  <c r="B141" i="19"/>
  <c r="C141" i="19"/>
  <c r="D141" i="19"/>
  <c r="E141" i="19"/>
  <c r="F141" i="19"/>
  <c r="H141" i="19"/>
  <c r="I141" i="19"/>
  <c r="J141" i="19"/>
  <c r="K141" i="19"/>
  <c r="L141" i="19"/>
  <c r="M141" i="19"/>
  <c r="N141" i="19"/>
  <c r="P141" i="19"/>
  <c r="Q141" i="19"/>
  <c r="S141" i="19"/>
  <c r="V141" i="19"/>
  <c r="W141" i="19"/>
  <c r="X141" i="19"/>
  <c r="Z141" i="19"/>
  <c r="D139" i="32" s="1"/>
  <c r="AA141" i="19"/>
  <c r="D139" i="33" s="1"/>
  <c r="A142" i="19"/>
  <c r="B142" i="19"/>
  <c r="C142" i="19"/>
  <c r="D142" i="19"/>
  <c r="E142" i="19"/>
  <c r="F142" i="19"/>
  <c r="H142" i="19"/>
  <c r="I142" i="19"/>
  <c r="J142" i="19"/>
  <c r="K142" i="19"/>
  <c r="L142" i="19"/>
  <c r="M142" i="19"/>
  <c r="N142" i="19"/>
  <c r="P142" i="19"/>
  <c r="Q142" i="19"/>
  <c r="S142" i="19"/>
  <c r="V142" i="19"/>
  <c r="W142" i="19"/>
  <c r="X142" i="19"/>
  <c r="Z142" i="19"/>
  <c r="D140" i="32" s="1"/>
  <c r="AA142" i="19"/>
  <c r="D140" i="33" s="1"/>
  <c r="A143" i="19"/>
  <c r="B143" i="19"/>
  <c r="C143" i="19"/>
  <c r="D143" i="19"/>
  <c r="E143" i="19"/>
  <c r="F143" i="19"/>
  <c r="H143" i="19"/>
  <c r="I143" i="19"/>
  <c r="J143" i="19"/>
  <c r="K143" i="19"/>
  <c r="L143" i="19"/>
  <c r="M143" i="19"/>
  <c r="N143" i="19"/>
  <c r="P143" i="19"/>
  <c r="O143" i="19" s="1"/>
  <c r="Q143" i="19"/>
  <c r="S143" i="19"/>
  <c r="V143" i="19"/>
  <c r="W143" i="19"/>
  <c r="X143" i="19"/>
  <c r="Z143" i="19"/>
  <c r="D141" i="32" s="1"/>
  <c r="AA143" i="19"/>
  <c r="D141" i="33" s="1"/>
  <c r="A144" i="19"/>
  <c r="B144" i="19"/>
  <c r="C144" i="19"/>
  <c r="D144" i="19"/>
  <c r="E144" i="19"/>
  <c r="F144" i="19"/>
  <c r="H144" i="19"/>
  <c r="I144" i="19"/>
  <c r="J144" i="19"/>
  <c r="K144" i="19"/>
  <c r="L144" i="19"/>
  <c r="M144" i="19"/>
  <c r="N144" i="19"/>
  <c r="P144" i="19"/>
  <c r="O144" i="19" s="1"/>
  <c r="Q144" i="19"/>
  <c r="S144" i="19"/>
  <c r="V144" i="19"/>
  <c r="W144" i="19"/>
  <c r="X144" i="19"/>
  <c r="Z144" i="19"/>
  <c r="D142" i="32" s="1"/>
  <c r="AA144" i="19"/>
  <c r="D142" i="33" s="1"/>
  <c r="A145" i="19"/>
  <c r="B145" i="19"/>
  <c r="C145" i="19"/>
  <c r="D145" i="19"/>
  <c r="E145" i="19"/>
  <c r="F145" i="19"/>
  <c r="H145" i="19"/>
  <c r="I145" i="19"/>
  <c r="J145" i="19"/>
  <c r="K145" i="19"/>
  <c r="L145" i="19"/>
  <c r="M145" i="19"/>
  <c r="N145" i="19"/>
  <c r="P145" i="19"/>
  <c r="Q145" i="19"/>
  <c r="S145" i="19"/>
  <c r="V145" i="19"/>
  <c r="Y145" i="19" s="1"/>
  <c r="C143" i="32" s="1"/>
  <c r="W145" i="19"/>
  <c r="X145" i="19"/>
  <c r="Z145" i="19"/>
  <c r="D143" i="32" s="1"/>
  <c r="AA145" i="19"/>
  <c r="D143" i="33" s="1"/>
  <c r="A146" i="19"/>
  <c r="B146" i="19"/>
  <c r="C146" i="19"/>
  <c r="D146" i="19"/>
  <c r="E146" i="19"/>
  <c r="F146" i="19"/>
  <c r="H146" i="19"/>
  <c r="I146" i="19"/>
  <c r="J146" i="19"/>
  <c r="K146" i="19"/>
  <c r="L146" i="19"/>
  <c r="M146" i="19"/>
  <c r="N146" i="19"/>
  <c r="P146" i="19"/>
  <c r="Q146" i="19"/>
  <c r="S146" i="19"/>
  <c r="V146" i="19"/>
  <c r="W146" i="19"/>
  <c r="X146" i="19"/>
  <c r="Z146" i="19"/>
  <c r="D144" i="32" s="1"/>
  <c r="AA146" i="19"/>
  <c r="D144" i="33" s="1"/>
  <c r="A147" i="19"/>
  <c r="B147" i="19"/>
  <c r="C147" i="19"/>
  <c r="D147" i="19"/>
  <c r="E147" i="19"/>
  <c r="F147" i="19"/>
  <c r="H147" i="19"/>
  <c r="I147" i="19"/>
  <c r="J147" i="19"/>
  <c r="K147" i="19"/>
  <c r="L147" i="19"/>
  <c r="M147" i="19"/>
  <c r="N147" i="19"/>
  <c r="O147" i="19"/>
  <c r="P147" i="19"/>
  <c r="Q147" i="19"/>
  <c r="S147" i="19"/>
  <c r="V147" i="19"/>
  <c r="W147" i="19"/>
  <c r="X147" i="19"/>
  <c r="Z147" i="19"/>
  <c r="D145" i="32" s="1"/>
  <c r="AA147" i="19"/>
  <c r="D145" i="33" s="1"/>
  <c r="A148" i="19"/>
  <c r="B148" i="19"/>
  <c r="C148" i="19"/>
  <c r="D148" i="19"/>
  <c r="E148" i="19"/>
  <c r="F148" i="19"/>
  <c r="H148" i="19"/>
  <c r="I148" i="19"/>
  <c r="J148" i="19"/>
  <c r="K148" i="19"/>
  <c r="L148" i="19"/>
  <c r="M148" i="19"/>
  <c r="N148" i="19"/>
  <c r="P148" i="19"/>
  <c r="Q148" i="19"/>
  <c r="S148" i="19"/>
  <c r="V148" i="19"/>
  <c r="W148" i="19"/>
  <c r="X148" i="19"/>
  <c r="Z148" i="19"/>
  <c r="D146" i="32" s="1"/>
  <c r="AA148" i="19"/>
  <c r="D146" i="33" s="1"/>
  <c r="A149" i="19"/>
  <c r="B149" i="19"/>
  <c r="C149" i="19"/>
  <c r="D149" i="19"/>
  <c r="E149" i="19"/>
  <c r="F149" i="19"/>
  <c r="H149" i="19"/>
  <c r="I149" i="19"/>
  <c r="J149" i="19"/>
  <c r="K149" i="19"/>
  <c r="L149" i="19"/>
  <c r="M149" i="19"/>
  <c r="N149" i="19"/>
  <c r="P149" i="19"/>
  <c r="Q149" i="19"/>
  <c r="S149" i="19"/>
  <c r="V149" i="19"/>
  <c r="W149" i="19"/>
  <c r="X149" i="19"/>
  <c r="Z149" i="19"/>
  <c r="D147" i="32" s="1"/>
  <c r="AA149" i="19"/>
  <c r="D147" i="33" s="1"/>
  <c r="A150" i="19"/>
  <c r="B150" i="19"/>
  <c r="C150" i="19"/>
  <c r="D150" i="19"/>
  <c r="E150" i="19"/>
  <c r="F150" i="19"/>
  <c r="H150" i="19"/>
  <c r="I150" i="19"/>
  <c r="J150" i="19"/>
  <c r="K150" i="19"/>
  <c r="L150" i="19"/>
  <c r="M150" i="19"/>
  <c r="N150" i="19"/>
  <c r="P150" i="19"/>
  <c r="O150" i="19" s="1"/>
  <c r="Q150" i="19"/>
  <c r="S150" i="19"/>
  <c r="V150" i="19"/>
  <c r="W150" i="19"/>
  <c r="X150" i="19"/>
  <c r="Z150" i="19"/>
  <c r="D148" i="32" s="1"/>
  <c r="AA150" i="19"/>
  <c r="D148" i="33" s="1"/>
  <c r="A151" i="19"/>
  <c r="B151" i="19"/>
  <c r="C151" i="19"/>
  <c r="D151" i="19"/>
  <c r="E151" i="19"/>
  <c r="G151" i="19" s="1"/>
  <c r="F151" i="19"/>
  <c r="H151" i="19"/>
  <c r="I151" i="19"/>
  <c r="J151" i="19"/>
  <c r="K151" i="19"/>
  <c r="L151" i="19"/>
  <c r="M151" i="19"/>
  <c r="N151" i="19"/>
  <c r="P151" i="19"/>
  <c r="Q151" i="19"/>
  <c r="S151" i="19"/>
  <c r="V151" i="19"/>
  <c r="W151" i="19"/>
  <c r="X151" i="19"/>
  <c r="Z151" i="19"/>
  <c r="D149" i="32" s="1"/>
  <c r="AA151" i="19"/>
  <c r="D149" i="33" s="1"/>
  <c r="A152" i="19"/>
  <c r="B152" i="19"/>
  <c r="C152" i="19"/>
  <c r="D152" i="19"/>
  <c r="E152" i="19"/>
  <c r="F152" i="19"/>
  <c r="H152" i="19"/>
  <c r="I152" i="19"/>
  <c r="J152" i="19"/>
  <c r="K152" i="19"/>
  <c r="L152" i="19"/>
  <c r="M152" i="19"/>
  <c r="N152" i="19"/>
  <c r="P152" i="19"/>
  <c r="Q152" i="19"/>
  <c r="S152" i="19"/>
  <c r="V152" i="19"/>
  <c r="W152" i="19"/>
  <c r="X152" i="19"/>
  <c r="Z152" i="19"/>
  <c r="D150" i="32" s="1"/>
  <c r="AA152" i="19"/>
  <c r="D150" i="33" s="1"/>
  <c r="A153" i="19"/>
  <c r="B153" i="19"/>
  <c r="C153" i="19"/>
  <c r="D153" i="19"/>
  <c r="E153" i="19"/>
  <c r="F153" i="19"/>
  <c r="H153" i="19"/>
  <c r="I153" i="19"/>
  <c r="J153" i="19"/>
  <c r="K153" i="19"/>
  <c r="L153" i="19"/>
  <c r="M153" i="19"/>
  <c r="N153" i="19"/>
  <c r="P153" i="19"/>
  <c r="Q153" i="19"/>
  <c r="S153" i="19"/>
  <c r="V153" i="19"/>
  <c r="W153" i="19"/>
  <c r="X153" i="19"/>
  <c r="Z153" i="19"/>
  <c r="D151" i="32" s="1"/>
  <c r="AA153" i="19"/>
  <c r="D151" i="33" s="1"/>
  <c r="A154" i="19"/>
  <c r="B154" i="19"/>
  <c r="C154" i="19"/>
  <c r="D154" i="19"/>
  <c r="E154" i="19"/>
  <c r="F154" i="19"/>
  <c r="H154" i="19"/>
  <c r="I154" i="19"/>
  <c r="J154" i="19"/>
  <c r="K154" i="19"/>
  <c r="L154" i="19"/>
  <c r="M154" i="19"/>
  <c r="N154" i="19"/>
  <c r="P154" i="19"/>
  <c r="O154" i="19" s="1"/>
  <c r="Q154" i="19"/>
  <c r="S154" i="19"/>
  <c r="V154" i="19"/>
  <c r="W154" i="19"/>
  <c r="X154" i="19"/>
  <c r="Z154" i="19"/>
  <c r="D152" i="32" s="1"/>
  <c r="AA154" i="19"/>
  <c r="D152" i="33" s="1"/>
  <c r="A155" i="19"/>
  <c r="B155" i="19"/>
  <c r="C155" i="19"/>
  <c r="D155" i="19"/>
  <c r="E155" i="19"/>
  <c r="F155" i="19"/>
  <c r="H155" i="19"/>
  <c r="I155" i="19"/>
  <c r="J155" i="19"/>
  <c r="K155" i="19"/>
  <c r="L155" i="19"/>
  <c r="M155" i="19"/>
  <c r="N155" i="19"/>
  <c r="P155" i="19"/>
  <c r="Q155" i="19"/>
  <c r="S155" i="19"/>
  <c r="V155" i="19"/>
  <c r="W155" i="19"/>
  <c r="X155" i="19"/>
  <c r="Z155" i="19"/>
  <c r="D153" i="32" s="1"/>
  <c r="AA155" i="19"/>
  <c r="D153" i="33" s="1"/>
  <c r="A156" i="19"/>
  <c r="B156" i="19"/>
  <c r="C156" i="19"/>
  <c r="D156" i="19"/>
  <c r="E156" i="19"/>
  <c r="F156" i="19"/>
  <c r="H156" i="19"/>
  <c r="I156" i="19"/>
  <c r="J156" i="19"/>
  <c r="K156" i="19"/>
  <c r="L156" i="19"/>
  <c r="M156" i="19"/>
  <c r="N156" i="19"/>
  <c r="P156" i="19"/>
  <c r="Q156" i="19"/>
  <c r="S156" i="19"/>
  <c r="V156" i="19"/>
  <c r="W156" i="19"/>
  <c r="X156" i="19"/>
  <c r="Z156" i="19"/>
  <c r="D154" i="32" s="1"/>
  <c r="AA156" i="19"/>
  <c r="D154" i="33" s="1"/>
  <c r="A157" i="19"/>
  <c r="B157" i="19"/>
  <c r="C157" i="19"/>
  <c r="D157" i="19"/>
  <c r="E157" i="19"/>
  <c r="F157" i="19"/>
  <c r="H157" i="19"/>
  <c r="I157" i="19"/>
  <c r="J157" i="19"/>
  <c r="K157" i="19"/>
  <c r="L157" i="19"/>
  <c r="M157" i="19"/>
  <c r="N157" i="19"/>
  <c r="P157" i="19"/>
  <c r="Q157" i="19"/>
  <c r="S157" i="19"/>
  <c r="V157" i="19"/>
  <c r="W157" i="19"/>
  <c r="X157" i="19"/>
  <c r="Z157" i="19"/>
  <c r="D155" i="32" s="1"/>
  <c r="AA157" i="19"/>
  <c r="D155" i="33" s="1"/>
  <c r="A158" i="19"/>
  <c r="B158" i="19"/>
  <c r="C158" i="19"/>
  <c r="D158" i="19"/>
  <c r="E158" i="19"/>
  <c r="F158" i="19"/>
  <c r="H158" i="19"/>
  <c r="I158" i="19"/>
  <c r="J158" i="19"/>
  <c r="K158" i="19"/>
  <c r="L158" i="19"/>
  <c r="M158" i="19"/>
  <c r="N158" i="19"/>
  <c r="P158" i="19"/>
  <c r="O158" i="19" s="1"/>
  <c r="Q158" i="19"/>
  <c r="S158" i="19"/>
  <c r="V158" i="19"/>
  <c r="W158" i="19"/>
  <c r="X158" i="19"/>
  <c r="Z158" i="19"/>
  <c r="D156" i="32" s="1"/>
  <c r="AA158" i="19"/>
  <c r="D156" i="33" s="1"/>
  <c r="A159" i="19"/>
  <c r="B159" i="19"/>
  <c r="C159" i="19"/>
  <c r="D159" i="19"/>
  <c r="E159" i="19"/>
  <c r="G159" i="19" s="1"/>
  <c r="F159" i="19"/>
  <c r="H159" i="19"/>
  <c r="I159" i="19"/>
  <c r="J159" i="19"/>
  <c r="K159" i="19"/>
  <c r="L159" i="19"/>
  <c r="M159" i="19"/>
  <c r="N159" i="19"/>
  <c r="P159" i="19"/>
  <c r="Q159" i="19"/>
  <c r="S159" i="19"/>
  <c r="V159" i="19"/>
  <c r="W159" i="19"/>
  <c r="X159" i="19"/>
  <c r="Z159" i="19"/>
  <c r="D157" i="32" s="1"/>
  <c r="AA159" i="19"/>
  <c r="D157" i="33" s="1"/>
  <c r="A160" i="19"/>
  <c r="B160" i="19"/>
  <c r="C160" i="19"/>
  <c r="D160" i="19"/>
  <c r="E160" i="19"/>
  <c r="F160" i="19"/>
  <c r="H160" i="19"/>
  <c r="I160" i="19"/>
  <c r="J160" i="19"/>
  <c r="K160" i="19"/>
  <c r="L160" i="19"/>
  <c r="M160" i="19"/>
  <c r="N160" i="19"/>
  <c r="P160" i="19"/>
  <c r="Q160" i="19"/>
  <c r="S160" i="19"/>
  <c r="V160" i="19"/>
  <c r="W160" i="19"/>
  <c r="X160" i="19"/>
  <c r="Z160" i="19"/>
  <c r="D158" i="32" s="1"/>
  <c r="AA160" i="19"/>
  <c r="D158" i="33" s="1"/>
  <c r="A161" i="19"/>
  <c r="B161" i="19"/>
  <c r="C161" i="19"/>
  <c r="D161" i="19"/>
  <c r="E161" i="19"/>
  <c r="F161" i="19"/>
  <c r="H161" i="19"/>
  <c r="I161" i="19"/>
  <c r="J161" i="19"/>
  <c r="K161" i="19"/>
  <c r="L161" i="19"/>
  <c r="M161" i="19"/>
  <c r="N161" i="19"/>
  <c r="P161" i="19"/>
  <c r="Q161" i="19"/>
  <c r="S161" i="19"/>
  <c r="V161" i="19"/>
  <c r="W161" i="19"/>
  <c r="X161" i="19"/>
  <c r="Z161" i="19"/>
  <c r="D159" i="32" s="1"/>
  <c r="AA161" i="19"/>
  <c r="D159" i="33" s="1"/>
  <c r="A162" i="19"/>
  <c r="B162" i="19"/>
  <c r="C162" i="19"/>
  <c r="D162" i="19"/>
  <c r="E162" i="19"/>
  <c r="F162" i="19"/>
  <c r="H162" i="19"/>
  <c r="I162" i="19"/>
  <c r="J162" i="19"/>
  <c r="K162" i="19"/>
  <c r="L162" i="19"/>
  <c r="M162" i="19"/>
  <c r="N162" i="19"/>
  <c r="P162" i="19"/>
  <c r="O162" i="19" s="1"/>
  <c r="Q162" i="19"/>
  <c r="S162" i="19"/>
  <c r="V162" i="19"/>
  <c r="Y162" i="19" s="1"/>
  <c r="C160" i="32" s="1"/>
  <c r="W162" i="19"/>
  <c r="X162" i="19"/>
  <c r="Z162" i="19"/>
  <c r="D160" i="32" s="1"/>
  <c r="AA162" i="19"/>
  <c r="D160" i="33" s="1"/>
  <c r="A163" i="19"/>
  <c r="B163" i="19"/>
  <c r="C163" i="19"/>
  <c r="D163" i="19"/>
  <c r="E163" i="19"/>
  <c r="F163" i="19"/>
  <c r="H163" i="19"/>
  <c r="I163" i="19"/>
  <c r="J163" i="19"/>
  <c r="K163" i="19"/>
  <c r="L163" i="19"/>
  <c r="M163" i="19"/>
  <c r="N163" i="19"/>
  <c r="P163" i="19"/>
  <c r="Q163" i="19"/>
  <c r="S163" i="19"/>
  <c r="V163" i="19"/>
  <c r="Y163" i="19" s="1"/>
  <c r="C161" i="32" s="1"/>
  <c r="W163" i="19"/>
  <c r="X163" i="19"/>
  <c r="Z163" i="19"/>
  <c r="D161" i="32" s="1"/>
  <c r="AA163" i="19"/>
  <c r="D161" i="33" s="1"/>
  <c r="A164" i="19"/>
  <c r="B164" i="19"/>
  <c r="C164" i="19"/>
  <c r="D164" i="19"/>
  <c r="E164" i="19"/>
  <c r="F164" i="19"/>
  <c r="H164" i="19"/>
  <c r="I164" i="19"/>
  <c r="J164" i="19"/>
  <c r="K164" i="19"/>
  <c r="L164" i="19"/>
  <c r="M164" i="19"/>
  <c r="N164" i="19"/>
  <c r="P164" i="19"/>
  <c r="Q164" i="19"/>
  <c r="S164" i="19"/>
  <c r="V164" i="19"/>
  <c r="W164" i="19"/>
  <c r="X164" i="19"/>
  <c r="Z164" i="19"/>
  <c r="D162" i="32" s="1"/>
  <c r="AA164" i="19"/>
  <c r="D162" i="33" s="1"/>
  <c r="A165" i="19"/>
  <c r="B165" i="19"/>
  <c r="C165" i="19"/>
  <c r="D165" i="19"/>
  <c r="E165" i="19"/>
  <c r="F165" i="19"/>
  <c r="H165" i="19"/>
  <c r="I165" i="19"/>
  <c r="J165" i="19"/>
  <c r="K165" i="19"/>
  <c r="L165" i="19"/>
  <c r="M165" i="19"/>
  <c r="N165" i="19"/>
  <c r="P165" i="19"/>
  <c r="Q165" i="19"/>
  <c r="S165" i="19"/>
  <c r="V165" i="19"/>
  <c r="W165" i="19"/>
  <c r="X165" i="19"/>
  <c r="Z165" i="19"/>
  <c r="D163" i="32" s="1"/>
  <c r="AA165" i="19"/>
  <c r="D163" i="33" s="1"/>
  <c r="A166" i="19"/>
  <c r="B166" i="19"/>
  <c r="C166" i="19"/>
  <c r="D166" i="19"/>
  <c r="E166" i="19"/>
  <c r="F166" i="19"/>
  <c r="H166" i="19"/>
  <c r="I166" i="19"/>
  <c r="J166" i="19"/>
  <c r="K166" i="19"/>
  <c r="L166" i="19"/>
  <c r="M166" i="19"/>
  <c r="N166" i="19"/>
  <c r="P166" i="19"/>
  <c r="O166" i="19" s="1"/>
  <c r="Q166" i="19"/>
  <c r="S166" i="19"/>
  <c r="V166" i="19"/>
  <c r="W166" i="19"/>
  <c r="X166" i="19"/>
  <c r="Z166" i="19"/>
  <c r="D164" i="32" s="1"/>
  <c r="AA166" i="19"/>
  <c r="D164" i="33" s="1"/>
  <c r="A167" i="19"/>
  <c r="B167" i="19"/>
  <c r="C167" i="19"/>
  <c r="D167" i="19"/>
  <c r="E167" i="19"/>
  <c r="F167" i="19"/>
  <c r="H167" i="19"/>
  <c r="I167" i="19"/>
  <c r="J167" i="19"/>
  <c r="K167" i="19"/>
  <c r="L167" i="19"/>
  <c r="M167" i="19"/>
  <c r="N167" i="19"/>
  <c r="P167" i="19"/>
  <c r="Q167" i="19"/>
  <c r="S167" i="19"/>
  <c r="V167" i="19"/>
  <c r="W167" i="19"/>
  <c r="X167" i="19"/>
  <c r="Z167" i="19"/>
  <c r="D165" i="32" s="1"/>
  <c r="AA167" i="19"/>
  <c r="D165" i="33" s="1"/>
  <c r="A168" i="19"/>
  <c r="B168" i="19"/>
  <c r="C168" i="19"/>
  <c r="D168" i="19"/>
  <c r="E168" i="19"/>
  <c r="F168" i="19"/>
  <c r="H168" i="19"/>
  <c r="I168" i="19"/>
  <c r="J168" i="19"/>
  <c r="K168" i="19"/>
  <c r="L168" i="19"/>
  <c r="M168" i="19"/>
  <c r="N168" i="19"/>
  <c r="P168" i="19"/>
  <c r="Q168" i="19"/>
  <c r="S168" i="19"/>
  <c r="V168" i="19"/>
  <c r="W168" i="19"/>
  <c r="X168" i="19"/>
  <c r="Z168" i="19"/>
  <c r="D166" i="32" s="1"/>
  <c r="AA168" i="19"/>
  <c r="D166" i="33" s="1"/>
  <c r="A169" i="19"/>
  <c r="B169" i="19"/>
  <c r="C169" i="19"/>
  <c r="D169" i="19"/>
  <c r="E169" i="19"/>
  <c r="F169" i="19"/>
  <c r="H169" i="19"/>
  <c r="I169" i="19"/>
  <c r="J169" i="19"/>
  <c r="K169" i="19"/>
  <c r="L169" i="19"/>
  <c r="M169" i="19"/>
  <c r="N169" i="19"/>
  <c r="P169" i="19"/>
  <c r="Q169" i="19"/>
  <c r="S169" i="19"/>
  <c r="V169" i="19"/>
  <c r="W169" i="19"/>
  <c r="X169" i="19"/>
  <c r="Z169" i="19"/>
  <c r="D167" i="32" s="1"/>
  <c r="AA169" i="19"/>
  <c r="D167" i="33" s="1"/>
  <c r="A170" i="19"/>
  <c r="B170" i="19"/>
  <c r="C170" i="19"/>
  <c r="D170" i="19"/>
  <c r="E170" i="19"/>
  <c r="F170" i="19"/>
  <c r="H170" i="19"/>
  <c r="I170" i="19"/>
  <c r="J170" i="19"/>
  <c r="K170" i="19"/>
  <c r="L170" i="19"/>
  <c r="M170" i="19"/>
  <c r="N170" i="19"/>
  <c r="P170" i="19"/>
  <c r="Q170" i="19"/>
  <c r="S170" i="19"/>
  <c r="V170" i="19"/>
  <c r="Y170" i="19" s="1"/>
  <c r="C168" i="32" s="1"/>
  <c r="W170" i="19"/>
  <c r="X170" i="19"/>
  <c r="Z170" i="19"/>
  <c r="D168" i="32" s="1"/>
  <c r="AA170" i="19"/>
  <c r="D168" i="33" s="1"/>
  <c r="A171" i="19"/>
  <c r="B171" i="19"/>
  <c r="C171" i="19"/>
  <c r="D171" i="19"/>
  <c r="E171" i="19"/>
  <c r="F171" i="19"/>
  <c r="H171" i="19"/>
  <c r="I171" i="19"/>
  <c r="J171" i="19"/>
  <c r="K171" i="19"/>
  <c r="L171" i="19"/>
  <c r="M171" i="19"/>
  <c r="N171" i="19"/>
  <c r="P171" i="19"/>
  <c r="Q171" i="19"/>
  <c r="O171" i="19" s="1"/>
  <c r="S171" i="19"/>
  <c r="V171" i="19"/>
  <c r="W171" i="19"/>
  <c r="X171" i="19"/>
  <c r="Z171" i="19"/>
  <c r="D169" i="32" s="1"/>
  <c r="AA171" i="19"/>
  <c r="D169" i="33" s="1"/>
  <c r="A172" i="19"/>
  <c r="B172" i="19"/>
  <c r="C172" i="19"/>
  <c r="D172" i="19"/>
  <c r="E172" i="19"/>
  <c r="F172" i="19"/>
  <c r="H172" i="19"/>
  <c r="I172" i="19"/>
  <c r="J172" i="19"/>
  <c r="K172" i="19"/>
  <c r="L172" i="19"/>
  <c r="M172" i="19"/>
  <c r="N172" i="19"/>
  <c r="P172" i="19"/>
  <c r="Q172" i="19"/>
  <c r="S172" i="19"/>
  <c r="V172" i="19"/>
  <c r="W172" i="19"/>
  <c r="X172" i="19"/>
  <c r="Z172" i="19"/>
  <c r="D170" i="32" s="1"/>
  <c r="AA172" i="19"/>
  <c r="D170" i="33" s="1"/>
  <c r="A173" i="19"/>
  <c r="B173" i="19"/>
  <c r="C173" i="19"/>
  <c r="D173" i="19"/>
  <c r="E173" i="19"/>
  <c r="F173" i="19"/>
  <c r="H173" i="19"/>
  <c r="I173" i="19"/>
  <c r="J173" i="19"/>
  <c r="K173" i="19"/>
  <c r="L173" i="19"/>
  <c r="M173" i="19"/>
  <c r="N173" i="19"/>
  <c r="P173" i="19"/>
  <c r="Q173" i="19"/>
  <c r="S173" i="19"/>
  <c r="V173" i="19"/>
  <c r="W173" i="19"/>
  <c r="X173" i="19"/>
  <c r="Z173" i="19"/>
  <c r="D171" i="32" s="1"/>
  <c r="AA173" i="19"/>
  <c r="D171" i="33" s="1"/>
  <c r="A174" i="19"/>
  <c r="B174" i="19"/>
  <c r="C174" i="19"/>
  <c r="D174" i="19"/>
  <c r="E174" i="19"/>
  <c r="F174" i="19"/>
  <c r="H174" i="19"/>
  <c r="I174" i="19"/>
  <c r="J174" i="19"/>
  <c r="K174" i="19"/>
  <c r="L174" i="19"/>
  <c r="M174" i="19"/>
  <c r="N174" i="19"/>
  <c r="P174" i="19"/>
  <c r="Q174" i="19"/>
  <c r="S174" i="19"/>
  <c r="V174" i="19"/>
  <c r="W174" i="19"/>
  <c r="X174" i="19"/>
  <c r="Z174" i="19"/>
  <c r="D172" i="32" s="1"/>
  <c r="AA174" i="19"/>
  <c r="D172" i="33" s="1"/>
  <c r="A175" i="19"/>
  <c r="B175" i="19"/>
  <c r="C175" i="19"/>
  <c r="D175" i="19"/>
  <c r="E175" i="19"/>
  <c r="F175" i="19"/>
  <c r="H175" i="19"/>
  <c r="I175" i="19"/>
  <c r="J175" i="19"/>
  <c r="K175" i="19"/>
  <c r="L175" i="19"/>
  <c r="M175" i="19"/>
  <c r="N175" i="19"/>
  <c r="P175" i="19"/>
  <c r="Q175" i="19"/>
  <c r="S175" i="19"/>
  <c r="V175" i="19"/>
  <c r="W175" i="19"/>
  <c r="X175" i="19"/>
  <c r="Z175" i="19"/>
  <c r="D173" i="32" s="1"/>
  <c r="AA175" i="19"/>
  <c r="D173" i="33" s="1"/>
  <c r="A176" i="19"/>
  <c r="B176" i="19"/>
  <c r="C176" i="19"/>
  <c r="D176" i="19"/>
  <c r="E176" i="19"/>
  <c r="F176" i="19"/>
  <c r="H176" i="19"/>
  <c r="I176" i="19"/>
  <c r="J176" i="19"/>
  <c r="K176" i="19"/>
  <c r="L176" i="19"/>
  <c r="M176" i="19"/>
  <c r="N176" i="19"/>
  <c r="P176" i="19"/>
  <c r="Q176" i="19"/>
  <c r="S176" i="19"/>
  <c r="V176" i="19"/>
  <c r="W176" i="19"/>
  <c r="X176" i="19"/>
  <c r="Z176" i="19"/>
  <c r="D174" i="32" s="1"/>
  <c r="AA176" i="19"/>
  <c r="D174" i="33" s="1"/>
  <c r="A177" i="19"/>
  <c r="B177" i="19"/>
  <c r="C177" i="19"/>
  <c r="D177" i="19"/>
  <c r="E177" i="19"/>
  <c r="F177" i="19"/>
  <c r="H177" i="19"/>
  <c r="I177" i="19"/>
  <c r="J177" i="19"/>
  <c r="K177" i="19"/>
  <c r="L177" i="19"/>
  <c r="M177" i="19"/>
  <c r="N177" i="19"/>
  <c r="P177" i="19"/>
  <c r="Q177" i="19"/>
  <c r="S177" i="19"/>
  <c r="V177" i="19"/>
  <c r="W177" i="19"/>
  <c r="X177" i="19"/>
  <c r="Z177" i="19"/>
  <c r="D175" i="32" s="1"/>
  <c r="AA177" i="19"/>
  <c r="D175" i="33" s="1"/>
  <c r="A178" i="19"/>
  <c r="B178" i="19"/>
  <c r="C178" i="19"/>
  <c r="D178" i="19"/>
  <c r="E178" i="19"/>
  <c r="F178" i="19"/>
  <c r="H178" i="19"/>
  <c r="I178" i="19"/>
  <c r="J178" i="19"/>
  <c r="K178" i="19"/>
  <c r="L178" i="19"/>
  <c r="M178" i="19"/>
  <c r="N178" i="19"/>
  <c r="P178" i="19"/>
  <c r="Q178" i="19"/>
  <c r="S178" i="19"/>
  <c r="V178" i="19"/>
  <c r="W178" i="19"/>
  <c r="X178" i="19"/>
  <c r="Z178" i="19"/>
  <c r="D176" i="32" s="1"/>
  <c r="AA178" i="19"/>
  <c r="D176" i="33" s="1"/>
  <c r="A179" i="19"/>
  <c r="B179" i="19"/>
  <c r="C179" i="19"/>
  <c r="D179" i="19"/>
  <c r="E179" i="19"/>
  <c r="F179" i="19"/>
  <c r="H179" i="19"/>
  <c r="I179" i="19"/>
  <c r="J179" i="19"/>
  <c r="K179" i="19"/>
  <c r="L179" i="19"/>
  <c r="M179" i="19"/>
  <c r="N179" i="19"/>
  <c r="P179" i="19"/>
  <c r="Q179" i="19"/>
  <c r="S179" i="19"/>
  <c r="V179" i="19"/>
  <c r="W179" i="19"/>
  <c r="X179" i="19"/>
  <c r="Z179" i="19"/>
  <c r="D177" i="32" s="1"/>
  <c r="AA179" i="19"/>
  <c r="D177" i="33" s="1"/>
  <c r="A180" i="19"/>
  <c r="B180" i="19"/>
  <c r="C180" i="19"/>
  <c r="D180" i="19"/>
  <c r="E180" i="19"/>
  <c r="F180" i="19"/>
  <c r="H180" i="19"/>
  <c r="I180" i="19"/>
  <c r="J180" i="19"/>
  <c r="K180" i="19"/>
  <c r="L180" i="19"/>
  <c r="M180" i="19"/>
  <c r="N180" i="19"/>
  <c r="P180" i="19"/>
  <c r="Q180" i="19"/>
  <c r="S180" i="19"/>
  <c r="V180" i="19"/>
  <c r="W180" i="19"/>
  <c r="X180" i="19"/>
  <c r="Z180" i="19"/>
  <c r="D178" i="32" s="1"/>
  <c r="AA180" i="19"/>
  <c r="D178" i="33" s="1"/>
  <c r="A181" i="19"/>
  <c r="B181" i="19"/>
  <c r="C181" i="19"/>
  <c r="D181" i="19"/>
  <c r="E181" i="19"/>
  <c r="F181" i="19"/>
  <c r="H181" i="19"/>
  <c r="I181" i="19"/>
  <c r="J181" i="19"/>
  <c r="K181" i="19"/>
  <c r="L181" i="19"/>
  <c r="M181" i="19"/>
  <c r="N181" i="19"/>
  <c r="P181" i="19"/>
  <c r="Q181" i="19"/>
  <c r="S181" i="19"/>
  <c r="V181" i="19"/>
  <c r="W181" i="19"/>
  <c r="X181" i="19"/>
  <c r="Z181" i="19"/>
  <c r="D179" i="32" s="1"/>
  <c r="AA181" i="19"/>
  <c r="D179" i="33" s="1"/>
  <c r="A182" i="19"/>
  <c r="B182" i="19"/>
  <c r="C182" i="19"/>
  <c r="D182" i="19"/>
  <c r="E182" i="19"/>
  <c r="F182" i="19"/>
  <c r="H182" i="19"/>
  <c r="I182" i="19"/>
  <c r="J182" i="19"/>
  <c r="K182" i="19"/>
  <c r="L182" i="19"/>
  <c r="M182" i="19"/>
  <c r="N182" i="19"/>
  <c r="P182" i="19"/>
  <c r="Q182" i="19"/>
  <c r="S182" i="19"/>
  <c r="V182" i="19"/>
  <c r="W182" i="19"/>
  <c r="X182" i="19"/>
  <c r="Z182" i="19"/>
  <c r="D180" i="32" s="1"/>
  <c r="AA182" i="19"/>
  <c r="D180" i="33" s="1"/>
  <c r="A183" i="19"/>
  <c r="B183" i="19"/>
  <c r="C183" i="19"/>
  <c r="D183" i="19"/>
  <c r="E183" i="19"/>
  <c r="F183" i="19"/>
  <c r="H183" i="19"/>
  <c r="I183" i="19"/>
  <c r="J183" i="19"/>
  <c r="K183" i="19"/>
  <c r="L183" i="19"/>
  <c r="M183" i="19"/>
  <c r="N183" i="19"/>
  <c r="P183" i="19"/>
  <c r="Q183" i="19"/>
  <c r="S183" i="19"/>
  <c r="V183" i="19"/>
  <c r="W183" i="19"/>
  <c r="X183" i="19"/>
  <c r="Z183" i="19"/>
  <c r="D181" i="32" s="1"/>
  <c r="AA183" i="19"/>
  <c r="D181" i="33" s="1"/>
  <c r="A184" i="19"/>
  <c r="B184" i="19"/>
  <c r="C184" i="19"/>
  <c r="D184" i="19"/>
  <c r="E184" i="19"/>
  <c r="F184" i="19"/>
  <c r="H184" i="19"/>
  <c r="I184" i="19"/>
  <c r="J184" i="19"/>
  <c r="K184" i="19"/>
  <c r="L184" i="19"/>
  <c r="M184" i="19"/>
  <c r="N184" i="19"/>
  <c r="P184" i="19"/>
  <c r="O184" i="19" s="1"/>
  <c r="Q184" i="19"/>
  <c r="S184" i="19"/>
  <c r="V184" i="19"/>
  <c r="W184" i="19"/>
  <c r="X184" i="19"/>
  <c r="Z184" i="19"/>
  <c r="D182" i="32" s="1"/>
  <c r="AA184" i="19"/>
  <c r="D182" i="33" s="1"/>
  <c r="A185" i="19"/>
  <c r="B185" i="19"/>
  <c r="C185" i="19"/>
  <c r="D185" i="19"/>
  <c r="E185" i="19"/>
  <c r="F185" i="19"/>
  <c r="H185" i="19"/>
  <c r="I185" i="19"/>
  <c r="J185" i="19"/>
  <c r="K185" i="19"/>
  <c r="L185" i="19"/>
  <c r="M185" i="19"/>
  <c r="N185" i="19"/>
  <c r="P185" i="19"/>
  <c r="Q185" i="19"/>
  <c r="S185" i="19"/>
  <c r="V185" i="19"/>
  <c r="W185" i="19"/>
  <c r="X185" i="19"/>
  <c r="Z185" i="19"/>
  <c r="D183" i="32" s="1"/>
  <c r="AA185" i="19"/>
  <c r="D183" i="33" s="1"/>
  <c r="A186" i="19"/>
  <c r="B186" i="19"/>
  <c r="C186" i="19"/>
  <c r="D186" i="19"/>
  <c r="E186" i="19"/>
  <c r="F186" i="19"/>
  <c r="H186" i="19"/>
  <c r="I186" i="19"/>
  <c r="J186" i="19"/>
  <c r="K186" i="19"/>
  <c r="L186" i="19"/>
  <c r="M186" i="19"/>
  <c r="N186" i="19"/>
  <c r="P186" i="19"/>
  <c r="Q186" i="19"/>
  <c r="S186" i="19"/>
  <c r="V186" i="19"/>
  <c r="W186" i="19"/>
  <c r="X186" i="19"/>
  <c r="Z186" i="19"/>
  <c r="D184" i="32" s="1"/>
  <c r="AA186" i="19"/>
  <c r="D184" i="33" s="1"/>
  <c r="A187" i="19"/>
  <c r="B187" i="19"/>
  <c r="C187" i="19"/>
  <c r="D187" i="19"/>
  <c r="E187" i="19"/>
  <c r="F187" i="19"/>
  <c r="H187" i="19"/>
  <c r="I187" i="19"/>
  <c r="J187" i="19"/>
  <c r="K187" i="19"/>
  <c r="L187" i="19"/>
  <c r="M187" i="19"/>
  <c r="N187" i="19"/>
  <c r="P187" i="19"/>
  <c r="Q187" i="19"/>
  <c r="S187" i="19"/>
  <c r="V187" i="19"/>
  <c r="W187" i="19"/>
  <c r="X187" i="19"/>
  <c r="Z187" i="19"/>
  <c r="D185" i="32" s="1"/>
  <c r="AA187" i="19"/>
  <c r="D185" i="33" s="1"/>
  <c r="A188" i="19"/>
  <c r="B188" i="19"/>
  <c r="C188" i="19"/>
  <c r="D188" i="19"/>
  <c r="E188" i="19"/>
  <c r="F188" i="19"/>
  <c r="H188" i="19"/>
  <c r="I188" i="19"/>
  <c r="J188" i="19"/>
  <c r="K188" i="19"/>
  <c r="L188" i="19"/>
  <c r="M188" i="19"/>
  <c r="N188" i="19"/>
  <c r="P188" i="19"/>
  <c r="O188" i="19" s="1"/>
  <c r="Q188" i="19"/>
  <c r="S188" i="19"/>
  <c r="V188" i="19"/>
  <c r="W188" i="19"/>
  <c r="X188" i="19"/>
  <c r="Z188" i="19"/>
  <c r="D186" i="32" s="1"/>
  <c r="AA188" i="19"/>
  <c r="D186" i="33" s="1"/>
  <c r="A189" i="19"/>
  <c r="B189" i="19"/>
  <c r="C189" i="19"/>
  <c r="D189" i="19"/>
  <c r="E189" i="19"/>
  <c r="F189" i="19"/>
  <c r="H189" i="19"/>
  <c r="I189" i="19"/>
  <c r="J189" i="19"/>
  <c r="K189" i="19"/>
  <c r="L189" i="19"/>
  <c r="M189" i="19"/>
  <c r="N189" i="19"/>
  <c r="P189" i="19"/>
  <c r="Q189" i="19"/>
  <c r="S189" i="19"/>
  <c r="V189" i="19"/>
  <c r="W189" i="19"/>
  <c r="X189" i="19"/>
  <c r="Z189" i="19"/>
  <c r="D187" i="32" s="1"/>
  <c r="AA189" i="19"/>
  <c r="D187" i="33" s="1"/>
  <c r="A190" i="19"/>
  <c r="B190" i="19"/>
  <c r="C190" i="19"/>
  <c r="D190" i="19"/>
  <c r="E190" i="19"/>
  <c r="F190" i="19"/>
  <c r="H190" i="19"/>
  <c r="I190" i="19"/>
  <c r="J190" i="19"/>
  <c r="K190" i="19"/>
  <c r="L190" i="19"/>
  <c r="M190" i="19"/>
  <c r="N190" i="19"/>
  <c r="P190" i="19"/>
  <c r="Q190" i="19"/>
  <c r="S190" i="19"/>
  <c r="V190" i="19"/>
  <c r="W190" i="19"/>
  <c r="X190" i="19"/>
  <c r="Z190" i="19"/>
  <c r="D188" i="32" s="1"/>
  <c r="AA190" i="19"/>
  <c r="D188" i="33" s="1"/>
  <c r="A191" i="19"/>
  <c r="B191" i="19"/>
  <c r="C191" i="19"/>
  <c r="D191" i="19"/>
  <c r="E191" i="19"/>
  <c r="F191" i="19"/>
  <c r="H191" i="19"/>
  <c r="I191" i="19"/>
  <c r="J191" i="19"/>
  <c r="K191" i="19"/>
  <c r="L191" i="19"/>
  <c r="M191" i="19"/>
  <c r="N191" i="19"/>
  <c r="P191" i="19"/>
  <c r="Q191" i="19"/>
  <c r="S191" i="19"/>
  <c r="V191" i="19"/>
  <c r="W191" i="19"/>
  <c r="X191" i="19"/>
  <c r="Z191" i="19"/>
  <c r="D189" i="32" s="1"/>
  <c r="AA191" i="19"/>
  <c r="D189" i="33" s="1"/>
  <c r="A192" i="19"/>
  <c r="B192" i="19"/>
  <c r="C192" i="19"/>
  <c r="D192" i="19"/>
  <c r="E192" i="19"/>
  <c r="F192" i="19"/>
  <c r="H192" i="19"/>
  <c r="I192" i="19"/>
  <c r="J192" i="19"/>
  <c r="K192" i="19"/>
  <c r="L192" i="19"/>
  <c r="M192" i="19"/>
  <c r="N192" i="19"/>
  <c r="P192" i="19"/>
  <c r="Q192" i="19"/>
  <c r="S192" i="19"/>
  <c r="V192" i="19"/>
  <c r="W192" i="19"/>
  <c r="X192" i="19"/>
  <c r="Z192" i="19"/>
  <c r="D190" i="32" s="1"/>
  <c r="AA192" i="19"/>
  <c r="D190" i="33" s="1"/>
  <c r="A193" i="19"/>
  <c r="B193" i="19"/>
  <c r="C193" i="19"/>
  <c r="D193" i="19"/>
  <c r="E193" i="19"/>
  <c r="F193" i="19"/>
  <c r="H193" i="19"/>
  <c r="I193" i="19"/>
  <c r="J193" i="19"/>
  <c r="K193" i="19"/>
  <c r="L193" i="19"/>
  <c r="M193" i="19"/>
  <c r="N193" i="19"/>
  <c r="P193" i="19"/>
  <c r="Q193" i="19"/>
  <c r="S193" i="19"/>
  <c r="V193" i="19"/>
  <c r="W193" i="19"/>
  <c r="X193" i="19"/>
  <c r="Z193" i="19"/>
  <c r="D191" i="32" s="1"/>
  <c r="AA193" i="19"/>
  <c r="D191" i="33" s="1"/>
  <c r="A194" i="19"/>
  <c r="B194" i="19"/>
  <c r="C194" i="19"/>
  <c r="D194" i="19"/>
  <c r="E194" i="19"/>
  <c r="F194" i="19"/>
  <c r="H194" i="19"/>
  <c r="I194" i="19"/>
  <c r="J194" i="19"/>
  <c r="K194" i="19"/>
  <c r="L194" i="19"/>
  <c r="M194" i="19"/>
  <c r="N194" i="19"/>
  <c r="P194" i="19"/>
  <c r="Q194" i="19"/>
  <c r="S194" i="19"/>
  <c r="V194" i="19"/>
  <c r="W194" i="19"/>
  <c r="X194" i="19"/>
  <c r="Z194" i="19"/>
  <c r="D192" i="32" s="1"/>
  <c r="AA194" i="19"/>
  <c r="D192" i="33" s="1"/>
  <c r="A195" i="19"/>
  <c r="B195" i="19"/>
  <c r="C195" i="19"/>
  <c r="D195" i="19"/>
  <c r="E195" i="19"/>
  <c r="F195" i="19"/>
  <c r="H195" i="19"/>
  <c r="I195" i="19"/>
  <c r="J195" i="19"/>
  <c r="K195" i="19"/>
  <c r="L195" i="19"/>
  <c r="M195" i="19"/>
  <c r="N195" i="19"/>
  <c r="P195" i="19"/>
  <c r="Q195" i="19"/>
  <c r="S195" i="19"/>
  <c r="V195" i="19"/>
  <c r="W195" i="19"/>
  <c r="X195" i="19"/>
  <c r="Z195" i="19"/>
  <c r="D193" i="32" s="1"/>
  <c r="AA195" i="19"/>
  <c r="D193" i="33" s="1"/>
  <c r="A196" i="19"/>
  <c r="B196" i="19"/>
  <c r="C196" i="19"/>
  <c r="D196" i="19"/>
  <c r="E196" i="19"/>
  <c r="F196" i="19"/>
  <c r="H196" i="19"/>
  <c r="I196" i="19"/>
  <c r="J196" i="19"/>
  <c r="K196" i="19"/>
  <c r="L196" i="19"/>
  <c r="M196" i="19"/>
  <c r="N196" i="19"/>
  <c r="P196" i="19"/>
  <c r="O196" i="19" s="1"/>
  <c r="Q196" i="19"/>
  <c r="S196" i="19"/>
  <c r="V196" i="19"/>
  <c r="W196" i="19"/>
  <c r="X196" i="19"/>
  <c r="Z196" i="19"/>
  <c r="D194" i="32" s="1"/>
  <c r="AA196" i="19"/>
  <c r="D194" i="33" s="1"/>
  <c r="A197" i="19"/>
  <c r="B197" i="19"/>
  <c r="C197" i="19"/>
  <c r="D197" i="19"/>
  <c r="E197" i="19"/>
  <c r="F197" i="19"/>
  <c r="H197" i="19"/>
  <c r="I197" i="19"/>
  <c r="J197" i="19"/>
  <c r="K197" i="19"/>
  <c r="L197" i="19"/>
  <c r="M197" i="19"/>
  <c r="N197" i="19"/>
  <c r="P197" i="19"/>
  <c r="Q197" i="19"/>
  <c r="S197" i="19"/>
  <c r="V197" i="19"/>
  <c r="Y197" i="19" s="1"/>
  <c r="C195" i="32" s="1"/>
  <c r="W197" i="19"/>
  <c r="X197" i="19"/>
  <c r="Z197" i="19"/>
  <c r="D195" i="32" s="1"/>
  <c r="AA197" i="19"/>
  <c r="D195" i="33" s="1"/>
  <c r="A198" i="19"/>
  <c r="B198" i="19"/>
  <c r="C198" i="19"/>
  <c r="D198" i="19"/>
  <c r="E198" i="19"/>
  <c r="F198" i="19"/>
  <c r="H198" i="19"/>
  <c r="I198" i="19"/>
  <c r="J198" i="19"/>
  <c r="K198" i="19"/>
  <c r="L198" i="19"/>
  <c r="M198" i="19"/>
  <c r="N198" i="19"/>
  <c r="P198" i="19"/>
  <c r="Q198" i="19"/>
  <c r="S198" i="19"/>
  <c r="V198" i="19"/>
  <c r="W198" i="19"/>
  <c r="X198" i="19"/>
  <c r="Z198" i="19"/>
  <c r="D196" i="32" s="1"/>
  <c r="AA198" i="19"/>
  <c r="D196" i="33" s="1"/>
  <c r="A199" i="19"/>
  <c r="B199" i="19"/>
  <c r="C199" i="19"/>
  <c r="D199" i="19"/>
  <c r="E199" i="19"/>
  <c r="F199" i="19"/>
  <c r="H199" i="19"/>
  <c r="I199" i="19"/>
  <c r="J199" i="19"/>
  <c r="K199" i="19"/>
  <c r="L199" i="19"/>
  <c r="M199" i="19"/>
  <c r="N199" i="19"/>
  <c r="P199" i="19"/>
  <c r="Q199" i="19"/>
  <c r="S199" i="19"/>
  <c r="V199" i="19"/>
  <c r="W199" i="19"/>
  <c r="X199" i="19"/>
  <c r="Z199" i="19"/>
  <c r="D197" i="32" s="1"/>
  <c r="AA199" i="19"/>
  <c r="D197" i="33" s="1"/>
  <c r="A200" i="19"/>
  <c r="B200" i="19"/>
  <c r="C200" i="19"/>
  <c r="D200" i="19"/>
  <c r="E200" i="19"/>
  <c r="F200" i="19"/>
  <c r="H200" i="19"/>
  <c r="I200" i="19"/>
  <c r="J200" i="19"/>
  <c r="K200" i="19"/>
  <c r="L200" i="19"/>
  <c r="M200" i="19"/>
  <c r="N200" i="19"/>
  <c r="P200" i="19"/>
  <c r="Q200" i="19"/>
  <c r="S200" i="19"/>
  <c r="V200" i="19"/>
  <c r="W200" i="19"/>
  <c r="X200" i="19"/>
  <c r="Z200" i="19"/>
  <c r="D198" i="32" s="1"/>
  <c r="AA200" i="19"/>
  <c r="D198" i="33" s="1"/>
  <c r="A201" i="19"/>
  <c r="B201" i="19"/>
  <c r="C201" i="19"/>
  <c r="D201" i="19"/>
  <c r="E201" i="19"/>
  <c r="F201" i="19"/>
  <c r="H201" i="19"/>
  <c r="I201" i="19"/>
  <c r="J201" i="19"/>
  <c r="K201" i="19"/>
  <c r="L201" i="19"/>
  <c r="M201" i="19"/>
  <c r="N201" i="19"/>
  <c r="P201" i="19"/>
  <c r="Q201" i="19"/>
  <c r="S201" i="19"/>
  <c r="V201" i="19"/>
  <c r="W201" i="19"/>
  <c r="X201" i="19"/>
  <c r="Z201" i="19"/>
  <c r="D199" i="32" s="1"/>
  <c r="AA201" i="19"/>
  <c r="D199" i="33" s="1"/>
  <c r="A202" i="19"/>
  <c r="B202" i="19"/>
  <c r="C202" i="19"/>
  <c r="D202" i="19"/>
  <c r="E202" i="19"/>
  <c r="F202" i="19"/>
  <c r="H202" i="19"/>
  <c r="I202" i="19"/>
  <c r="J202" i="19"/>
  <c r="K202" i="19"/>
  <c r="L202" i="19"/>
  <c r="M202" i="19"/>
  <c r="N202" i="19"/>
  <c r="P202" i="19"/>
  <c r="Q202" i="19"/>
  <c r="S202" i="19"/>
  <c r="V202" i="19"/>
  <c r="W202" i="19"/>
  <c r="X202" i="19"/>
  <c r="Z202" i="19"/>
  <c r="D200" i="32" s="1"/>
  <c r="AA202" i="19"/>
  <c r="D200" i="33" s="1"/>
  <c r="A203" i="19"/>
  <c r="B203" i="19"/>
  <c r="C203" i="19"/>
  <c r="D203" i="19"/>
  <c r="E203" i="19"/>
  <c r="F203" i="19"/>
  <c r="H203" i="19"/>
  <c r="I203" i="19"/>
  <c r="J203" i="19"/>
  <c r="K203" i="19"/>
  <c r="L203" i="19"/>
  <c r="M203" i="19"/>
  <c r="N203" i="19"/>
  <c r="P203" i="19"/>
  <c r="Q203" i="19"/>
  <c r="S203" i="19"/>
  <c r="V203" i="19"/>
  <c r="W203" i="19"/>
  <c r="X203" i="19"/>
  <c r="Z203" i="19"/>
  <c r="D201" i="32" s="1"/>
  <c r="AA203" i="19"/>
  <c r="D201" i="33" s="1"/>
  <c r="A204" i="19"/>
  <c r="B204" i="19"/>
  <c r="C204" i="19"/>
  <c r="D204" i="19"/>
  <c r="E204" i="19"/>
  <c r="F204" i="19"/>
  <c r="H204" i="19"/>
  <c r="I204" i="19"/>
  <c r="J204" i="19"/>
  <c r="K204" i="19"/>
  <c r="L204" i="19"/>
  <c r="M204" i="19"/>
  <c r="N204" i="19"/>
  <c r="P204" i="19"/>
  <c r="O204" i="19" s="1"/>
  <c r="Q204" i="19"/>
  <c r="S204" i="19"/>
  <c r="V204" i="19"/>
  <c r="W204" i="19"/>
  <c r="X204" i="19"/>
  <c r="Z204" i="19"/>
  <c r="D202" i="32" s="1"/>
  <c r="AA204" i="19"/>
  <c r="D202" i="33" s="1"/>
  <c r="A205" i="19"/>
  <c r="B205" i="19"/>
  <c r="C205" i="19"/>
  <c r="D205" i="19"/>
  <c r="E205" i="19"/>
  <c r="F205" i="19"/>
  <c r="H205" i="19"/>
  <c r="I205" i="19"/>
  <c r="J205" i="19"/>
  <c r="K205" i="19"/>
  <c r="L205" i="19"/>
  <c r="M205" i="19"/>
  <c r="N205" i="19"/>
  <c r="P205" i="19"/>
  <c r="Q205" i="19"/>
  <c r="S205" i="19"/>
  <c r="V205" i="19"/>
  <c r="Y205" i="19" s="1"/>
  <c r="C203" i="32" s="1"/>
  <c r="W205" i="19"/>
  <c r="X205" i="19"/>
  <c r="Z205" i="19"/>
  <c r="D203" i="32" s="1"/>
  <c r="AA205" i="19"/>
  <c r="D203" i="33" s="1"/>
  <c r="A206" i="19"/>
  <c r="B206" i="19"/>
  <c r="C206" i="19"/>
  <c r="D206" i="19"/>
  <c r="E206" i="19"/>
  <c r="F206" i="19"/>
  <c r="H206" i="19"/>
  <c r="I206" i="19"/>
  <c r="J206" i="19"/>
  <c r="K206" i="19"/>
  <c r="L206" i="19"/>
  <c r="M206" i="19"/>
  <c r="N206" i="19"/>
  <c r="P206" i="19"/>
  <c r="Q206" i="19"/>
  <c r="S206" i="19"/>
  <c r="V206" i="19"/>
  <c r="W206" i="19"/>
  <c r="X206" i="19"/>
  <c r="Z206" i="19"/>
  <c r="D204" i="32" s="1"/>
  <c r="AA206" i="19"/>
  <c r="D204" i="33" s="1"/>
  <c r="A207" i="19"/>
  <c r="B207" i="19"/>
  <c r="C207" i="19"/>
  <c r="D207" i="19"/>
  <c r="E207" i="19"/>
  <c r="F207" i="19"/>
  <c r="H207" i="19"/>
  <c r="I207" i="19"/>
  <c r="J207" i="19"/>
  <c r="K207" i="19"/>
  <c r="L207" i="19"/>
  <c r="M207" i="19"/>
  <c r="N207" i="19"/>
  <c r="P207" i="19"/>
  <c r="Q207" i="19"/>
  <c r="S207" i="19"/>
  <c r="V207" i="19"/>
  <c r="W207" i="19"/>
  <c r="X207" i="19"/>
  <c r="Z207" i="19"/>
  <c r="D205" i="32" s="1"/>
  <c r="AA207" i="19"/>
  <c r="D205" i="33" s="1"/>
  <c r="A208" i="19"/>
  <c r="B208" i="19"/>
  <c r="C208" i="19"/>
  <c r="D208" i="19"/>
  <c r="E208" i="19"/>
  <c r="F208" i="19"/>
  <c r="H208" i="19"/>
  <c r="I208" i="19"/>
  <c r="J208" i="19"/>
  <c r="K208" i="19"/>
  <c r="L208" i="19"/>
  <c r="M208" i="19"/>
  <c r="N208" i="19"/>
  <c r="P208" i="19"/>
  <c r="Q208" i="19"/>
  <c r="S208" i="19"/>
  <c r="V208" i="19"/>
  <c r="W208" i="19"/>
  <c r="X208" i="19"/>
  <c r="Z208" i="19"/>
  <c r="D206" i="32" s="1"/>
  <c r="AA208" i="19"/>
  <c r="D206" i="33" s="1"/>
  <c r="A209" i="19"/>
  <c r="B209" i="19"/>
  <c r="C209" i="19"/>
  <c r="D209" i="19"/>
  <c r="E209" i="19"/>
  <c r="F209" i="19"/>
  <c r="H209" i="19"/>
  <c r="I209" i="19"/>
  <c r="J209" i="19"/>
  <c r="K209" i="19"/>
  <c r="L209" i="19"/>
  <c r="M209" i="19"/>
  <c r="N209" i="19"/>
  <c r="P209" i="19"/>
  <c r="Q209" i="19"/>
  <c r="S209" i="19"/>
  <c r="V209" i="19"/>
  <c r="W209" i="19"/>
  <c r="X209" i="19"/>
  <c r="Z209" i="19"/>
  <c r="D207" i="32" s="1"/>
  <c r="AA209" i="19"/>
  <c r="D207" i="33" s="1"/>
  <c r="A210" i="19"/>
  <c r="B210" i="19"/>
  <c r="C210" i="19"/>
  <c r="D210" i="19"/>
  <c r="E210" i="19"/>
  <c r="F210" i="19"/>
  <c r="H210" i="19"/>
  <c r="I210" i="19"/>
  <c r="J210" i="19"/>
  <c r="K210" i="19"/>
  <c r="L210" i="19"/>
  <c r="M210" i="19"/>
  <c r="N210" i="19"/>
  <c r="P210" i="19"/>
  <c r="Q210" i="19"/>
  <c r="S210" i="19"/>
  <c r="V210" i="19"/>
  <c r="W210" i="19"/>
  <c r="X210" i="19"/>
  <c r="Z210" i="19"/>
  <c r="D208" i="32" s="1"/>
  <c r="AA210" i="19"/>
  <c r="D208" i="33" s="1"/>
  <c r="A211" i="19"/>
  <c r="B211" i="19"/>
  <c r="C211" i="19"/>
  <c r="D211" i="19"/>
  <c r="E211" i="19"/>
  <c r="F211" i="19"/>
  <c r="H211" i="19"/>
  <c r="I211" i="19"/>
  <c r="J211" i="19"/>
  <c r="K211" i="19"/>
  <c r="L211" i="19"/>
  <c r="M211" i="19"/>
  <c r="N211" i="19"/>
  <c r="P211" i="19"/>
  <c r="Q211" i="19"/>
  <c r="S211" i="19"/>
  <c r="V211" i="19"/>
  <c r="W211" i="19"/>
  <c r="X211" i="19"/>
  <c r="Z211" i="19"/>
  <c r="D209" i="32" s="1"/>
  <c r="AA211" i="19"/>
  <c r="D209" i="33" s="1"/>
  <c r="A212" i="19"/>
  <c r="B212" i="19"/>
  <c r="C212" i="19"/>
  <c r="D212" i="19"/>
  <c r="E212" i="19"/>
  <c r="F212" i="19"/>
  <c r="H212" i="19"/>
  <c r="I212" i="19"/>
  <c r="J212" i="19"/>
  <c r="K212" i="19"/>
  <c r="L212" i="19"/>
  <c r="M212" i="19"/>
  <c r="N212" i="19"/>
  <c r="P212" i="19"/>
  <c r="Q212" i="19"/>
  <c r="S212" i="19"/>
  <c r="V212" i="19"/>
  <c r="W212" i="19"/>
  <c r="X212" i="19"/>
  <c r="Z212" i="19"/>
  <c r="D210" i="32" s="1"/>
  <c r="AA212" i="19"/>
  <c r="D210" i="33" s="1"/>
  <c r="A213" i="19"/>
  <c r="B213" i="19"/>
  <c r="C213" i="19"/>
  <c r="D213" i="19"/>
  <c r="E213" i="19"/>
  <c r="F213" i="19"/>
  <c r="H213" i="19"/>
  <c r="I213" i="19"/>
  <c r="J213" i="19"/>
  <c r="K213" i="19"/>
  <c r="L213" i="19"/>
  <c r="M213" i="19"/>
  <c r="N213" i="19"/>
  <c r="P213" i="19"/>
  <c r="Q213" i="19"/>
  <c r="S213" i="19"/>
  <c r="V213" i="19"/>
  <c r="W213" i="19"/>
  <c r="X213" i="19"/>
  <c r="Z213" i="19"/>
  <c r="D211" i="32" s="1"/>
  <c r="AA213" i="19"/>
  <c r="D211" i="33" s="1"/>
  <c r="A214" i="19"/>
  <c r="B214" i="19"/>
  <c r="C214" i="19"/>
  <c r="D214" i="19"/>
  <c r="E214" i="19"/>
  <c r="F214" i="19"/>
  <c r="H214" i="19"/>
  <c r="I214" i="19"/>
  <c r="J214" i="19"/>
  <c r="K214" i="19"/>
  <c r="L214" i="19"/>
  <c r="M214" i="19"/>
  <c r="N214" i="19"/>
  <c r="P214" i="19"/>
  <c r="Q214" i="19"/>
  <c r="S214" i="19"/>
  <c r="V214" i="19"/>
  <c r="W214" i="19"/>
  <c r="X214" i="19"/>
  <c r="Z214" i="19"/>
  <c r="D212" i="32" s="1"/>
  <c r="AA214" i="19"/>
  <c r="D212" i="33" s="1"/>
  <c r="A215" i="19"/>
  <c r="B215" i="19"/>
  <c r="C215" i="19"/>
  <c r="D215" i="19"/>
  <c r="E215" i="19"/>
  <c r="F215" i="19"/>
  <c r="H215" i="19"/>
  <c r="I215" i="19"/>
  <c r="J215" i="19"/>
  <c r="K215" i="19"/>
  <c r="L215" i="19"/>
  <c r="M215" i="19"/>
  <c r="N215" i="19"/>
  <c r="P215" i="19"/>
  <c r="Q215" i="19"/>
  <c r="S215" i="19"/>
  <c r="V215" i="19"/>
  <c r="W215" i="19"/>
  <c r="X215" i="19"/>
  <c r="Z215" i="19"/>
  <c r="D213" i="32" s="1"/>
  <c r="AA215" i="19"/>
  <c r="D213" i="33" s="1"/>
  <c r="A216" i="19"/>
  <c r="B216" i="19"/>
  <c r="C216" i="19"/>
  <c r="D216" i="19"/>
  <c r="E216" i="19"/>
  <c r="F216" i="19"/>
  <c r="H216" i="19"/>
  <c r="I216" i="19"/>
  <c r="J216" i="19"/>
  <c r="K216" i="19"/>
  <c r="L216" i="19"/>
  <c r="M216" i="19"/>
  <c r="N216" i="19"/>
  <c r="P216" i="19"/>
  <c r="Q216" i="19"/>
  <c r="S216" i="19"/>
  <c r="V216" i="19"/>
  <c r="W216" i="19"/>
  <c r="X216" i="19"/>
  <c r="Z216" i="19"/>
  <c r="D214" i="32" s="1"/>
  <c r="AA216" i="19"/>
  <c r="D214" i="33" s="1"/>
  <c r="A217" i="19"/>
  <c r="B217" i="19"/>
  <c r="C217" i="19"/>
  <c r="D217" i="19"/>
  <c r="E217" i="19"/>
  <c r="F217" i="19"/>
  <c r="H217" i="19"/>
  <c r="I217" i="19"/>
  <c r="J217" i="19"/>
  <c r="K217" i="19"/>
  <c r="L217" i="19"/>
  <c r="M217" i="19"/>
  <c r="N217" i="19"/>
  <c r="P217" i="19"/>
  <c r="Q217" i="19"/>
  <c r="S217" i="19"/>
  <c r="V217" i="19"/>
  <c r="W217" i="19"/>
  <c r="X217" i="19"/>
  <c r="Z217" i="19"/>
  <c r="D215" i="32" s="1"/>
  <c r="AA217" i="19"/>
  <c r="D215" i="33" s="1"/>
  <c r="A218" i="19"/>
  <c r="B218" i="19"/>
  <c r="C218" i="19"/>
  <c r="D218" i="19"/>
  <c r="E218" i="19"/>
  <c r="F218" i="19"/>
  <c r="H218" i="19"/>
  <c r="I218" i="19"/>
  <c r="J218" i="19"/>
  <c r="K218" i="19"/>
  <c r="L218" i="19"/>
  <c r="M218" i="19"/>
  <c r="N218" i="19"/>
  <c r="P218" i="19"/>
  <c r="Q218" i="19"/>
  <c r="S218" i="19"/>
  <c r="V218" i="19"/>
  <c r="W218" i="19"/>
  <c r="X218" i="19"/>
  <c r="Z218" i="19"/>
  <c r="D216" i="32" s="1"/>
  <c r="AA218" i="19"/>
  <c r="D216" i="33" s="1"/>
  <c r="A219" i="19"/>
  <c r="B219" i="19"/>
  <c r="C219" i="19"/>
  <c r="D219" i="19"/>
  <c r="E219" i="19"/>
  <c r="F219" i="19"/>
  <c r="H219" i="19"/>
  <c r="I219" i="19"/>
  <c r="J219" i="19"/>
  <c r="K219" i="19"/>
  <c r="L219" i="19"/>
  <c r="M219" i="19"/>
  <c r="N219" i="19"/>
  <c r="P219" i="19"/>
  <c r="Q219" i="19"/>
  <c r="S219" i="19"/>
  <c r="V219" i="19"/>
  <c r="W219" i="19"/>
  <c r="X219" i="19"/>
  <c r="Z219" i="19"/>
  <c r="D217" i="32" s="1"/>
  <c r="AA219" i="19"/>
  <c r="D217" i="33" s="1"/>
  <c r="A220" i="19"/>
  <c r="B220" i="19"/>
  <c r="C220" i="19"/>
  <c r="D220" i="19"/>
  <c r="E220" i="19"/>
  <c r="F220" i="19"/>
  <c r="H220" i="19"/>
  <c r="I220" i="19"/>
  <c r="J220" i="19"/>
  <c r="K220" i="19"/>
  <c r="L220" i="19"/>
  <c r="M220" i="19"/>
  <c r="N220" i="19"/>
  <c r="P220" i="19"/>
  <c r="Q220" i="19"/>
  <c r="S220" i="19"/>
  <c r="V220" i="19"/>
  <c r="W220" i="19"/>
  <c r="X220" i="19"/>
  <c r="Z220" i="19"/>
  <c r="D218" i="32" s="1"/>
  <c r="AA220" i="19"/>
  <c r="D218" i="33" s="1"/>
  <c r="A221" i="19"/>
  <c r="B221" i="19"/>
  <c r="C221" i="19"/>
  <c r="D221" i="19"/>
  <c r="E221" i="19"/>
  <c r="F221" i="19"/>
  <c r="H221" i="19"/>
  <c r="I221" i="19"/>
  <c r="J221" i="19"/>
  <c r="K221" i="19"/>
  <c r="L221" i="19"/>
  <c r="M221" i="19"/>
  <c r="N221" i="19"/>
  <c r="P221" i="19"/>
  <c r="Q221" i="19"/>
  <c r="S221" i="19"/>
  <c r="V221" i="19"/>
  <c r="W221" i="19"/>
  <c r="X221" i="19"/>
  <c r="Z221" i="19"/>
  <c r="D219" i="32" s="1"/>
  <c r="AA221" i="19"/>
  <c r="D219" i="33" s="1"/>
  <c r="A222" i="19"/>
  <c r="B222" i="19"/>
  <c r="C222" i="19"/>
  <c r="D222" i="19"/>
  <c r="E222" i="19"/>
  <c r="F222" i="19"/>
  <c r="H222" i="19"/>
  <c r="I222" i="19"/>
  <c r="J222" i="19"/>
  <c r="K222" i="19"/>
  <c r="L222" i="19"/>
  <c r="M222" i="19"/>
  <c r="N222" i="19"/>
  <c r="P222" i="19"/>
  <c r="Q222" i="19"/>
  <c r="S222" i="19"/>
  <c r="V222" i="19"/>
  <c r="W222" i="19"/>
  <c r="X222" i="19"/>
  <c r="Z222" i="19"/>
  <c r="D220" i="32" s="1"/>
  <c r="AA222" i="19"/>
  <c r="D220" i="33" s="1"/>
  <c r="A223" i="19"/>
  <c r="B223" i="19"/>
  <c r="C223" i="19"/>
  <c r="D223" i="19"/>
  <c r="E223" i="19"/>
  <c r="F223" i="19"/>
  <c r="H223" i="19"/>
  <c r="I223" i="19"/>
  <c r="J223" i="19"/>
  <c r="K223" i="19"/>
  <c r="L223" i="19"/>
  <c r="M223" i="19"/>
  <c r="N223" i="19"/>
  <c r="P223" i="19"/>
  <c r="Q223" i="19"/>
  <c r="S223" i="19"/>
  <c r="V223" i="19"/>
  <c r="W223" i="19"/>
  <c r="X223" i="19"/>
  <c r="Z223" i="19"/>
  <c r="D221" i="32" s="1"/>
  <c r="AA223" i="19"/>
  <c r="D221" i="33" s="1"/>
  <c r="A224" i="19"/>
  <c r="B224" i="19"/>
  <c r="C224" i="19"/>
  <c r="D224" i="19"/>
  <c r="E224" i="19"/>
  <c r="F224" i="19"/>
  <c r="H224" i="19"/>
  <c r="I224" i="19"/>
  <c r="J224" i="19"/>
  <c r="K224" i="19"/>
  <c r="L224" i="19"/>
  <c r="M224" i="19"/>
  <c r="N224" i="19"/>
  <c r="P224" i="19"/>
  <c r="Q224" i="19"/>
  <c r="S224" i="19"/>
  <c r="V224" i="19"/>
  <c r="W224" i="19"/>
  <c r="X224" i="19"/>
  <c r="Z224" i="19"/>
  <c r="D222" i="32" s="1"/>
  <c r="AA224" i="19"/>
  <c r="D222" i="33" s="1"/>
  <c r="A225" i="19"/>
  <c r="B225" i="19"/>
  <c r="C225" i="19"/>
  <c r="D225" i="19"/>
  <c r="E225" i="19"/>
  <c r="F225" i="19"/>
  <c r="H225" i="19"/>
  <c r="I225" i="19"/>
  <c r="J225" i="19"/>
  <c r="K225" i="19"/>
  <c r="L225" i="19"/>
  <c r="M225" i="19"/>
  <c r="N225" i="19"/>
  <c r="P225" i="19"/>
  <c r="Q225" i="19"/>
  <c r="S225" i="19"/>
  <c r="V225" i="19"/>
  <c r="W225" i="19"/>
  <c r="X225" i="19"/>
  <c r="Z225" i="19"/>
  <c r="D223" i="32" s="1"/>
  <c r="AA225" i="19"/>
  <c r="D223" i="33" s="1"/>
  <c r="A226" i="19"/>
  <c r="B226" i="19"/>
  <c r="C226" i="19"/>
  <c r="D226" i="19"/>
  <c r="E226" i="19"/>
  <c r="F226" i="19"/>
  <c r="H226" i="19"/>
  <c r="I226" i="19"/>
  <c r="J226" i="19"/>
  <c r="K226" i="19"/>
  <c r="L226" i="19"/>
  <c r="M226" i="19"/>
  <c r="N226" i="19"/>
  <c r="P226" i="19"/>
  <c r="Q226" i="19"/>
  <c r="S226" i="19"/>
  <c r="V226" i="19"/>
  <c r="W226" i="19"/>
  <c r="X226" i="19"/>
  <c r="Z226" i="19"/>
  <c r="D224" i="32" s="1"/>
  <c r="AA226" i="19"/>
  <c r="D224" i="33" s="1"/>
  <c r="A227" i="19"/>
  <c r="B227" i="19"/>
  <c r="C227" i="19"/>
  <c r="D227" i="19"/>
  <c r="E227" i="19"/>
  <c r="F227" i="19"/>
  <c r="H227" i="19"/>
  <c r="I227" i="19"/>
  <c r="J227" i="19"/>
  <c r="K227" i="19"/>
  <c r="L227" i="19"/>
  <c r="M227" i="19"/>
  <c r="N227" i="19"/>
  <c r="P227" i="19"/>
  <c r="Q227" i="19"/>
  <c r="S227" i="19"/>
  <c r="V227" i="19"/>
  <c r="W227" i="19"/>
  <c r="X227" i="19"/>
  <c r="Z227" i="19"/>
  <c r="D225" i="32" s="1"/>
  <c r="AA227" i="19"/>
  <c r="D225" i="33" s="1"/>
  <c r="A228" i="19"/>
  <c r="B228" i="19"/>
  <c r="C228" i="19"/>
  <c r="D228" i="19"/>
  <c r="E228" i="19"/>
  <c r="F228" i="19"/>
  <c r="H228" i="19"/>
  <c r="I228" i="19"/>
  <c r="J228" i="19"/>
  <c r="K228" i="19"/>
  <c r="L228" i="19"/>
  <c r="M228" i="19"/>
  <c r="N228" i="19"/>
  <c r="P228" i="19"/>
  <c r="Q228" i="19"/>
  <c r="S228" i="19"/>
  <c r="V228" i="19"/>
  <c r="W228" i="19"/>
  <c r="X228" i="19"/>
  <c r="Z228" i="19"/>
  <c r="D226" i="32" s="1"/>
  <c r="AA228" i="19"/>
  <c r="D226" i="33" s="1"/>
  <c r="A229" i="19"/>
  <c r="B229" i="19"/>
  <c r="C229" i="19"/>
  <c r="D229" i="19"/>
  <c r="E229" i="19"/>
  <c r="F229" i="19"/>
  <c r="H229" i="19"/>
  <c r="I229" i="19"/>
  <c r="J229" i="19"/>
  <c r="K229" i="19"/>
  <c r="L229" i="19"/>
  <c r="M229" i="19"/>
  <c r="N229" i="19"/>
  <c r="P229" i="19"/>
  <c r="Q229" i="19"/>
  <c r="S229" i="19"/>
  <c r="V229" i="19"/>
  <c r="W229" i="19"/>
  <c r="X229" i="19"/>
  <c r="Z229" i="19"/>
  <c r="D227" i="32" s="1"/>
  <c r="AA229" i="19"/>
  <c r="D227" i="33" s="1"/>
  <c r="A230" i="19"/>
  <c r="B230" i="19"/>
  <c r="C230" i="19"/>
  <c r="D230" i="19"/>
  <c r="E230" i="19"/>
  <c r="F230" i="19"/>
  <c r="H230" i="19"/>
  <c r="I230" i="19"/>
  <c r="J230" i="19"/>
  <c r="K230" i="19"/>
  <c r="L230" i="19"/>
  <c r="M230" i="19"/>
  <c r="N230" i="19"/>
  <c r="P230" i="19"/>
  <c r="Q230" i="19"/>
  <c r="S230" i="19"/>
  <c r="V230" i="19"/>
  <c r="W230" i="19"/>
  <c r="X230" i="19"/>
  <c r="Z230" i="19"/>
  <c r="D228" i="32" s="1"/>
  <c r="AA230" i="19"/>
  <c r="D228" i="33" s="1"/>
  <c r="A231" i="19"/>
  <c r="B231" i="19"/>
  <c r="C231" i="19"/>
  <c r="D231" i="19"/>
  <c r="E231" i="19"/>
  <c r="F231" i="19"/>
  <c r="H231" i="19"/>
  <c r="I231" i="19"/>
  <c r="J231" i="19"/>
  <c r="K231" i="19"/>
  <c r="L231" i="19"/>
  <c r="M231" i="19"/>
  <c r="N231" i="19"/>
  <c r="P231" i="19"/>
  <c r="Q231" i="19"/>
  <c r="S231" i="19"/>
  <c r="V231" i="19"/>
  <c r="W231" i="19"/>
  <c r="X231" i="19"/>
  <c r="Z231" i="19"/>
  <c r="D229" i="32" s="1"/>
  <c r="AA231" i="19"/>
  <c r="D229" i="33" s="1"/>
  <c r="A232" i="19"/>
  <c r="B232" i="19"/>
  <c r="C232" i="19"/>
  <c r="D232" i="19"/>
  <c r="E232" i="19"/>
  <c r="F232" i="19"/>
  <c r="H232" i="19"/>
  <c r="I232" i="19"/>
  <c r="J232" i="19"/>
  <c r="K232" i="19"/>
  <c r="L232" i="19"/>
  <c r="M232" i="19"/>
  <c r="N232" i="19"/>
  <c r="P232" i="19"/>
  <c r="Q232" i="19"/>
  <c r="S232" i="19"/>
  <c r="V232" i="19"/>
  <c r="W232" i="19"/>
  <c r="X232" i="19"/>
  <c r="Z232" i="19"/>
  <c r="D230" i="32" s="1"/>
  <c r="AA232" i="19"/>
  <c r="D230" i="33" s="1"/>
  <c r="A233" i="19"/>
  <c r="B233" i="19"/>
  <c r="C233" i="19"/>
  <c r="D233" i="19"/>
  <c r="E233" i="19"/>
  <c r="F233" i="19"/>
  <c r="H233" i="19"/>
  <c r="I233" i="19"/>
  <c r="J233" i="19"/>
  <c r="K233" i="19"/>
  <c r="L233" i="19"/>
  <c r="M233" i="19"/>
  <c r="N233" i="19"/>
  <c r="P233" i="19"/>
  <c r="Q233" i="19"/>
  <c r="S233" i="19"/>
  <c r="V233" i="19"/>
  <c r="W233" i="19"/>
  <c r="X233" i="19"/>
  <c r="Z233" i="19"/>
  <c r="D231" i="32" s="1"/>
  <c r="AA233" i="19"/>
  <c r="D231" i="33" s="1"/>
  <c r="A234" i="19"/>
  <c r="B234" i="19"/>
  <c r="C234" i="19"/>
  <c r="D234" i="19"/>
  <c r="E234" i="19"/>
  <c r="F234" i="19"/>
  <c r="H234" i="19"/>
  <c r="I234" i="19"/>
  <c r="J234" i="19"/>
  <c r="K234" i="19"/>
  <c r="L234" i="19"/>
  <c r="M234" i="19"/>
  <c r="N234" i="19"/>
  <c r="P234" i="19"/>
  <c r="Q234" i="19"/>
  <c r="S234" i="19"/>
  <c r="V234" i="19"/>
  <c r="W234" i="19"/>
  <c r="X234" i="19"/>
  <c r="Z234" i="19"/>
  <c r="D232" i="32" s="1"/>
  <c r="AA234" i="19"/>
  <c r="D232" i="33" s="1"/>
  <c r="A235" i="19"/>
  <c r="B235" i="19"/>
  <c r="C235" i="19"/>
  <c r="D235" i="19"/>
  <c r="E235" i="19"/>
  <c r="F235" i="19"/>
  <c r="H235" i="19"/>
  <c r="I235" i="19"/>
  <c r="J235" i="19"/>
  <c r="K235" i="19"/>
  <c r="L235" i="19"/>
  <c r="M235" i="19"/>
  <c r="N235" i="19"/>
  <c r="P235" i="19"/>
  <c r="Q235" i="19"/>
  <c r="S235" i="19"/>
  <c r="V235" i="19"/>
  <c r="W235" i="19"/>
  <c r="X235" i="19"/>
  <c r="Z235" i="19"/>
  <c r="D233" i="32" s="1"/>
  <c r="AA235" i="19"/>
  <c r="D233" i="33" s="1"/>
  <c r="A236" i="19"/>
  <c r="B236" i="19"/>
  <c r="C236" i="19"/>
  <c r="D236" i="19"/>
  <c r="E236" i="19"/>
  <c r="F236" i="19"/>
  <c r="H236" i="19"/>
  <c r="I236" i="19"/>
  <c r="J236" i="19"/>
  <c r="K236" i="19"/>
  <c r="L236" i="19"/>
  <c r="M236" i="19"/>
  <c r="N236" i="19"/>
  <c r="P236" i="19"/>
  <c r="Q236" i="19"/>
  <c r="S236" i="19"/>
  <c r="V236" i="19"/>
  <c r="W236" i="19"/>
  <c r="X236" i="19"/>
  <c r="Z236" i="19"/>
  <c r="D234" i="32" s="1"/>
  <c r="AA236" i="19"/>
  <c r="D234" i="33" s="1"/>
  <c r="A237" i="19"/>
  <c r="B237" i="19"/>
  <c r="C237" i="19"/>
  <c r="D237" i="19"/>
  <c r="E237" i="19"/>
  <c r="F237" i="19"/>
  <c r="H237" i="19"/>
  <c r="I237" i="19"/>
  <c r="J237" i="19"/>
  <c r="K237" i="19"/>
  <c r="L237" i="19"/>
  <c r="M237" i="19"/>
  <c r="N237" i="19"/>
  <c r="P237" i="19"/>
  <c r="Q237" i="19"/>
  <c r="S237" i="19"/>
  <c r="V237" i="19"/>
  <c r="W237" i="19"/>
  <c r="X237" i="19"/>
  <c r="Z237" i="19"/>
  <c r="D235" i="32" s="1"/>
  <c r="AA237" i="19"/>
  <c r="D235" i="33" s="1"/>
  <c r="A238" i="19"/>
  <c r="B238" i="19"/>
  <c r="C238" i="19"/>
  <c r="D238" i="19"/>
  <c r="E238" i="19"/>
  <c r="F238" i="19"/>
  <c r="H238" i="19"/>
  <c r="I238" i="19"/>
  <c r="J238" i="19"/>
  <c r="K238" i="19"/>
  <c r="L238" i="19"/>
  <c r="M238" i="19"/>
  <c r="N238" i="19"/>
  <c r="P238" i="19"/>
  <c r="Q238" i="19"/>
  <c r="S238" i="19"/>
  <c r="V238" i="19"/>
  <c r="W238" i="19"/>
  <c r="X238" i="19"/>
  <c r="Z238" i="19"/>
  <c r="D236" i="32" s="1"/>
  <c r="AA238" i="19"/>
  <c r="D236" i="33" s="1"/>
  <c r="A239" i="19"/>
  <c r="B239" i="19"/>
  <c r="C239" i="19"/>
  <c r="D239" i="19"/>
  <c r="E239" i="19"/>
  <c r="F239" i="19"/>
  <c r="H239" i="19"/>
  <c r="I239" i="19"/>
  <c r="J239" i="19"/>
  <c r="K239" i="19"/>
  <c r="L239" i="19"/>
  <c r="M239" i="19"/>
  <c r="N239" i="19"/>
  <c r="P239" i="19"/>
  <c r="Q239" i="19"/>
  <c r="S239" i="19"/>
  <c r="V239" i="19"/>
  <c r="W239" i="19"/>
  <c r="X239" i="19"/>
  <c r="Z239" i="19"/>
  <c r="D237" i="32" s="1"/>
  <c r="AA239" i="19"/>
  <c r="D237" i="33" s="1"/>
  <c r="A240" i="19"/>
  <c r="B240" i="19"/>
  <c r="C240" i="19"/>
  <c r="D240" i="19"/>
  <c r="E240" i="19"/>
  <c r="F240" i="19"/>
  <c r="H240" i="19"/>
  <c r="I240" i="19"/>
  <c r="J240" i="19"/>
  <c r="K240" i="19"/>
  <c r="L240" i="19"/>
  <c r="M240" i="19"/>
  <c r="N240" i="19"/>
  <c r="P240" i="19"/>
  <c r="Q240" i="19"/>
  <c r="S240" i="19"/>
  <c r="V240" i="19"/>
  <c r="W240" i="19"/>
  <c r="X240" i="19"/>
  <c r="Z240" i="19"/>
  <c r="D238" i="32" s="1"/>
  <c r="AA240" i="19"/>
  <c r="D238" i="33" s="1"/>
  <c r="A241" i="19"/>
  <c r="B241" i="19"/>
  <c r="C241" i="19"/>
  <c r="D241" i="19"/>
  <c r="E241" i="19"/>
  <c r="F241" i="19"/>
  <c r="H241" i="19"/>
  <c r="I241" i="19"/>
  <c r="J241" i="19"/>
  <c r="K241" i="19"/>
  <c r="L241" i="19"/>
  <c r="M241" i="19"/>
  <c r="N241" i="19"/>
  <c r="P241" i="19"/>
  <c r="Q241" i="19"/>
  <c r="S241" i="19"/>
  <c r="V241" i="19"/>
  <c r="W241" i="19"/>
  <c r="X241" i="19"/>
  <c r="Z241" i="19"/>
  <c r="D239" i="32" s="1"/>
  <c r="AA241" i="19"/>
  <c r="D239" i="33" s="1"/>
  <c r="A242" i="19"/>
  <c r="B242" i="19"/>
  <c r="C242" i="19"/>
  <c r="D242" i="19"/>
  <c r="E242" i="19"/>
  <c r="F242" i="19"/>
  <c r="H242" i="19"/>
  <c r="I242" i="19"/>
  <c r="J242" i="19"/>
  <c r="K242" i="19"/>
  <c r="L242" i="19"/>
  <c r="M242" i="19"/>
  <c r="N242" i="19"/>
  <c r="P242" i="19"/>
  <c r="Q242" i="19"/>
  <c r="S242" i="19"/>
  <c r="V242" i="19"/>
  <c r="W242" i="19"/>
  <c r="X242" i="19"/>
  <c r="Z242" i="19"/>
  <c r="D240" i="32" s="1"/>
  <c r="AA242" i="19"/>
  <c r="D240" i="33" s="1"/>
  <c r="A243" i="19"/>
  <c r="B243" i="19"/>
  <c r="C243" i="19"/>
  <c r="D243" i="19"/>
  <c r="E243" i="19"/>
  <c r="F243" i="19"/>
  <c r="H243" i="19"/>
  <c r="I243" i="19"/>
  <c r="J243" i="19"/>
  <c r="K243" i="19"/>
  <c r="L243" i="19"/>
  <c r="M243" i="19"/>
  <c r="N243" i="19"/>
  <c r="P243" i="19"/>
  <c r="Q243" i="19"/>
  <c r="S243" i="19"/>
  <c r="V243" i="19"/>
  <c r="W243" i="19"/>
  <c r="X243" i="19"/>
  <c r="Z243" i="19"/>
  <c r="D241" i="32" s="1"/>
  <c r="AA243" i="19"/>
  <c r="D241" i="33" s="1"/>
  <c r="A244" i="19"/>
  <c r="B244" i="19"/>
  <c r="C244" i="19"/>
  <c r="D244" i="19"/>
  <c r="E244" i="19"/>
  <c r="F244" i="19"/>
  <c r="H244" i="19"/>
  <c r="I244" i="19"/>
  <c r="J244" i="19"/>
  <c r="K244" i="19"/>
  <c r="L244" i="19"/>
  <c r="M244" i="19"/>
  <c r="N244" i="19"/>
  <c r="P244" i="19"/>
  <c r="Q244" i="19"/>
  <c r="S244" i="19"/>
  <c r="V244" i="19"/>
  <c r="W244" i="19"/>
  <c r="X244" i="19"/>
  <c r="Z244" i="19"/>
  <c r="D242" i="32" s="1"/>
  <c r="AA244" i="19"/>
  <c r="D242" i="33" s="1"/>
  <c r="A245" i="19"/>
  <c r="B245" i="19"/>
  <c r="C245" i="19"/>
  <c r="D245" i="19"/>
  <c r="E245" i="19"/>
  <c r="F245" i="19"/>
  <c r="H245" i="19"/>
  <c r="I245" i="19"/>
  <c r="J245" i="19"/>
  <c r="K245" i="19"/>
  <c r="L245" i="19"/>
  <c r="M245" i="19"/>
  <c r="N245" i="19"/>
  <c r="P245" i="19"/>
  <c r="Q245" i="19"/>
  <c r="S245" i="19"/>
  <c r="V245" i="19"/>
  <c r="W245" i="19"/>
  <c r="X245" i="19"/>
  <c r="Z245" i="19"/>
  <c r="D243" i="32" s="1"/>
  <c r="AA245" i="19"/>
  <c r="D243" i="33" s="1"/>
  <c r="A246" i="19"/>
  <c r="B246" i="19"/>
  <c r="C246" i="19"/>
  <c r="D246" i="19"/>
  <c r="E246" i="19"/>
  <c r="F246" i="19"/>
  <c r="H246" i="19"/>
  <c r="I246" i="19"/>
  <c r="J246" i="19"/>
  <c r="K246" i="19"/>
  <c r="L246" i="19"/>
  <c r="M246" i="19"/>
  <c r="N246" i="19"/>
  <c r="P246" i="19"/>
  <c r="Q246" i="19"/>
  <c r="S246" i="19"/>
  <c r="V246" i="19"/>
  <c r="W246" i="19"/>
  <c r="X246" i="19"/>
  <c r="Z246" i="19"/>
  <c r="D244" i="32" s="1"/>
  <c r="AA246" i="19"/>
  <c r="D244" i="33" s="1"/>
  <c r="A247" i="19"/>
  <c r="B247" i="19"/>
  <c r="C247" i="19"/>
  <c r="D247" i="19"/>
  <c r="E247" i="19"/>
  <c r="F247" i="19"/>
  <c r="H247" i="19"/>
  <c r="I247" i="19"/>
  <c r="J247" i="19"/>
  <c r="K247" i="19"/>
  <c r="L247" i="19"/>
  <c r="M247" i="19"/>
  <c r="N247" i="19"/>
  <c r="P247" i="19"/>
  <c r="Q247" i="19"/>
  <c r="S247" i="19"/>
  <c r="V247" i="19"/>
  <c r="W247" i="19"/>
  <c r="X247" i="19"/>
  <c r="Z247" i="19"/>
  <c r="D245" i="32" s="1"/>
  <c r="AA247" i="19"/>
  <c r="D245" i="33" s="1"/>
  <c r="A248" i="19"/>
  <c r="B248" i="19"/>
  <c r="C248" i="19"/>
  <c r="D248" i="19"/>
  <c r="E248" i="19"/>
  <c r="F248" i="19"/>
  <c r="H248" i="19"/>
  <c r="I248" i="19"/>
  <c r="J248" i="19"/>
  <c r="K248" i="19"/>
  <c r="L248" i="19"/>
  <c r="M248" i="19"/>
  <c r="N248" i="19"/>
  <c r="P248" i="19"/>
  <c r="Q248" i="19"/>
  <c r="S248" i="19"/>
  <c r="V248" i="19"/>
  <c r="W248" i="19"/>
  <c r="X248" i="19"/>
  <c r="Z248" i="19"/>
  <c r="D246" i="32" s="1"/>
  <c r="AA248" i="19"/>
  <c r="D246" i="33" s="1"/>
  <c r="A249" i="19"/>
  <c r="B249" i="19"/>
  <c r="C249" i="19"/>
  <c r="D249" i="19"/>
  <c r="E249" i="19"/>
  <c r="F249" i="19"/>
  <c r="H249" i="19"/>
  <c r="I249" i="19"/>
  <c r="J249" i="19"/>
  <c r="K249" i="19"/>
  <c r="L249" i="19"/>
  <c r="M249" i="19"/>
  <c r="N249" i="19"/>
  <c r="P249" i="19"/>
  <c r="Q249" i="19"/>
  <c r="S249" i="19"/>
  <c r="V249" i="19"/>
  <c r="W249" i="19"/>
  <c r="X249" i="19"/>
  <c r="Z249" i="19"/>
  <c r="D247" i="32" s="1"/>
  <c r="AA249" i="19"/>
  <c r="D247" i="33" s="1"/>
  <c r="A250" i="19"/>
  <c r="B250" i="19"/>
  <c r="C250" i="19"/>
  <c r="D250" i="19"/>
  <c r="E250" i="19"/>
  <c r="F250" i="19"/>
  <c r="H250" i="19"/>
  <c r="I250" i="19"/>
  <c r="J250" i="19"/>
  <c r="K250" i="19"/>
  <c r="L250" i="19"/>
  <c r="M250" i="19"/>
  <c r="N250" i="19"/>
  <c r="P250" i="19"/>
  <c r="Q250" i="19"/>
  <c r="S250" i="19"/>
  <c r="V250" i="19"/>
  <c r="W250" i="19"/>
  <c r="X250" i="19"/>
  <c r="Z250" i="19"/>
  <c r="D248" i="32" s="1"/>
  <c r="AA250" i="19"/>
  <c r="D248" i="33" s="1"/>
  <c r="A251" i="19"/>
  <c r="B251" i="19"/>
  <c r="C251" i="19"/>
  <c r="D251" i="19"/>
  <c r="E251" i="19"/>
  <c r="F251" i="19"/>
  <c r="H251" i="19"/>
  <c r="I251" i="19"/>
  <c r="J251" i="19"/>
  <c r="K251" i="19"/>
  <c r="L251" i="19"/>
  <c r="M251" i="19"/>
  <c r="N251" i="19"/>
  <c r="P251" i="19"/>
  <c r="Q251" i="19"/>
  <c r="S251" i="19"/>
  <c r="V251" i="19"/>
  <c r="W251" i="19"/>
  <c r="X251" i="19"/>
  <c r="Z251" i="19"/>
  <c r="D249" i="32" s="1"/>
  <c r="AA251" i="19"/>
  <c r="D249" i="33" s="1"/>
  <c r="A252" i="19"/>
  <c r="B252" i="19"/>
  <c r="C252" i="19"/>
  <c r="D252" i="19"/>
  <c r="E252" i="19"/>
  <c r="F252" i="19"/>
  <c r="H252" i="19"/>
  <c r="I252" i="19"/>
  <c r="J252" i="19"/>
  <c r="K252" i="19"/>
  <c r="L252" i="19"/>
  <c r="M252" i="19"/>
  <c r="N252" i="19"/>
  <c r="P252" i="19"/>
  <c r="Q252" i="19"/>
  <c r="S252" i="19"/>
  <c r="V252" i="19"/>
  <c r="W252" i="19"/>
  <c r="X252" i="19"/>
  <c r="Z252" i="19"/>
  <c r="D250" i="32" s="1"/>
  <c r="AA252" i="19"/>
  <c r="D250" i="33" s="1"/>
  <c r="A253" i="19"/>
  <c r="B253" i="19"/>
  <c r="C253" i="19"/>
  <c r="D253" i="19"/>
  <c r="E253" i="19"/>
  <c r="F253" i="19"/>
  <c r="H253" i="19"/>
  <c r="I253" i="19"/>
  <c r="J253" i="19"/>
  <c r="K253" i="19"/>
  <c r="L253" i="19"/>
  <c r="M253" i="19"/>
  <c r="N253" i="19"/>
  <c r="P253" i="19"/>
  <c r="Q253" i="19"/>
  <c r="S253" i="19"/>
  <c r="V253" i="19"/>
  <c r="W253" i="19"/>
  <c r="X253" i="19"/>
  <c r="Z253" i="19"/>
  <c r="D251" i="32" s="1"/>
  <c r="AA253" i="19"/>
  <c r="D251" i="33" s="1"/>
  <c r="A254" i="19"/>
  <c r="B254" i="19"/>
  <c r="C254" i="19"/>
  <c r="D254" i="19"/>
  <c r="E254" i="19"/>
  <c r="F254" i="19"/>
  <c r="H254" i="19"/>
  <c r="I254" i="19"/>
  <c r="J254" i="19"/>
  <c r="K254" i="19"/>
  <c r="L254" i="19"/>
  <c r="M254" i="19"/>
  <c r="N254" i="19"/>
  <c r="P254" i="19"/>
  <c r="Q254" i="19"/>
  <c r="S254" i="19"/>
  <c r="V254" i="19"/>
  <c r="W254" i="19"/>
  <c r="X254" i="19"/>
  <c r="Z254" i="19"/>
  <c r="D252" i="32" s="1"/>
  <c r="AA254" i="19"/>
  <c r="D252" i="33" s="1"/>
  <c r="A255" i="19"/>
  <c r="B255" i="19"/>
  <c r="C255" i="19"/>
  <c r="D255" i="19"/>
  <c r="E255" i="19"/>
  <c r="F255" i="19"/>
  <c r="H255" i="19"/>
  <c r="I255" i="19"/>
  <c r="J255" i="19"/>
  <c r="K255" i="19"/>
  <c r="L255" i="19"/>
  <c r="M255" i="19"/>
  <c r="N255" i="19"/>
  <c r="P255" i="19"/>
  <c r="Q255" i="19"/>
  <c r="S255" i="19"/>
  <c r="V255" i="19"/>
  <c r="W255" i="19"/>
  <c r="X255" i="19"/>
  <c r="Z255" i="19"/>
  <c r="D253" i="32" s="1"/>
  <c r="AA255" i="19"/>
  <c r="D253" i="33" s="1"/>
  <c r="A256" i="19"/>
  <c r="B256" i="19"/>
  <c r="C256" i="19"/>
  <c r="D256" i="19"/>
  <c r="E256" i="19"/>
  <c r="F256" i="19"/>
  <c r="H256" i="19"/>
  <c r="I256" i="19"/>
  <c r="J256" i="19"/>
  <c r="K256" i="19"/>
  <c r="L256" i="19"/>
  <c r="M256" i="19"/>
  <c r="N256" i="19"/>
  <c r="P256" i="19"/>
  <c r="Q256" i="19"/>
  <c r="S256" i="19"/>
  <c r="V256" i="19"/>
  <c r="W256" i="19"/>
  <c r="X256" i="19"/>
  <c r="Z256" i="19"/>
  <c r="D254" i="32" s="1"/>
  <c r="AA256" i="19"/>
  <c r="D254" i="33" s="1"/>
  <c r="A257" i="19"/>
  <c r="B257" i="19"/>
  <c r="C257" i="19"/>
  <c r="D257" i="19"/>
  <c r="E257" i="19"/>
  <c r="F257" i="19"/>
  <c r="H257" i="19"/>
  <c r="I257" i="19"/>
  <c r="J257" i="19"/>
  <c r="K257" i="19"/>
  <c r="L257" i="19"/>
  <c r="M257" i="19"/>
  <c r="N257" i="19"/>
  <c r="P257" i="19"/>
  <c r="Q257" i="19"/>
  <c r="S257" i="19"/>
  <c r="V257" i="19"/>
  <c r="W257" i="19"/>
  <c r="X257" i="19"/>
  <c r="Z257" i="19"/>
  <c r="D255" i="32" s="1"/>
  <c r="AA257" i="19"/>
  <c r="D255" i="33" s="1"/>
  <c r="A258" i="19"/>
  <c r="B258" i="19"/>
  <c r="C258" i="19"/>
  <c r="D258" i="19"/>
  <c r="E258" i="19"/>
  <c r="F258" i="19"/>
  <c r="H258" i="19"/>
  <c r="I258" i="19"/>
  <c r="J258" i="19"/>
  <c r="K258" i="19"/>
  <c r="L258" i="19"/>
  <c r="M258" i="19"/>
  <c r="N258" i="19"/>
  <c r="P258" i="19"/>
  <c r="Q258" i="19"/>
  <c r="S258" i="19"/>
  <c r="V258" i="19"/>
  <c r="W258" i="19"/>
  <c r="X258" i="19"/>
  <c r="Z258" i="19"/>
  <c r="D256" i="32" s="1"/>
  <c r="AA258" i="19"/>
  <c r="D256" i="33" s="1"/>
  <c r="A259" i="19"/>
  <c r="B259" i="19"/>
  <c r="C259" i="19"/>
  <c r="D259" i="19"/>
  <c r="E259" i="19"/>
  <c r="F259" i="19"/>
  <c r="H259" i="19"/>
  <c r="I259" i="19"/>
  <c r="J259" i="19"/>
  <c r="K259" i="19"/>
  <c r="L259" i="19"/>
  <c r="M259" i="19"/>
  <c r="N259" i="19"/>
  <c r="P259" i="19"/>
  <c r="Q259" i="19"/>
  <c r="S259" i="19"/>
  <c r="V259" i="19"/>
  <c r="W259" i="19"/>
  <c r="X259" i="19"/>
  <c r="Z259" i="19"/>
  <c r="D257" i="32" s="1"/>
  <c r="AA259" i="19"/>
  <c r="D257" i="33" s="1"/>
  <c r="A260" i="19"/>
  <c r="B260" i="19"/>
  <c r="C260" i="19"/>
  <c r="D260" i="19"/>
  <c r="E260" i="19"/>
  <c r="F260" i="19"/>
  <c r="H260" i="19"/>
  <c r="I260" i="19"/>
  <c r="J260" i="19"/>
  <c r="K260" i="19"/>
  <c r="L260" i="19"/>
  <c r="M260" i="19"/>
  <c r="N260" i="19"/>
  <c r="P260" i="19"/>
  <c r="Q260" i="19"/>
  <c r="S260" i="19"/>
  <c r="V260" i="19"/>
  <c r="W260" i="19"/>
  <c r="X260" i="19"/>
  <c r="Z260" i="19"/>
  <c r="D258" i="32" s="1"/>
  <c r="AA260" i="19"/>
  <c r="D258" i="33" s="1"/>
  <c r="A261" i="19"/>
  <c r="B261" i="19"/>
  <c r="C261" i="19"/>
  <c r="D261" i="19"/>
  <c r="E261" i="19"/>
  <c r="F261" i="19"/>
  <c r="H261" i="19"/>
  <c r="I261" i="19"/>
  <c r="J261" i="19"/>
  <c r="K261" i="19"/>
  <c r="L261" i="19"/>
  <c r="M261" i="19"/>
  <c r="N261" i="19"/>
  <c r="P261" i="19"/>
  <c r="Q261" i="19"/>
  <c r="S261" i="19"/>
  <c r="V261" i="19"/>
  <c r="W261" i="19"/>
  <c r="X261" i="19"/>
  <c r="Z261" i="19"/>
  <c r="D259" i="32" s="1"/>
  <c r="AA261" i="19"/>
  <c r="D259" i="33" s="1"/>
  <c r="A262" i="19"/>
  <c r="B262" i="19"/>
  <c r="C262" i="19"/>
  <c r="D262" i="19"/>
  <c r="E262" i="19"/>
  <c r="F262" i="19"/>
  <c r="H262" i="19"/>
  <c r="I262" i="19"/>
  <c r="J262" i="19"/>
  <c r="K262" i="19"/>
  <c r="L262" i="19"/>
  <c r="M262" i="19"/>
  <c r="N262" i="19"/>
  <c r="P262" i="19"/>
  <c r="Q262" i="19"/>
  <c r="S262" i="19"/>
  <c r="V262" i="19"/>
  <c r="W262" i="19"/>
  <c r="X262" i="19"/>
  <c r="Z262" i="19"/>
  <c r="D260" i="32" s="1"/>
  <c r="AA262" i="19"/>
  <c r="D260" i="33" s="1"/>
  <c r="A263" i="19"/>
  <c r="B263" i="19"/>
  <c r="C263" i="19"/>
  <c r="D263" i="19"/>
  <c r="E263" i="19"/>
  <c r="F263" i="19"/>
  <c r="H263" i="19"/>
  <c r="I263" i="19"/>
  <c r="J263" i="19"/>
  <c r="K263" i="19"/>
  <c r="L263" i="19"/>
  <c r="M263" i="19"/>
  <c r="N263" i="19"/>
  <c r="P263" i="19"/>
  <c r="Q263" i="19"/>
  <c r="S263" i="19"/>
  <c r="V263" i="19"/>
  <c r="W263" i="19"/>
  <c r="X263" i="19"/>
  <c r="Z263" i="19"/>
  <c r="D261" i="32" s="1"/>
  <c r="AA263" i="19"/>
  <c r="D261" i="33" s="1"/>
  <c r="A264" i="19"/>
  <c r="B264" i="19"/>
  <c r="C264" i="19"/>
  <c r="D264" i="19"/>
  <c r="E264" i="19"/>
  <c r="F264" i="19"/>
  <c r="H264" i="19"/>
  <c r="I264" i="19"/>
  <c r="J264" i="19"/>
  <c r="K264" i="19"/>
  <c r="L264" i="19"/>
  <c r="M264" i="19"/>
  <c r="N264" i="19"/>
  <c r="P264" i="19"/>
  <c r="Q264" i="19"/>
  <c r="S264" i="19"/>
  <c r="V264" i="19"/>
  <c r="W264" i="19"/>
  <c r="X264" i="19"/>
  <c r="Z264" i="19"/>
  <c r="D262" i="32" s="1"/>
  <c r="AA264" i="19"/>
  <c r="D262" i="33" s="1"/>
  <c r="A265" i="19"/>
  <c r="B265" i="19"/>
  <c r="C265" i="19"/>
  <c r="D265" i="19"/>
  <c r="E265" i="19"/>
  <c r="F265" i="19"/>
  <c r="H265" i="19"/>
  <c r="I265" i="19"/>
  <c r="J265" i="19"/>
  <c r="K265" i="19"/>
  <c r="L265" i="19"/>
  <c r="M265" i="19"/>
  <c r="N265" i="19"/>
  <c r="P265" i="19"/>
  <c r="Q265" i="19"/>
  <c r="S265" i="19"/>
  <c r="V265" i="19"/>
  <c r="W265" i="19"/>
  <c r="X265" i="19"/>
  <c r="Z265" i="19"/>
  <c r="D263" i="32" s="1"/>
  <c r="AA265" i="19"/>
  <c r="D263" i="33" s="1"/>
  <c r="A266" i="19"/>
  <c r="B266" i="19"/>
  <c r="C266" i="19"/>
  <c r="D266" i="19"/>
  <c r="E266" i="19"/>
  <c r="F266" i="19"/>
  <c r="H266" i="19"/>
  <c r="I266" i="19"/>
  <c r="J266" i="19"/>
  <c r="K266" i="19"/>
  <c r="L266" i="19"/>
  <c r="M266" i="19"/>
  <c r="N266" i="19"/>
  <c r="P266" i="19"/>
  <c r="Q266" i="19"/>
  <c r="S266" i="19"/>
  <c r="V266" i="19"/>
  <c r="W266" i="19"/>
  <c r="X266" i="19"/>
  <c r="Z266" i="19"/>
  <c r="D264" i="32" s="1"/>
  <c r="AA266" i="19"/>
  <c r="D264" i="33" s="1"/>
  <c r="A267" i="19"/>
  <c r="B267" i="19"/>
  <c r="C267" i="19"/>
  <c r="D267" i="19"/>
  <c r="E267" i="19"/>
  <c r="F267" i="19"/>
  <c r="H267" i="19"/>
  <c r="I267" i="19"/>
  <c r="J267" i="19"/>
  <c r="K267" i="19"/>
  <c r="L267" i="19"/>
  <c r="M267" i="19"/>
  <c r="N267" i="19"/>
  <c r="P267" i="19"/>
  <c r="Q267" i="19"/>
  <c r="S267" i="19"/>
  <c r="V267" i="19"/>
  <c r="W267" i="19"/>
  <c r="X267" i="19"/>
  <c r="Z267" i="19"/>
  <c r="D265" i="32" s="1"/>
  <c r="AA267" i="19"/>
  <c r="D265" i="33" s="1"/>
  <c r="A268" i="19"/>
  <c r="B268" i="19"/>
  <c r="C268" i="19"/>
  <c r="D268" i="19"/>
  <c r="E268" i="19"/>
  <c r="F268" i="19"/>
  <c r="H268" i="19"/>
  <c r="I268" i="19"/>
  <c r="J268" i="19"/>
  <c r="K268" i="19"/>
  <c r="L268" i="19"/>
  <c r="M268" i="19"/>
  <c r="N268" i="19"/>
  <c r="P268" i="19"/>
  <c r="Q268" i="19"/>
  <c r="S268" i="19"/>
  <c r="V268" i="19"/>
  <c r="W268" i="19"/>
  <c r="X268" i="19"/>
  <c r="Z268" i="19"/>
  <c r="D266" i="32" s="1"/>
  <c r="AA268" i="19"/>
  <c r="D266" i="33" s="1"/>
  <c r="A269" i="19"/>
  <c r="B269" i="19"/>
  <c r="C269" i="19"/>
  <c r="D269" i="19"/>
  <c r="E269" i="19"/>
  <c r="F269" i="19"/>
  <c r="H269" i="19"/>
  <c r="I269" i="19"/>
  <c r="J269" i="19"/>
  <c r="K269" i="19"/>
  <c r="L269" i="19"/>
  <c r="M269" i="19"/>
  <c r="N269" i="19"/>
  <c r="P269" i="19"/>
  <c r="Q269" i="19"/>
  <c r="S269" i="19"/>
  <c r="V269" i="19"/>
  <c r="W269" i="19"/>
  <c r="X269" i="19"/>
  <c r="Z269" i="19"/>
  <c r="D267" i="32" s="1"/>
  <c r="AA269" i="19"/>
  <c r="D267" i="33" s="1"/>
  <c r="A270" i="19"/>
  <c r="B270" i="19"/>
  <c r="C270" i="19"/>
  <c r="D270" i="19"/>
  <c r="E270" i="19"/>
  <c r="F270" i="19"/>
  <c r="H270" i="19"/>
  <c r="I270" i="19"/>
  <c r="J270" i="19"/>
  <c r="K270" i="19"/>
  <c r="L270" i="19"/>
  <c r="M270" i="19"/>
  <c r="N270" i="19"/>
  <c r="P270" i="19"/>
  <c r="Q270" i="19"/>
  <c r="S270" i="19"/>
  <c r="V270" i="19"/>
  <c r="W270" i="19"/>
  <c r="X270" i="19"/>
  <c r="Z270" i="19"/>
  <c r="D268" i="32" s="1"/>
  <c r="AA270" i="19"/>
  <c r="D268" i="33" s="1"/>
  <c r="A271" i="19"/>
  <c r="B271" i="19"/>
  <c r="C271" i="19"/>
  <c r="D271" i="19"/>
  <c r="E271" i="19"/>
  <c r="F271" i="19"/>
  <c r="H271" i="19"/>
  <c r="I271" i="19"/>
  <c r="J271" i="19"/>
  <c r="K271" i="19"/>
  <c r="L271" i="19"/>
  <c r="M271" i="19"/>
  <c r="N271" i="19"/>
  <c r="P271" i="19"/>
  <c r="Q271" i="19"/>
  <c r="O271" i="19" s="1"/>
  <c r="S271" i="19"/>
  <c r="V271" i="19"/>
  <c r="W271" i="19"/>
  <c r="X271" i="19"/>
  <c r="Z271" i="19"/>
  <c r="D269" i="32" s="1"/>
  <c r="AA271" i="19"/>
  <c r="D269" i="33" s="1"/>
  <c r="A272" i="19"/>
  <c r="B272" i="19"/>
  <c r="C272" i="19"/>
  <c r="D272" i="19"/>
  <c r="E272" i="19"/>
  <c r="F272" i="19"/>
  <c r="H272" i="19"/>
  <c r="I272" i="19"/>
  <c r="J272" i="19"/>
  <c r="K272" i="19"/>
  <c r="L272" i="19"/>
  <c r="M272" i="19"/>
  <c r="N272" i="19"/>
  <c r="P272" i="19"/>
  <c r="Q272" i="19"/>
  <c r="S272" i="19"/>
  <c r="V272" i="19"/>
  <c r="W272" i="19"/>
  <c r="X272" i="19"/>
  <c r="Z272" i="19"/>
  <c r="D270" i="32" s="1"/>
  <c r="AA272" i="19"/>
  <c r="D270" i="33" s="1"/>
  <c r="A273" i="19"/>
  <c r="B273" i="19"/>
  <c r="C273" i="19"/>
  <c r="D273" i="19"/>
  <c r="E273" i="19"/>
  <c r="F273" i="19"/>
  <c r="H273" i="19"/>
  <c r="I273" i="19"/>
  <c r="J273" i="19"/>
  <c r="K273" i="19"/>
  <c r="L273" i="19"/>
  <c r="M273" i="19"/>
  <c r="N273" i="19"/>
  <c r="P273" i="19"/>
  <c r="Q273" i="19"/>
  <c r="S273" i="19"/>
  <c r="V273" i="19"/>
  <c r="W273" i="19"/>
  <c r="X273" i="19"/>
  <c r="Z273" i="19"/>
  <c r="D271" i="32" s="1"/>
  <c r="AA273" i="19"/>
  <c r="D271" i="33" s="1"/>
  <c r="A274" i="19"/>
  <c r="B274" i="19"/>
  <c r="C274" i="19"/>
  <c r="D274" i="19"/>
  <c r="E274" i="19"/>
  <c r="F274" i="19"/>
  <c r="H274" i="19"/>
  <c r="I274" i="19"/>
  <c r="J274" i="19"/>
  <c r="K274" i="19"/>
  <c r="L274" i="19"/>
  <c r="M274" i="19"/>
  <c r="N274" i="19"/>
  <c r="P274" i="19"/>
  <c r="Q274" i="19"/>
  <c r="S274" i="19"/>
  <c r="V274" i="19"/>
  <c r="W274" i="19"/>
  <c r="X274" i="19"/>
  <c r="Z274" i="19"/>
  <c r="D272" i="32" s="1"/>
  <c r="AA274" i="19"/>
  <c r="D272" i="33" s="1"/>
  <c r="A275" i="19"/>
  <c r="B275" i="19"/>
  <c r="C275" i="19"/>
  <c r="D275" i="19"/>
  <c r="E275" i="19"/>
  <c r="F275" i="19"/>
  <c r="H275" i="19"/>
  <c r="I275" i="19"/>
  <c r="J275" i="19"/>
  <c r="K275" i="19"/>
  <c r="L275" i="19"/>
  <c r="M275" i="19"/>
  <c r="N275" i="19"/>
  <c r="P275" i="19"/>
  <c r="Q275" i="19"/>
  <c r="S275" i="19"/>
  <c r="V275" i="19"/>
  <c r="W275" i="19"/>
  <c r="X275" i="19"/>
  <c r="Z275" i="19"/>
  <c r="D273" i="32" s="1"/>
  <c r="AA275" i="19"/>
  <c r="D273" i="33" s="1"/>
  <c r="A276" i="19"/>
  <c r="B276" i="19"/>
  <c r="C276" i="19"/>
  <c r="D276" i="19"/>
  <c r="E276" i="19"/>
  <c r="F276" i="19"/>
  <c r="H276" i="19"/>
  <c r="I276" i="19"/>
  <c r="J276" i="19"/>
  <c r="K276" i="19"/>
  <c r="L276" i="19"/>
  <c r="M276" i="19"/>
  <c r="N276" i="19"/>
  <c r="P276" i="19"/>
  <c r="Q276" i="19"/>
  <c r="S276" i="19"/>
  <c r="V276" i="19"/>
  <c r="W276" i="19"/>
  <c r="X276" i="19"/>
  <c r="Z276" i="19"/>
  <c r="D274" i="32" s="1"/>
  <c r="AA276" i="19"/>
  <c r="D274" i="33" s="1"/>
  <c r="A277" i="19"/>
  <c r="B277" i="19"/>
  <c r="C277" i="19"/>
  <c r="D277" i="19"/>
  <c r="E277" i="19"/>
  <c r="F277" i="19"/>
  <c r="H277" i="19"/>
  <c r="I277" i="19"/>
  <c r="J277" i="19"/>
  <c r="K277" i="19"/>
  <c r="L277" i="19"/>
  <c r="M277" i="19"/>
  <c r="N277" i="19"/>
  <c r="P277" i="19"/>
  <c r="Q277" i="19"/>
  <c r="S277" i="19"/>
  <c r="V277" i="19"/>
  <c r="W277" i="19"/>
  <c r="X277" i="19"/>
  <c r="Z277" i="19"/>
  <c r="D275" i="32" s="1"/>
  <c r="AA277" i="19"/>
  <c r="D275" i="33" s="1"/>
  <c r="A278" i="19"/>
  <c r="B278" i="19"/>
  <c r="C278" i="19"/>
  <c r="D278" i="19"/>
  <c r="E278" i="19"/>
  <c r="F278" i="19"/>
  <c r="H278" i="19"/>
  <c r="I278" i="19"/>
  <c r="J278" i="19"/>
  <c r="K278" i="19"/>
  <c r="L278" i="19"/>
  <c r="M278" i="19"/>
  <c r="N278" i="19"/>
  <c r="P278" i="19"/>
  <c r="Q278" i="19"/>
  <c r="S278" i="19"/>
  <c r="V278" i="19"/>
  <c r="W278" i="19"/>
  <c r="X278" i="19"/>
  <c r="Z278" i="19"/>
  <c r="D276" i="32" s="1"/>
  <c r="AA278" i="19"/>
  <c r="D276" i="33" s="1"/>
  <c r="A279" i="19"/>
  <c r="B279" i="19"/>
  <c r="C279" i="19"/>
  <c r="D279" i="19"/>
  <c r="E279" i="19"/>
  <c r="F279" i="19"/>
  <c r="H279" i="19"/>
  <c r="I279" i="19"/>
  <c r="J279" i="19"/>
  <c r="K279" i="19"/>
  <c r="L279" i="19"/>
  <c r="M279" i="19"/>
  <c r="N279" i="19"/>
  <c r="P279" i="19"/>
  <c r="Q279" i="19"/>
  <c r="S279" i="19"/>
  <c r="V279" i="19"/>
  <c r="W279" i="19"/>
  <c r="X279" i="19"/>
  <c r="Z279" i="19"/>
  <c r="D277" i="32" s="1"/>
  <c r="AA279" i="19"/>
  <c r="D277" i="33" s="1"/>
  <c r="A280" i="19"/>
  <c r="B280" i="19"/>
  <c r="C280" i="19"/>
  <c r="D280" i="19"/>
  <c r="E280" i="19"/>
  <c r="F280" i="19"/>
  <c r="H280" i="19"/>
  <c r="I280" i="19"/>
  <c r="J280" i="19"/>
  <c r="K280" i="19"/>
  <c r="L280" i="19"/>
  <c r="M280" i="19"/>
  <c r="N280" i="19"/>
  <c r="P280" i="19"/>
  <c r="Q280" i="19"/>
  <c r="S280" i="19"/>
  <c r="V280" i="19"/>
  <c r="W280" i="19"/>
  <c r="X280" i="19"/>
  <c r="Z280" i="19"/>
  <c r="D278" i="32" s="1"/>
  <c r="AA280" i="19"/>
  <c r="D278" i="33" s="1"/>
  <c r="A281" i="19"/>
  <c r="B281" i="19"/>
  <c r="C281" i="19"/>
  <c r="D281" i="19"/>
  <c r="E281" i="19"/>
  <c r="F281" i="19"/>
  <c r="H281" i="19"/>
  <c r="I281" i="19"/>
  <c r="J281" i="19"/>
  <c r="K281" i="19"/>
  <c r="L281" i="19"/>
  <c r="M281" i="19"/>
  <c r="N281" i="19"/>
  <c r="P281" i="19"/>
  <c r="Q281" i="19"/>
  <c r="S281" i="19"/>
  <c r="V281" i="19"/>
  <c r="W281" i="19"/>
  <c r="X281" i="19"/>
  <c r="Z281" i="19"/>
  <c r="D279" i="32" s="1"/>
  <c r="AA281" i="19"/>
  <c r="D279" i="33" s="1"/>
  <c r="A282" i="19"/>
  <c r="B282" i="19"/>
  <c r="C282" i="19"/>
  <c r="D282" i="19"/>
  <c r="E282" i="19"/>
  <c r="F282" i="19"/>
  <c r="H282" i="19"/>
  <c r="I282" i="19"/>
  <c r="J282" i="19"/>
  <c r="K282" i="19"/>
  <c r="L282" i="19"/>
  <c r="M282" i="19"/>
  <c r="N282" i="19"/>
  <c r="P282" i="19"/>
  <c r="Q282" i="19"/>
  <c r="S282" i="19"/>
  <c r="V282" i="19"/>
  <c r="W282" i="19"/>
  <c r="X282" i="19"/>
  <c r="Z282" i="19"/>
  <c r="D280" i="32" s="1"/>
  <c r="AA282" i="19"/>
  <c r="D280" i="33" s="1"/>
  <c r="A283" i="19"/>
  <c r="B283" i="19"/>
  <c r="C283" i="19"/>
  <c r="D283" i="19"/>
  <c r="E283" i="19"/>
  <c r="F283" i="19"/>
  <c r="H283" i="19"/>
  <c r="I283" i="19"/>
  <c r="J283" i="19"/>
  <c r="K283" i="19"/>
  <c r="L283" i="19"/>
  <c r="M283" i="19"/>
  <c r="N283" i="19"/>
  <c r="P283" i="19"/>
  <c r="Q283" i="19"/>
  <c r="S283" i="19"/>
  <c r="V283" i="19"/>
  <c r="W283" i="19"/>
  <c r="X283" i="19"/>
  <c r="Z283" i="19"/>
  <c r="D281" i="32" s="1"/>
  <c r="AA283" i="19"/>
  <c r="D281" i="33" s="1"/>
  <c r="A284" i="19"/>
  <c r="B284" i="19"/>
  <c r="C284" i="19"/>
  <c r="D284" i="19"/>
  <c r="E284" i="19"/>
  <c r="F284" i="19"/>
  <c r="H284" i="19"/>
  <c r="I284" i="19"/>
  <c r="J284" i="19"/>
  <c r="K284" i="19"/>
  <c r="L284" i="19"/>
  <c r="M284" i="19"/>
  <c r="N284" i="19"/>
  <c r="P284" i="19"/>
  <c r="O284" i="19" s="1"/>
  <c r="Q284" i="19"/>
  <c r="S284" i="19"/>
  <c r="V284" i="19"/>
  <c r="W284" i="19"/>
  <c r="X284" i="19"/>
  <c r="Z284" i="19"/>
  <c r="D282" i="32" s="1"/>
  <c r="AA284" i="19"/>
  <c r="D282" i="33" s="1"/>
  <c r="A285" i="19"/>
  <c r="B285" i="19"/>
  <c r="C285" i="19"/>
  <c r="D285" i="19"/>
  <c r="E285" i="19"/>
  <c r="F285" i="19"/>
  <c r="H285" i="19"/>
  <c r="I285" i="19"/>
  <c r="J285" i="19"/>
  <c r="K285" i="19"/>
  <c r="L285" i="19"/>
  <c r="M285" i="19"/>
  <c r="N285" i="19"/>
  <c r="P285" i="19"/>
  <c r="Q285" i="19"/>
  <c r="S285" i="19"/>
  <c r="V285" i="19"/>
  <c r="W285" i="19"/>
  <c r="X285" i="19"/>
  <c r="Z285" i="19"/>
  <c r="D283" i="32" s="1"/>
  <c r="AA285" i="19"/>
  <c r="D283" i="33" s="1"/>
  <c r="A286" i="19"/>
  <c r="B286" i="19"/>
  <c r="C286" i="19"/>
  <c r="D286" i="19"/>
  <c r="E286" i="19"/>
  <c r="F286" i="19"/>
  <c r="H286" i="19"/>
  <c r="I286" i="19"/>
  <c r="J286" i="19"/>
  <c r="K286" i="19"/>
  <c r="L286" i="19"/>
  <c r="M286" i="19"/>
  <c r="N286" i="19"/>
  <c r="P286" i="19"/>
  <c r="Q286" i="19"/>
  <c r="S286" i="19"/>
  <c r="V286" i="19"/>
  <c r="W286" i="19"/>
  <c r="X286" i="19"/>
  <c r="Z286" i="19"/>
  <c r="D284" i="32" s="1"/>
  <c r="AA286" i="19"/>
  <c r="D284" i="33" s="1"/>
  <c r="A287" i="19"/>
  <c r="B287" i="19"/>
  <c r="C287" i="19"/>
  <c r="D287" i="19"/>
  <c r="E287" i="19"/>
  <c r="F287" i="19"/>
  <c r="H287" i="19"/>
  <c r="I287" i="19"/>
  <c r="J287" i="19"/>
  <c r="K287" i="19"/>
  <c r="L287" i="19"/>
  <c r="M287" i="19"/>
  <c r="N287" i="19"/>
  <c r="P287" i="19"/>
  <c r="Q287" i="19"/>
  <c r="S287" i="19"/>
  <c r="V287" i="19"/>
  <c r="W287" i="19"/>
  <c r="X287" i="19"/>
  <c r="Z287" i="19"/>
  <c r="D285" i="32" s="1"/>
  <c r="AA287" i="19"/>
  <c r="D285" i="33" s="1"/>
  <c r="A288" i="19"/>
  <c r="B288" i="19"/>
  <c r="C288" i="19"/>
  <c r="D288" i="19"/>
  <c r="E288" i="19"/>
  <c r="F288" i="19"/>
  <c r="H288" i="19"/>
  <c r="I288" i="19"/>
  <c r="J288" i="19"/>
  <c r="K288" i="19"/>
  <c r="L288" i="19"/>
  <c r="M288" i="19"/>
  <c r="N288" i="19"/>
  <c r="P288" i="19"/>
  <c r="Q288" i="19"/>
  <c r="S288" i="19"/>
  <c r="V288" i="19"/>
  <c r="W288" i="19"/>
  <c r="X288" i="19"/>
  <c r="Z288" i="19"/>
  <c r="D286" i="32" s="1"/>
  <c r="AA288" i="19"/>
  <c r="D286" i="33" s="1"/>
  <c r="A289" i="19"/>
  <c r="B289" i="19"/>
  <c r="C289" i="19"/>
  <c r="D289" i="19"/>
  <c r="E289" i="19"/>
  <c r="F289" i="19"/>
  <c r="H289" i="19"/>
  <c r="I289" i="19"/>
  <c r="J289" i="19"/>
  <c r="K289" i="19"/>
  <c r="L289" i="19"/>
  <c r="M289" i="19"/>
  <c r="N289" i="19"/>
  <c r="P289" i="19"/>
  <c r="Q289" i="19"/>
  <c r="S289" i="19"/>
  <c r="V289" i="19"/>
  <c r="W289" i="19"/>
  <c r="X289" i="19"/>
  <c r="Z289" i="19"/>
  <c r="D287" i="32" s="1"/>
  <c r="AA289" i="19"/>
  <c r="D287" i="33" s="1"/>
  <c r="A290" i="19"/>
  <c r="B290" i="19"/>
  <c r="C290" i="19"/>
  <c r="D290" i="19"/>
  <c r="E290" i="19"/>
  <c r="F290" i="19"/>
  <c r="H290" i="19"/>
  <c r="I290" i="19"/>
  <c r="J290" i="19"/>
  <c r="K290" i="19"/>
  <c r="L290" i="19"/>
  <c r="M290" i="19"/>
  <c r="N290" i="19"/>
  <c r="P290" i="19"/>
  <c r="Q290" i="19"/>
  <c r="S290" i="19"/>
  <c r="V290" i="19"/>
  <c r="W290" i="19"/>
  <c r="X290" i="19"/>
  <c r="Z290" i="19"/>
  <c r="D288" i="32" s="1"/>
  <c r="AA290" i="19"/>
  <c r="D288" i="33" s="1"/>
  <c r="A291" i="19"/>
  <c r="B291" i="19"/>
  <c r="C291" i="19"/>
  <c r="D291" i="19"/>
  <c r="E291" i="19"/>
  <c r="F291" i="19"/>
  <c r="H291" i="19"/>
  <c r="I291" i="19"/>
  <c r="J291" i="19"/>
  <c r="K291" i="19"/>
  <c r="L291" i="19"/>
  <c r="M291" i="19"/>
  <c r="N291" i="19"/>
  <c r="P291" i="19"/>
  <c r="Q291" i="19"/>
  <c r="S291" i="19"/>
  <c r="V291" i="19"/>
  <c r="W291" i="19"/>
  <c r="X291" i="19"/>
  <c r="Z291" i="19"/>
  <c r="D289" i="32" s="1"/>
  <c r="AA291" i="19"/>
  <c r="D289" i="33" s="1"/>
  <c r="A292" i="19"/>
  <c r="B292" i="19"/>
  <c r="C292" i="19"/>
  <c r="D292" i="19"/>
  <c r="E292" i="19"/>
  <c r="F292" i="19"/>
  <c r="H292" i="19"/>
  <c r="I292" i="19"/>
  <c r="J292" i="19"/>
  <c r="K292" i="19"/>
  <c r="L292" i="19"/>
  <c r="M292" i="19"/>
  <c r="N292" i="19"/>
  <c r="P292" i="19"/>
  <c r="O292" i="19" s="1"/>
  <c r="Q292" i="19"/>
  <c r="S292" i="19"/>
  <c r="V292" i="19"/>
  <c r="W292" i="19"/>
  <c r="X292" i="19"/>
  <c r="Z292" i="19"/>
  <c r="D290" i="32" s="1"/>
  <c r="AA292" i="19"/>
  <c r="D290" i="33" s="1"/>
  <c r="A293" i="19"/>
  <c r="B293" i="19"/>
  <c r="C293" i="19"/>
  <c r="D293" i="19"/>
  <c r="E293" i="19"/>
  <c r="F293" i="19"/>
  <c r="H293" i="19"/>
  <c r="I293" i="19"/>
  <c r="J293" i="19"/>
  <c r="K293" i="19"/>
  <c r="L293" i="19"/>
  <c r="M293" i="19"/>
  <c r="N293" i="19"/>
  <c r="P293" i="19"/>
  <c r="Q293" i="19"/>
  <c r="S293" i="19"/>
  <c r="V293" i="19"/>
  <c r="W293" i="19"/>
  <c r="X293" i="19"/>
  <c r="Z293" i="19"/>
  <c r="D291" i="32" s="1"/>
  <c r="AA293" i="19"/>
  <c r="D291" i="33" s="1"/>
  <c r="A294" i="19"/>
  <c r="B294" i="19"/>
  <c r="C294" i="19"/>
  <c r="D294" i="19"/>
  <c r="E294" i="19"/>
  <c r="F294" i="19"/>
  <c r="H294" i="19"/>
  <c r="I294" i="19"/>
  <c r="J294" i="19"/>
  <c r="K294" i="19"/>
  <c r="L294" i="19"/>
  <c r="M294" i="19"/>
  <c r="N294" i="19"/>
  <c r="P294" i="19"/>
  <c r="Q294" i="19"/>
  <c r="S294" i="19"/>
  <c r="V294" i="19"/>
  <c r="W294" i="19"/>
  <c r="X294" i="19"/>
  <c r="Z294" i="19"/>
  <c r="D292" i="32" s="1"/>
  <c r="AA294" i="19"/>
  <c r="D292" i="33" s="1"/>
  <c r="A295" i="19"/>
  <c r="B295" i="19"/>
  <c r="C295" i="19"/>
  <c r="D295" i="19"/>
  <c r="E295" i="19"/>
  <c r="F295" i="19"/>
  <c r="H295" i="19"/>
  <c r="I295" i="19"/>
  <c r="J295" i="19"/>
  <c r="K295" i="19"/>
  <c r="L295" i="19"/>
  <c r="M295" i="19"/>
  <c r="N295" i="19"/>
  <c r="P295" i="19"/>
  <c r="Q295" i="19"/>
  <c r="S295" i="19"/>
  <c r="V295" i="19"/>
  <c r="W295" i="19"/>
  <c r="X295" i="19"/>
  <c r="Z295" i="19"/>
  <c r="D293" i="32" s="1"/>
  <c r="AA295" i="19"/>
  <c r="D293" i="33" s="1"/>
  <c r="A296" i="19"/>
  <c r="B296" i="19"/>
  <c r="C296" i="19"/>
  <c r="D296" i="19"/>
  <c r="E296" i="19"/>
  <c r="F296" i="19"/>
  <c r="H296" i="19"/>
  <c r="I296" i="19"/>
  <c r="J296" i="19"/>
  <c r="K296" i="19"/>
  <c r="L296" i="19"/>
  <c r="M296" i="19"/>
  <c r="N296" i="19"/>
  <c r="P296" i="19"/>
  <c r="Q296" i="19"/>
  <c r="S296" i="19"/>
  <c r="V296" i="19"/>
  <c r="W296" i="19"/>
  <c r="X296" i="19"/>
  <c r="Z296" i="19"/>
  <c r="D294" i="32" s="1"/>
  <c r="AA296" i="19"/>
  <c r="D294" i="33" s="1"/>
  <c r="A297" i="19"/>
  <c r="B297" i="19"/>
  <c r="C297" i="19"/>
  <c r="D297" i="19"/>
  <c r="E297" i="19"/>
  <c r="F297" i="19"/>
  <c r="H297" i="19"/>
  <c r="I297" i="19"/>
  <c r="J297" i="19"/>
  <c r="K297" i="19"/>
  <c r="L297" i="19"/>
  <c r="M297" i="19"/>
  <c r="N297" i="19"/>
  <c r="P297" i="19"/>
  <c r="Q297" i="19"/>
  <c r="S297" i="19"/>
  <c r="V297" i="19"/>
  <c r="W297" i="19"/>
  <c r="X297" i="19"/>
  <c r="Z297" i="19"/>
  <c r="D295" i="32" s="1"/>
  <c r="AA297" i="19"/>
  <c r="D295" i="33" s="1"/>
  <c r="A298" i="19"/>
  <c r="B298" i="19"/>
  <c r="C298" i="19"/>
  <c r="D298" i="19"/>
  <c r="E298" i="19"/>
  <c r="F298" i="19"/>
  <c r="H298" i="19"/>
  <c r="I298" i="19"/>
  <c r="J298" i="19"/>
  <c r="K298" i="19"/>
  <c r="L298" i="19"/>
  <c r="M298" i="19"/>
  <c r="N298" i="19"/>
  <c r="P298" i="19"/>
  <c r="Q298" i="19"/>
  <c r="S298" i="19"/>
  <c r="V298" i="19"/>
  <c r="W298" i="19"/>
  <c r="X298" i="19"/>
  <c r="Z298" i="19"/>
  <c r="D296" i="32" s="1"/>
  <c r="AA298" i="19"/>
  <c r="D296" i="33" s="1"/>
  <c r="A299" i="19"/>
  <c r="B299" i="19"/>
  <c r="C299" i="19"/>
  <c r="D299" i="19"/>
  <c r="E299" i="19"/>
  <c r="F299" i="19"/>
  <c r="H299" i="19"/>
  <c r="I299" i="19"/>
  <c r="J299" i="19"/>
  <c r="K299" i="19"/>
  <c r="L299" i="19"/>
  <c r="M299" i="19"/>
  <c r="N299" i="19"/>
  <c r="P299" i="19"/>
  <c r="Q299" i="19"/>
  <c r="S299" i="19"/>
  <c r="V299" i="19"/>
  <c r="W299" i="19"/>
  <c r="X299" i="19"/>
  <c r="Z299" i="19"/>
  <c r="D297" i="32" s="1"/>
  <c r="AA299" i="19"/>
  <c r="D297" i="33" s="1"/>
  <c r="A300" i="19"/>
  <c r="B300" i="19"/>
  <c r="C300" i="19"/>
  <c r="D300" i="19"/>
  <c r="E300" i="19"/>
  <c r="F300" i="19"/>
  <c r="H300" i="19"/>
  <c r="I300" i="19"/>
  <c r="J300" i="19"/>
  <c r="K300" i="19"/>
  <c r="L300" i="19"/>
  <c r="M300" i="19"/>
  <c r="N300" i="19"/>
  <c r="P300" i="19"/>
  <c r="Q300" i="19"/>
  <c r="S300" i="19"/>
  <c r="V300" i="19"/>
  <c r="W300" i="19"/>
  <c r="X300" i="19"/>
  <c r="Z300" i="19"/>
  <c r="D298" i="32" s="1"/>
  <c r="AA300" i="19"/>
  <c r="D298" i="33" s="1"/>
  <c r="A301" i="19"/>
  <c r="B301" i="19"/>
  <c r="C301" i="19"/>
  <c r="D301" i="19"/>
  <c r="E301" i="19"/>
  <c r="F301" i="19"/>
  <c r="H301" i="19"/>
  <c r="I301" i="19"/>
  <c r="J301" i="19"/>
  <c r="K301" i="19"/>
  <c r="L301" i="19"/>
  <c r="M301" i="19"/>
  <c r="N301" i="19"/>
  <c r="P301" i="19"/>
  <c r="Q301" i="19"/>
  <c r="S301" i="19"/>
  <c r="V301" i="19"/>
  <c r="Y301" i="19" s="1"/>
  <c r="C299" i="32" s="1"/>
  <c r="W301" i="19"/>
  <c r="X301" i="19"/>
  <c r="Z301" i="19"/>
  <c r="D299" i="32" s="1"/>
  <c r="AA301" i="19"/>
  <c r="D299" i="33" s="1"/>
  <c r="A302" i="19"/>
  <c r="B302" i="19"/>
  <c r="C302" i="19"/>
  <c r="D302" i="19"/>
  <c r="E302" i="19"/>
  <c r="F302" i="19"/>
  <c r="H302" i="19"/>
  <c r="I302" i="19"/>
  <c r="J302" i="19"/>
  <c r="K302" i="19"/>
  <c r="L302" i="19"/>
  <c r="M302" i="19"/>
  <c r="N302" i="19"/>
  <c r="P302" i="19"/>
  <c r="Q302" i="19"/>
  <c r="S302" i="19"/>
  <c r="V302" i="19"/>
  <c r="W302" i="19"/>
  <c r="X302" i="19"/>
  <c r="Z302" i="19"/>
  <c r="D300" i="32" s="1"/>
  <c r="AA302" i="19"/>
  <c r="D300" i="33" s="1"/>
  <c r="A303" i="19"/>
  <c r="B303" i="19"/>
  <c r="C303" i="19"/>
  <c r="D303" i="19"/>
  <c r="E303" i="19"/>
  <c r="F303" i="19"/>
  <c r="H303" i="19"/>
  <c r="I303" i="19"/>
  <c r="J303" i="19"/>
  <c r="K303" i="19"/>
  <c r="L303" i="19"/>
  <c r="M303" i="19"/>
  <c r="N303" i="19"/>
  <c r="P303" i="19"/>
  <c r="Q303" i="19"/>
  <c r="O303" i="19" s="1"/>
  <c r="S303" i="19"/>
  <c r="V303" i="19"/>
  <c r="W303" i="19"/>
  <c r="X303" i="19"/>
  <c r="Z303" i="19"/>
  <c r="D301" i="32" s="1"/>
  <c r="AA303" i="19"/>
  <c r="D301" i="33" s="1"/>
  <c r="A304" i="19"/>
  <c r="B304" i="19"/>
  <c r="C304" i="19"/>
  <c r="D304" i="19"/>
  <c r="E304" i="19"/>
  <c r="F304" i="19"/>
  <c r="H304" i="19"/>
  <c r="I304" i="19"/>
  <c r="J304" i="19"/>
  <c r="K304" i="19"/>
  <c r="L304" i="19"/>
  <c r="M304" i="19"/>
  <c r="N304" i="19"/>
  <c r="P304" i="19"/>
  <c r="Q304" i="19"/>
  <c r="S304" i="19"/>
  <c r="V304" i="19"/>
  <c r="W304" i="19"/>
  <c r="X304" i="19"/>
  <c r="Z304" i="19"/>
  <c r="D302" i="32" s="1"/>
  <c r="AA304" i="19"/>
  <c r="D302" i="33" s="1"/>
  <c r="A305" i="19"/>
  <c r="B305" i="19"/>
  <c r="C305" i="19"/>
  <c r="D305" i="19"/>
  <c r="E305" i="19"/>
  <c r="F305" i="19"/>
  <c r="H305" i="19"/>
  <c r="I305" i="19"/>
  <c r="J305" i="19"/>
  <c r="K305" i="19"/>
  <c r="L305" i="19"/>
  <c r="M305" i="19"/>
  <c r="N305" i="19"/>
  <c r="P305" i="19"/>
  <c r="Q305" i="19"/>
  <c r="S305" i="19"/>
  <c r="V305" i="19"/>
  <c r="W305" i="19"/>
  <c r="X305" i="19"/>
  <c r="Z305" i="19"/>
  <c r="D303" i="32" s="1"/>
  <c r="AA305" i="19"/>
  <c r="D303" i="33" s="1"/>
  <c r="A306" i="19"/>
  <c r="B306" i="19"/>
  <c r="C306" i="19"/>
  <c r="D306" i="19"/>
  <c r="E306" i="19"/>
  <c r="F306" i="19"/>
  <c r="H306" i="19"/>
  <c r="I306" i="19"/>
  <c r="J306" i="19"/>
  <c r="K306" i="19"/>
  <c r="L306" i="19"/>
  <c r="M306" i="19"/>
  <c r="N306" i="19"/>
  <c r="P306" i="19"/>
  <c r="Q306" i="19"/>
  <c r="S306" i="19"/>
  <c r="V306" i="19"/>
  <c r="W306" i="19"/>
  <c r="X306" i="19"/>
  <c r="Z306" i="19"/>
  <c r="D304" i="32" s="1"/>
  <c r="AA306" i="19"/>
  <c r="D304" i="33" s="1"/>
  <c r="A307" i="19"/>
  <c r="B307" i="19"/>
  <c r="C307" i="19"/>
  <c r="D307" i="19"/>
  <c r="E307" i="19"/>
  <c r="F307" i="19"/>
  <c r="H307" i="19"/>
  <c r="I307" i="19"/>
  <c r="J307" i="19"/>
  <c r="K307" i="19"/>
  <c r="L307" i="19"/>
  <c r="M307" i="19"/>
  <c r="N307" i="19"/>
  <c r="P307" i="19"/>
  <c r="Q307" i="19"/>
  <c r="S307" i="19"/>
  <c r="V307" i="19"/>
  <c r="W307" i="19"/>
  <c r="X307" i="19"/>
  <c r="Z307" i="19"/>
  <c r="D305" i="32" s="1"/>
  <c r="AA307" i="19"/>
  <c r="D305" i="33" s="1"/>
  <c r="A308" i="19"/>
  <c r="B308" i="19"/>
  <c r="C308" i="19"/>
  <c r="D308" i="19"/>
  <c r="E308" i="19"/>
  <c r="F308" i="19"/>
  <c r="H308" i="19"/>
  <c r="I308" i="19"/>
  <c r="J308" i="19"/>
  <c r="K308" i="19"/>
  <c r="L308" i="19"/>
  <c r="M308" i="19"/>
  <c r="N308" i="19"/>
  <c r="P308" i="19"/>
  <c r="O308" i="19" s="1"/>
  <c r="Q308" i="19"/>
  <c r="S308" i="19"/>
  <c r="V308" i="19"/>
  <c r="W308" i="19"/>
  <c r="X308" i="19"/>
  <c r="Z308" i="19"/>
  <c r="D306" i="32" s="1"/>
  <c r="AA308" i="19"/>
  <c r="D306" i="33" s="1"/>
  <c r="A309" i="19"/>
  <c r="B309" i="19"/>
  <c r="C309" i="19"/>
  <c r="D309" i="19"/>
  <c r="E309" i="19"/>
  <c r="F309" i="19"/>
  <c r="H309" i="19"/>
  <c r="I309" i="19"/>
  <c r="J309" i="19"/>
  <c r="K309" i="19"/>
  <c r="L309" i="19"/>
  <c r="M309" i="19"/>
  <c r="N309" i="19"/>
  <c r="P309" i="19"/>
  <c r="Q309" i="19"/>
  <c r="S309" i="19"/>
  <c r="V309" i="19"/>
  <c r="W309" i="19"/>
  <c r="X309" i="19"/>
  <c r="Z309" i="19"/>
  <c r="D307" i="32" s="1"/>
  <c r="AA309" i="19"/>
  <c r="D307" i="33" s="1"/>
  <c r="A310" i="19"/>
  <c r="B310" i="19"/>
  <c r="C310" i="19"/>
  <c r="D310" i="19"/>
  <c r="E310" i="19"/>
  <c r="F310" i="19"/>
  <c r="H310" i="19"/>
  <c r="I310" i="19"/>
  <c r="J310" i="19"/>
  <c r="K310" i="19"/>
  <c r="L310" i="19"/>
  <c r="M310" i="19"/>
  <c r="N310" i="19"/>
  <c r="P310" i="19"/>
  <c r="Q310" i="19"/>
  <c r="S310" i="19"/>
  <c r="V310" i="19"/>
  <c r="W310" i="19"/>
  <c r="X310" i="19"/>
  <c r="Z310" i="19"/>
  <c r="D308" i="32" s="1"/>
  <c r="AA310" i="19"/>
  <c r="D308" i="33" s="1"/>
  <c r="A311" i="19"/>
  <c r="B311" i="19"/>
  <c r="C311" i="19"/>
  <c r="D311" i="19"/>
  <c r="E311" i="19"/>
  <c r="F311" i="19"/>
  <c r="H311" i="19"/>
  <c r="I311" i="19"/>
  <c r="J311" i="19"/>
  <c r="K311" i="19"/>
  <c r="L311" i="19"/>
  <c r="M311" i="19"/>
  <c r="N311" i="19"/>
  <c r="P311" i="19"/>
  <c r="Q311" i="19"/>
  <c r="S311" i="19"/>
  <c r="V311" i="19"/>
  <c r="W311" i="19"/>
  <c r="X311" i="19"/>
  <c r="Z311" i="19"/>
  <c r="D309" i="32" s="1"/>
  <c r="AA311" i="19"/>
  <c r="D309" i="33" s="1"/>
  <c r="A312" i="19"/>
  <c r="B312" i="19"/>
  <c r="C312" i="19"/>
  <c r="D312" i="19"/>
  <c r="E312" i="19"/>
  <c r="F312" i="19"/>
  <c r="H312" i="19"/>
  <c r="I312" i="19"/>
  <c r="J312" i="19"/>
  <c r="K312" i="19"/>
  <c r="L312" i="19"/>
  <c r="M312" i="19"/>
  <c r="N312" i="19"/>
  <c r="P312" i="19"/>
  <c r="Q312" i="19"/>
  <c r="S312" i="19"/>
  <c r="V312" i="19"/>
  <c r="W312" i="19"/>
  <c r="X312" i="19"/>
  <c r="Z312" i="19"/>
  <c r="D310" i="32" s="1"/>
  <c r="AA312" i="19"/>
  <c r="D310" i="33" s="1"/>
  <c r="A313" i="19"/>
  <c r="B313" i="19"/>
  <c r="C313" i="19"/>
  <c r="D313" i="19"/>
  <c r="E313" i="19"/>
  <c r="F313" i="19"/>
  <c r="H313" i="19"/>
  <c r="I313" i="19"/>
  <c r="J313" i="19"/>
  <c r="K313" i="19"/>
  <c r="L313" i="19"/>
  <c r="M313" i="19"/>
  <c r="N313" i="19"/>
  <c r="P313" i="19"/>
  <c r="Q313" i="19"/>
  <c r="S313" i="19"/>
  <c r="V313" i="19"/>
  <c r="W313" i="19"/>
  <c r="X313" i="19"/>
  <c r="Z313" i="19"/>
  <c r="D311" i="32" s="1"/>
  <c r="AA313" i="19"/>
  <c r="D311" i="33" s="1"/>
  <c r="A314" i="19"/>
  <c r="B314" i="19"/>
  <c r="C314" i="19"/>
  <c r="D314" i="19"/>
  <c r="E314" i="19"/>
  <c r="F314" i="19"/>
  <c r="H314" i="19"/>
  <c r="I314" i="19"/>
  <c r="J314" i="19"/>
  <c r="K314" i="19"/>
  <c r="L314" i="19"/>
  <c r="M314" i="19"/>
  <c r="N314" i="19"/>
  <c r="P314" i="19"/>
  <c r="Q314" i="19"/>
  <c r="S314" i="19"/>
  <c r="V314" i="19"/>
  <c r="W314" i="19"/>
  <c r="X314" i="19"/>
  <c r="Z314" i="19"/>
  <c r="D312" i="32" s="1"/>
  <c r="AA314" i="19"/>
  <c r="D312" i="33" s="1"/>
  <c r="A315" i="19"/>
  <c r="B315" i="19"/>
  <c r="C315" i="19"/>
  <c r="D315" i="19"/>
  <c r="E315" i="19"/>
  <c r="F315" i="19"/>
  <c r="H315" i="19"/>
  <c r="I315" i="19"/>
  <c r="J315" i="19"/>
  <c r="K315" i="19"/>
  <c r="L315" i="19"/>
  <c r="M315" i="19"/>
  <c r="N315" i="19"/>
  <c r="P315" i="19"/>
  <c r="Q315" i="19"/>
  <c r="S315" i="19"/>
  <c r="V315" i="19"/>
  <c r="W315" i="19"/>
  <c r="X315" i="19"/>
  <c r="Z315" i="19"/>
  <c r="D313" i="32" s="1"/>
  <c r="AA315" i="19"/>
  <c r="D313" i="33" s="1"/>
  <c r="O270" i="19" l="1"/>
  <c r="Y87" i="19"/>
  <c r="C85" i="32" s="1"/>
  <c r="E85" i="32" s="1"/>
  <c r="Y149" i="19"/>
  <c r="C147" i="32" s="1"/>
  <c r="G141" i="19"/>
  <c r="O22" i="19"/>
  <c r="O239" i="19"/>
  <c r="Y232" i="19"/>
  <c r="C230" i="32" s="1"/>
  <c r="O207" i="19"/>
  <c r="Y206" i="19"/>
  <c r="C204" i="32" s="1"/>
  <c r="O180" i="19"/>
  <c r="O81" i="19"/>
  <c r="O57" i="19"/>
  <c r="O234" i="19"/>
  <c r="O304" i="19"/>
  <c r="Y281" i="19"/>
  <c r="C279" i="32" s="1"/>
  <c r="E279" i="32" s="1"/>
  <c r="O264" i="19"/>
  <c r="O200" i="19"/>
  <c r="O66" i="19"/>
  <c r="O50" i="19"/>
  <c r="O42" i="19"/>
  <c r="Y35" i="19"/>
  <c r="C33" i="32" s="1"/>
  <c r="Y27" i="19"/>
  <c r="C25" i="32" s="1"/>
  <c r="O26" i="19"/>
  <c r="G25" i="19"/>
  <c r="Y19" i="19"/>
  <c r="C17" i="32" s="1"/>
  <c r="O275" i="19"/>
  <c r="O259" i="19"/>
  <c r="Y252" i="19"/>
  <c r="C250" i="32" s="1"/>
  <c r="O251" i="19"/>
  <c r="O243" i="19"/>
  <c r="O235" i="19"/>
  <c r="O227" i="19"/>
  <c r="O219" i="19"/>
  <c r="O211" i="19"/>
  <c r="O187" i="19"/>
  <c r="Y177" i="19"/>
  <c r="C175" i="32" s="1"/>
  <c r="H175" i="32" s="1"/>
  <c r="O176" i="19"/>
  <c r="O163" i="19"/>
  <c r="O77" i="19"/>
  <c r="Y70" i="19"/>
  <c r="C68" i="32" s="1"/>
  <c r="Y62" i="19"/>
  <c r="C60" i="32" s="1"/>
  <c r="O61" i="19"/>
  <c r="G60" i="19"/>
  <c r="Y54" i="19"/>
  <c r="C52" i="32" s="1"/>
  <c r="O282" i="19"/>
  <c r="Y313" i="19"/>
  <c r="C311" i="32" s="1"/>
  <c r="O309" i="19"/>
  <c r="O301" i="19"/>
  <c r="O247" i="19"/>
  <c r="O228" i="19"/>
  <c r="O220" i="19"/>
  <c r="Y194" i="19"/>
  <c r="C192" i="32" s="1"/>
  <c r="O174" i="19"/>
  <c r="Y173" i="19"/>
  <c r="C171" i="32" s="1"/>
  <c r="O160" i="19"/>
  <c r="O155" i="19"/>
  <c r="O141" i="19"/>
  <c r="Y129" i="19"/>
  <c r="C127" i="32" s="1"/>
  <c r="O128" i="19"/>
  <c r="Y118" i="19"/>
  <c r="C116" i="32" s="1"/>
  <c r="Y113" i="19"/>
  <c r="C111" i="32" s="1"/>
  <c r="O112" i="19"/>
  <c r="G103" i="19"/>
  <c r="O93" i="19"/>
  <c r="O88" i="19"/>
  <c r="O52" i="19"/>
  <c r="O20" i="19"/>
  <c r="G311" i="36"/>
  <c r="J263" i="36"/>
  <c r="G256" i="36"/>
  <c r="H199" i="36"/>
  <c r="I121" i="36"/>
  <c r="E80" i="36"/>
  <c r="F78" i="36"/>
  <c r="H68" i="36"/>
  <c r="G20" i="36"/>
  <c r="H203" i="32"/>
  <c r="G203" i="19"/>
  <c r="H195" i="32"/>
  <c r="O191" i="19"/>
  <c r="G184" i="19"/>
  <c r="Y165" i="19"/>
  <c r="C163" i="32" s="1"/>
  <c r="Y81" i="19"/>
  <c r="C79" i="32" s="1"/>
  <c r="H79" i="32" s="1"/>
  <c r="D85" i="9" s="1"/>
  <c r="O80" i="19"/>
  <c r="E14" i="32"/>
  <c r="E311" i="36"/>
  <c r="I290" i="36"/>
  <c r="J271" i="36"/>
  <c r="J265" i="36"/>
  <c r="G263" i="36"/>
  <c r="I258" i="36"/>
  <c r="H257" i="36"/>
  <c r="D256" i="36"/>
  <c r="E246" i="36"/>
  <c r="G241" i="36"/>
  <c r="J225" i="36"/>
  <c r="F203" i="36"/>
  <c r="F199" i="36"/>
  <c r="I197" i="36"/>
  <c r="E149" i="36"/>
  <c r="D143" i="36"/>
  <c r="E121" i="36"/>
  <c r="D119" i="36"/>
  <c r="I101" i="36"/>
  <c r="H92" i="36"/>
  <c r="D80" i="36"/>
  <c r="D78" i="36"/>
  <c r="F72" i="36"/>
  <c r="G68" i="36"/>
  <c r="E65" i="36"/>
  <c r="E63" i="36"/>
  <c r="G27" i="36"/>
  <c r="D20" i="36"/>
  <c r="T60" i="19"/>
  <c r="O261" i="19"/>
  <c r="O253" i="19"/>
  <c r="O245" i="19"/>
  <c r="Y238" i="19"/>
  <c r="C236" i="32" s="1"/>
  <c r="E236" i="32" s="1"/>
  <c r="O237" i="19"/>
  <c r="G236" i="19"/>
  <c r="O229" i="19"/>
  <c r="O221" i="19"/>
  <c r="O213" i="19"/>
  <c r="G188" i="19"/>
  <c r="T188" i="19" s="1"/>
  <c r="Y185" i="19"/>
  <c r="C183" i="32" s="1"/>
  <c r="O161" i="19"/>
  <c r="Y154" i="19"/>
  <c r="C152" i="32" s="1"/>
  <c r="O83" i="19"/>
  <c r="Y79" i="19"/>
  <c r="C77" i="32" s="1"/>
  <c r="E77" i="32" s="1"/>
  <c r="Y38" i="19"/>
  <c r="C36" i="32" s="1"/>
  <c r="E36" i="32" s="1"/>
  <c r="G36" i="19"/>
  <c r="G31" i="19"/>
  <c r="Y30" i="19"/>
  <c r="C28" i="32" s="1"/>
  <c r="O10" i="19"/>
  <c r="F306" i="36"/>
  <c r="D278" i="36"/>
  <c r="D271" i="36"/>
  <c r="E244" i="36"/>
  <c r="F225" i="36"/>
  <c r="D197" i="36"/>
  <c r="G195" i="36"/>
  <c r="E189" i="36"/>
  <c r="F185" i="36"/>
  <c r="D181" i="36"/>
  <c r="I177" i="36"/>
  <c r="F173" i="36"/>
  <c r="I161" i="36"/>
  <c r="G159" i="36"/>
  <c r="E157" i="36"/>
  <c r="D147" i="36"/>
  <c r="H135" i="36"/>
  <c r="D92" i="36"/>
  <c r="E81" i="36"/>
  <c r="D68" i="36"/>
  <c r="D47" i="36"/>
  <c r="E36" i="36"/>
  <c r="O272" i="19"/>
  <c r="Y298" i="19"/>
  <c r="C296" i="32" s="1"/>
  <c r="Y290" i="19"/>
  <c r="C288" i="32" s="1"/>
  <c r="Y279" i="19"/>
  <c r="C277" i="32" s="1"/>
  <c r="O267" i="19"/>
  <c r="G263" i="19"/>
  <c r="Y257" i="19"/>
  <c r="C255" i="32" s="1"/>
  <c r="E255" i="32" s="1"/>
  <c r="O256" i="19"/>
  <c r="O248" i="19"/>
  <c r="Y241" i="19"/>
  <c r="C239" i="32" s="1"/>
  <c r="O240" i="19"/>
  <c r="Y233" i="19"/>
  <c r="C231" i="32" s="1"/>
  <c r="O232" i="19"/>
  <c r="O167" i="19"/>
  <c r="O156" i="19"/>
  <c r="O151" i="19"/>
  <c r="O148" i="19"/>
  <c r="O137" i="19"/>
  <c r="Y130" i="19"/>
  <c r="C128" i="32" s="1"/>
  <c r="O129" i="19"/>
  <c r="O113" i="19"/>
  <c r="O92" i="19"/>
  <c r="O89" i="19"/>
  <c r="O48" i="19"/>
  <c r="O40" i="19"/>
  <c r="O24" i="19"/>
  <c r="J287" i="36"/>
  <c r="I266" i="36"/>
  <c r="I193" i="36"/>
  <c r="H177" i="36"/>
  <c r="I140" i="36"/>
  <c r="G135" i="36"/>
  <c r="I107" i="36"/>
  <c r="I23" i="36"/>
  <c r="G315" i="19"/>
  <c r="E299" i="32"/>
  <c r="G291" i="19"/>
  <c r="T291" i="19" s="1"/>
  <c r="Y255" i="19"/>
  <c r="C253" i="32" s="1"/>
  <c r="G253" i="19"/>
  <c r="T253" i="19" s="1"/>
  <c r="E250" i="32"/>
  <c r="Y207" i="19"/>
  <c r="C205" i="32" s="1"/>
  <c r="G167" i="19"/>
  <c r="O84" i="19"/>
  <c r="H314" i="36"/>
  <c r="I288" i="36"/>
  <c r="F287" i="36"/>
  <c r="G198" i="36"/>
  <c r="E193" i="36"/>
  <c r="E144" i="36"/>
  <c r="D142" i="36"/>
  <c r="G140" i="36"/>
  <c r="F136" i="36"/>
  <c r="D135" i="36"/>
  <c r="H124" i="36"/>
  <c r="H120" i="36"/>
  <c r="D118" i="36"/>
  <c r="F116" i="36"/>
  <c r="E107" i="36"/>
  <c r="E85" i="36"/>
  <c r="D71" i="36"/>
  <c r="J64" i="36"/>
  <c r="I56" i="36"/>
  <c r="G53" i="36"/>
  <c r="G44" i="36"/>
  <c r="H24" i="36"/>
  <c r="D23" i="36"/>
  <c r="O311" i="19"/>
  <c r="I256" i="36"/>
  <c r="O279" i="19"/>
  <c r="O268" i="19"/>
  <c r="Y253" i="19"/>
  <c r="C251" i="32" s="1"/>
  <c r="E251" i="32" s="1"/>
  <c r="O249" i="19"/>
  <c r="O209" i="19"/>
  <c r="O190" i="19"/>
  <c r="O168" i="19"/>
  <c r="O130" i="19"/>
  <c r="Y123" i="19"/>
  <c r="C121" i="32" s="1"/>
  <c r="G121" i="19"/>
  <c r="O87" i="19"/>
  <c r="O79" i="19"/>
  <c r="O71" i="19"/>
  <c r="O68" i="19"/>
  <c r="G48" i="19"/>
  <c r="G32" i="19"/>
  <c r="O17" i="19"/>
  <c r="I311" i="36"/>
  <c r="D305" i="36"/>
  <c r="E303" i="36"/>
  <c r="H256" i="36"/>
  <c r="G249" i="36"/>
  <c r="D216" i="36"/>
  <c r="J199" i="36"/>
  <c r="D184" i="36"/>
  <c r="G174" i="36"/>
  <c r="D160" i="36"/>
  <c r="J149" i="36"/>
  <c r="D148" i="36"/>
  <c r="F104" i="36"/>
  <c r="H80" i="36"/>
  <c r="J68" i="36"/>
  <c r="I67" i="36"/>
  <c r="D56" i="36"/>
  <c r="F54" i="36"/>
  <c r="E53" i="36"/>
  <c r="E35" i="36"/>
  <c r="E24" i="36"/>
  <c r="I20" i="36"/>
  <c r="G11" i="36"/>
  <c r="R60" i="19"/>
  <c r="U60" i="19" s="1"/>
  <c r="O307" i="19"/>
  <c r="Y314" i="19"/>
  <c r="C312" i="32" s="1"/>
  <c r="O313" i="19"/>
  <c r="Y306" i="19"/>
  <c r="C304" i="32" s="1"/>
  <c r="G296" i="19"/>
  <c r="Y293" i="19"/>
  <c r="C291" i="32" s="1"/>
  <c r="Y285" i="19"/>
  <c r="C283" i="32" s="1"/>
  <c r="Y282" i="19"/>
  <c r="C280" i="32" s="1"/>
  <c r="Y273" i="19"/>
  <c r="C271" i="32" s="1"/>
  <c r="E271" i="32" s="1"/>
  <c r="G271" i="19"/>
  <c r="G269" i="19"/>
  <c r="Y265" i="19"/>
  <c r="C263" i="32" s="1"/>
  <c r="E263" i="32" s="1"/>
  <c r="Y254" i="19"/>
  <c r="C252" i="32" s="1"/>
  <c r="E252" i="32" s="1"/>
  <c r="Y249" i="19"/>
  <c r="C247" i="32" s="1"/>
  <c r="E247" i="32" s="1"/>
  <c r="G247" i="19"/>
  <c r="R247" i="19" s="1"/>
  <c r="U247" i="19" s="1"/>
  <c r="G244" i="19"/>
  <c r="G238" i="19"/>
  <c r="Y226" i="19"/>
  <c r="C224" i="32" s="1"/>
  <c r="H224" i="32" s="1"/>
  <c r="Y218" i="19"/>
  <c r="C216" i="32" s="1"/>
  <c r="H216" i="32" s="1"/>
  <c r="Y213" i="19"/>
  <c r="C211" i="32" s="1"/>
  <c r="H211" i="32" s="1"/>
  <c r="Y191" i="19"/>
  <c r="C189" i="32" s="1"/>
  <c r="G177" i="19"/>
  <c r="G175" i="19"/>
  <c r="T175" i="19" s="1"/>
  <c r="Y171" i="19"/>
  <c r="C169" i="32" s="1"/>
  <c r="Y157" i="19"/>
  <c r="C155" i="32" s="1"/>
  <c r="G154" i="19"/>
  <c r="Y153" i="19"/>
  <c r="C151" i="32" s="1"/>
  <c r="Y137" i="19"/>
  <c r="C135" i="32" s="1"/>
  <c r="Y114" i="19"/>
  <c r="C112" i="32" s="1"/>
  <c r="G104" i="19"/>
  <c r="T104" i="19" s="1"/>
  <c r="Y103" i="19"/>
  <c r="C101" i="32" s="1"/>
  <c r="Y82" i="19"/>
  <c r="C80" i="32" s="1"/>
  <c r="G76" i="19"/>
  <c r="G68" i="19"/>
  <c r="Y67" i="19"/>
  <c r="C65" i="32" s="1"/>
  <c r="H65" i="32" s="1"/>
  <c r="G65" i="19"/>
  <c r="Y58" i="19"/>
  <c r="C56" i="32" s="1"/>
  <c r="G261" i="19"/>
  <c r="T261" i="19" s="1"/>
  <c r="G255" i="19"/>
  <c r="G250" i="19"/>
  <c r="G239" i="19"/>
  <c r="O231" i="19"/>
  <c r="O223" i="19"/>
  <c r="O215" i="19"/>
  <c r="G211" i="19"/>
  <c r="H192" i="32"/>
  <c r="G183" i="19"/>
  <c r="T183" i="19" s="1"/>
  <c r="G152" i="19"/>
  <c r="G143" i="19"/>
  <c r="G138" i="19"/>
  <c r="G135" i="19"/>
  <c r="T135" i="19" s="1"/>
  <c r="E121" i="32"/>
  <c r="O119" i="19"/>
  <c r="O116" i="19"/>
  <c r="O105" i="19"/>
  <c r="O100" i="19"/>
  <c r="Y98" i="19"/>
  <c r="C96" i="32" s="1"/>
  <c r="O97" i="19"/>
  <c r="O86" i="19"/>
  <c r="G85" i="19"/>
  <c r="G74" i="19"/>
  <c r="Y73" i="19"/>
  <c r="C71" i="32" s="1"/>
  <c r="O72" i="19"/>
  <c r="O69" i="19"/>
  <c r="G33" i="19"/>
  <c r="G17" i="19"/>
  <c r="T203" i="19"/>
  <c r="Y11" i="19"/>
  <c r="C9" i="32" s="1"/>
  <c r="G297" i="19"/>
  <c r="Y288" i="19"/>
  <c r="C286" i="32" s="1"/>
  <c r="Y266" i="19"/>
  <c r="C264" i="32" s="1"/>
  <c r="O262" i="19"/>
  <c r="G248" i="19"/>
  <c r="G245" i="19"/>
  <c r="T245" i="19" s="1"/>
  <c r="Y230" i="19"/>
  <c r="C228" i="32" s="1"/>
  <c r="G225" i="19"/>
  <c r="Y222" i="19"/>
  <c r="C220" i="32" s="1"/>
  <c r="G217" i="19"/>
  <c r="O199" i="19"/>
  <c r="G187" i="19"/>
  <c r="T187" i="19" s="1"/>
  <c r="O179" i="19"/>
  <c r="O159" i="19"/>
  <c r="O153" i="19"/>
  <c r="O134" i="19"/>
  <c r="Y133" i="19"/>
  <c r="C131" i="32" s="1"/>
  <c r="G130" i="19"/>
  <c r="G127" i="19"/>
  <c r="G111" i="19"/>
  <c r="O78" i="19"/>
  <c r="G77" i="19"/>
  <c r="G69" i="19"/>
  <c r="Y68" i="19"/>
  <c r="C66" i="32" s="1"/>
  <c r="E66" i="32" s="1"/>
  <c r="O58" i="19"/>
  <c r="Y48" i="19"/>
  <c r="C46" i="32" s="1"/>
  <c r="E46" i="32" s="1"/>
  <c r="G45" i="19"/>
  <c r="R45" i="19" s="1"/>
  <c r="U45" i="19" s="1"/>
  <c r="Y33" i="19"/>
  <c r="C31" i="32" s="1"/>
  <c r="O32" i="19"/>
  <c r="Y258" i="19"/>
  <c r="C256" i="32" s="1"/>
  <c r="G231" i="19"/>
  <c r="G223" i="19"/>
  <c r="G215" i="19"/>
  <c r="Y214" i="19"/>
  <c r="C212" i="32" s="1"/>
  <c r="G193" i="19"/>
  <c r="G176" i="19"/>
  <c r="T176" i="19" s="1"/>
  <c r="G170" i="19"/>
  <c r="Y169" i="19"/>
  <c r="C167" i="32" s="1"/>
  <c r="Y155" i="19"/>
  <c r="C153" i="32" s="1"/>
  <c r="G136" i="19"/>
  <c r="E111" i="32"/>
  <c r="Y94" i="19"/>
  <c r="C92" i="32" s="1"/>
  <c r="G92" i="19"/>
  <c r="T92" i="19" s="1"/>
  <c r="Y80" i="19"/>
  <c r="C78" i="32" s="1"/>
  <c r="E78" i="32" s="1"/>
  <c r="Y60" i="19"/>
  <c r="C58" i="32" s="1"/>
  <c r="E58" i="32" s="1"/>
  <c r="Y51" i="19"/>
  <c r="C49" i="32" s="1"/>
  <c r="F312" i="36"/>
  <c r="D312" i="36"/>
  <c r="E311" i="32"/>
  <c r="G300" i="19"/>
  <c r="O293" i="19"/>
  <c r="O285" i="19"/>
  <c r="Y278" i="19"/>
  <c r="C276" i="32" s="1"/>
  <c r="E276" i="32" s="1"/>
  <c r="Y275" i="19"/>
  <c r="C273" i="32" s="1"/>
  <c r="E273" i="32" s="1"/>
  <c r="O260" i="19"/>
  <c r="G251" i="19"/>
  <c r="G237" i="19"/>
  <c r="T237" i="19" s="1"/>
  <c r="Y225" i="19"/>
  <c r="C223" i="32" s="1"/>
  <c r="H223" i="32" s="1"/>
  <c r="O224" i="19"/>
  <c r="Y217" i="19"/>
  <c r="C215" i="32" s="1"/>
  <c r="H215" i="32" s="1"/>
  <c r="O216" i="19"/>
  <c r="G210" i="19"/>
  <c r="Y209" i="19"/>
  <c r="C207" i="32" s="1"/>
  <c r="H207" i="32" s="1"/>
  <c r="O208" i="19"/>
  <c r="G204" i="19"/>
  <c r="Y198" i="19"/>
  <c r="C196" i="32" s="1"/>
  <c r="G196" i="19"/>
  <c r="O189" i="19"/>
  <c r="Y178" i="19"/>
  <c r="C176" i="32" s="1"/>
  <c r="G168" i="19"/>
  <c r="G139" i="19"/>
  <c r="O135" i="19"/>
  <c r="R135" i="19" s="1"/>
  <c r="U135" i="19" s="1"/>
  <c r="O132" i="19"/>
  <c r="O126" i="19"/>
  <c r="Y125" i="19"/>
  <c r="C123" i="32" s="1"/>
  <c r="G122" i="19"/>
  <c r="G100" i="19"/>
  <c r="T100" i="19" s="1"/>
  <c r="O96" i="19"/>
  <c r="Y86" i="19"/>
  <c r="C84" i="32" s="1"/>
  <c r="O85" i="19"/>
  <c r="O76" i="19"/>
  <c r="G75" i="19"/>
  <c r="G61" i="19"/>
  <c r="O56" i="19"/>
  <c r="O53" i="19"/>
  <c r="G52" i="19"/>
  <c r="G46" i="19"/>
  <c r="Y42" i="19"/>
  <c r="C40" i="32" s="1"/>
  <c r="E40" i="32" s="1"/>
  <c r="O41" i="19"/>
  <c r="G29" i="19"/>
  <c r="Y23" i="19"/>
  <c r="C21" i="32" s="1"/>
  <c r="E21" i="32" s="1"/>
  <c r="O296" i="19"/>
  <c r="G265" i="19"/>
  <c r="O263" i="19"/>
  <c r="O255" i="19"/>
  <c r="G246" i="19"/>
  <c r="Y212" i="19"/>
  <c r="C210" i="32" s="1"/>
  <c r="Y201" i="19"/>
  <c r="C199" i="32" s="1"/>
  <c r="H199" i="32" s="1"/>
  <c r="Y193" i="19"/>
  <c r="C191" i="32" s="1"/>
  <c r="H191" i="32" s="1"/>
  <c r="Y181" i="19"/>
  <c r="C179" i="32" s="1"/>
  <c r="G162" i="19"/>
  <c r="Y161" i="19"/>
  <c r="C159" i="32" s="1"/>
  <c r="Y147" i="19"/>
  <c r="C145" i="32" s="1"/>
  <c r="G142" i="19"/>
  <c r="G128" i="19"/>
  <c r="R128" i="19" s="1"/>
  <c r="U128" i="19" s="1"/>
  <c r="Y108" i="19"/>
  <c r="C106" i="32" s="1"/>
  <c r="G84" i="19"/>
  <c r="H71" i="32"/>
  <c r="Y69" i="19"/>
  <c r="C67" i="32" s="1"/>
  <c r="G43" i="19"/>
  <c r="Y18" i="19"/>
  <c r="C16" i="32" s="1"/>
  <c r="H16" i="32" s="1"/>
  <c r="Y311" i="19"/>
  <c r="C309" i="32" s="1"/>
  <c r="G307" i="19"/>
  <c r="T307" i="19" s="1"/>
  <c r="O299" i="19"/>
  <c r="Y295" i="19"/>
  <c r="C293" i="32" s="1"/>
  <c r="O291" i="19"/>
  <c r="R291" i="19" s="1"/>
  <c r="U291" i="19" s="1"/>
  <c r="O283" i="19"/>
  <c r="O269" i="19"/>
  <c r="G257" i="19"/>
  <c r="O242" i="19"/>
  <c r="Y240" i="19"/>
  <c r="C238" i="32" s="1"/>
  <c r="H238" i="32" s="1"/>
  <c r="O230" i="19"/>
  <c r="G229" i="19"/>
  <c r="T229" i="19" s="1"/>
  <c r="Y223" i="19"/>
  <c r="C221" i="32" s="1"/>
  <c r="O222" i="19"/>
  <c r="G221" i="19"/>
  <c r="T221" i="19" s="1"/>
  <c r="Y215" i="19"/>
  <c r="C213" i="32" s="1"/>
  <c r="G213" i="19"/>
  <c r="T213" i="19" s="1"/>
  <c r="G208" i="19"/>
  <c r="O203" i="19"/>
  <c r="O195" i="19"/>
  <c r="G189" i="19"/>
  <c r="O183" i="19"/>
  <c r="O175" i="19"/>
  <c r="O169" i="19"/>
  <c r="G160" i="19"/>
  <c r="R160" i="19" s="1"/>
  <c r="U160" i="19" s="1"/>
  <c r="O152" i="19"/>
  <c r="O138" i="19"/>
  <c r="Y131" i="19"/>
  <c r="C129" i="32" s="1"/>
  <c r="O127" i="19"/>
  <c r="O124" i="19"/>
  <c r="O121" i="19"/>
  <c r="Y111" i="19"/>
  <c r="C109" i="32" s="1"/>
  <c r="O110" i="19"/>
  <c r="G93" i="19"/>
  <c r="T93" i="19" s="1"/>
  <c r="Y78" i="19"/>
  <c r="C76" i="32" s="1"/>
  <c r="O74" i="19"/>
  <c r="O63" i="19"/>
  <c r="Y61" i="19"/>
  <c r="C59" i="32" s="1"/>
  <c r="O51" i="19"/>
  <c r="Y50" i="19"/>
  <c r="C48" i="32" s="1"/>
  <c r="H45" i="32"/>
  <c r="G47" i="19"/>
  <c r="O39" i="19"/>
  <c r="Y37" i="19"/>
  <c r="C35" i="32" s="1"/>
  <c r="O36" i="19"/>
  <c r="H28" i="32"/>
  <c r="O28" i="19"/>
  <c r="J302" i="36"/>
  <c r="E298" i="36"/>
  <c r="G273" i="36"/>
  <c r="F272" i="36"/>
  <c r="J210" i="36"/>
  <c r="I201" i="36"/>
  <c r="I196" i="36"/>
  <c r="E169" i="36"/>
  <c r="G162" i="36"/>
  <c r="J159" i="36"/>
  <c r="H144" i="36"/>
  <c r="F132" i="36"/>
  <c r="J120" i="36"/>
  <c r="G117" i="36"/>
  <c r="E75" i="36"/>
  <c r="F74" i="36"/>
  <c r="I63" i="36"/>
  <c r="J57" i="36"/>
  <c r="H52" i="36"/>
  <c r="I43" i="36"/>
  <c r="G36" i="36"/>
  <c r="H35" i="36"/>
  <c r="Y12" i="19"/>
  <c r="C10" i="32" s="1"/>
  <c r="F311" i="36"/>
  <c r="H310" i="36"/>
  <c r="I306" i="36"/>
  <c r="J303" i="36"/>
  <c r="D302" i="36"/>
  <c r="D298" i="36"/>
  <c r="H294" i="36"/>
  <c r="I283" i="36"/>
  <c r="J278" i="36"/>
  <c r="F273" i="36"/>
  <c r="D272" i="36"/>
  <c r="G257" i="36"/>
  <c r="H241" i="36"/>
  <c r="E238" i="36"/>
  <c r="G225" i="36"/>
  <c r="J222" i="36"/>
  <c r="E210" i="36"/>
  <c r="H201" i="36"/>
  <c r="H197" i="36"/>
  <c r="F193" i="36"/>
  <c r="F189" i="36"/>
  <c r="I174" i="36"/>
  <c r="D169" i="36"/>
  <c r="H165" i="36"/>
  <c r="E162" i="36"/>
  <c r="H159" i="36"/>
  <c r="F144" i="36"/>
  <c r="H138" i="36"/>
  <c r="D132" i="36"/>
  <c r="J126" i="36"/>
  <c r="I124" i="36"/>
  <c r="J121" i="36"/>
  <c r="I120" i="36"/>
  <c r="G90" i="36"/>
  <c r="D75" i="36"/>
  <c r="D74" i="36"/>
  <c r="I72" i="36"/>
  <c r="G63" i="36"/>
  <c r="H60" i="36"/>
  <c r="E57" i="36"/>
  <c r="E52" i="36"/>
  <c r="F37" i="36"/>
  <c r="F36" i="36"/>
  <c r="G35" i="36"/>
  <c r="I31" i="36"/>
  <c r="I27" i="36"/>
  <c r="Y39" i="19"/>
  <c r="C37" i="32" s="1"/>
  <c r="E37" i="32" s="1"/>
  <c r="Y36" i="19"/>
  <c r="C34" i="32" s="1"/>
  <c r="E34" i="32" s="1"/>
  <c r="O35" i="19"/>
  <c r="Y34" i="19"/>
  <c r="C32" i="32" s="1"/>
  <c r="E32" i="32" s="1"/>
  <c r="Y28" i="19"/>
  <c r="C26" i="32" s="1"/>
  <c r="E26" i="32" s="1"/>
  <c r="G23" i="19"/>
  <c r="O21" i="19"/>
  <c r="I313" i="36"/>
  <c r="D311" i="36"/>
  <c r="E310" i="36"/>
  <c r="G303" i="36"/>
  <c r="I299" i="36"/>
  <c r="I287" i="36"/>
  <c r="F279" i="36"/>
  <c r="I276" i="36"/>
  <c r="H265" i="36"/>
  <c r="D257" i="36"/>
  <c r="H245" i="36"/>
  <c r="E242" i="36"/>
  <c r="F241" i="36"/>
  <c r="H236" i="36"/>
  <c r="F233" i="36"/>
  <c r="E225" i="36"/>
  <c r="H223" i="36"/>
  <c r="F222" i="36"/>
  <c r="F213" i="36"/>
  <c r="E202" i="36"/>
  <c r="F201" i="36"/>
  <c r="F197" i="36"/>
  <c r="D193" i="36"/>
  <c r="D189" i="36"/>
  <c r="E174" i="36"/>
  <c r="J166" i="36"/>
  <c r="F163" i="36"/>
  <c r="I160" i="36"/>
  <c r="D159" i="36"/>
  <c r="J157" i="36"/>
  <c r="G154" i="36"/>
  <c r="H153" i="36"/>
  <c r="D152" i="36"/>
  <c r="F145" i="36"/>
  <c r="D144" i="36"/>
  <c r="J140" i="36"/>
  <c r="I139" i="36"/>
  <c r="J136" i="36"/>
  <c r="F124" i="36"/>
  <c r="J122" i="36"/>
  <c r="G121" i="36"/>
  <c r="E111" i="36"/>
  <c r="E103" i="36"/>
  <c r="H95" i="36"/>
  <c r="E93" i="36"/>
  <c r="F88" i="36"/>
  <c r="F77" i="36"/>
  <c r="D72" i="36"/>
  <c r="I68" i="36"/>
  <c r="E61" i="36"/>
  <c r="F60" i="36"/>
  <c r="D50" i="36"/>
  <c r="H48" i="36"/>
  <c r="J44" i="36"/>
  <c r="D36" i="36"/>
  <c r="D35" i="36"/>
  <c r="D27" i="36"/>
  <c r="J20" i="36"/>
  <c r="G18" i="36"/>
  <c r="D14" i="36"/>
  <c r="I12" i="36"/>
  <c r="G313" i="36"/>
  <c r="G304" i="36"/>
  <c r="H287" i="36"/>
  <c r="E279" i="36"/>
  <c r="H276" i="36"/>
  <c r="G268" i="36"/>
  <c r="G265" i="36"/>
  <c r="F251" i="36"/>
  <c r="E233" i="36"/>
  <c r="J227" i="36"/>
  <c r="G223" i="36"/>
  <c r="E201" i="36"/>
  <c r="I166" i="36"/>
  <c r="F154" i="36"/>
  <c r="G139" i="36"/>
  <c r="J132" i="36"/>
  <c r="H122" i="36"/>
  <c r="J104" i="36"/>
  <c r="E88" i="36"/>
  <c r="J28" i="36"/>
  <c r="O19" i="19"/>
  <c r="G18" i="19"/>
  <c r="Y17" i="19"/>
  <c r="C15" i="32" s="1"/>
  <c r="E15" i="32" s="1"/>
  <c r="O15" i="19"/>
  <c r="Y14" i="19"/>
  <c r="C12" i="32" s="1"/>
  <c r="E12" i="32" s="1"/>
  <c r="G14" i="19"/>
  <c r="G12" i="19"/>
  <c r="G11" i="19"/>
  <c r="Y10" i="19"/>
  <c r="C8" i="32" s="1"/>
  <c r="O9" i="19"/>
  <c r="G8" i="19"/>
  <c r="F316" i="36"/>
  <c r="I314" i="36"/>
  <c r="D313" i="36"/>
  <c r="J311" i="36"/>
  <c r="F304" i="36"/>
  <c r="H295" i="36"/>
  <c r="G287" i="36"/>
  <c r="E276" i="36"/>
  <c r="J272" i="36"/>
  <c r="H263" i="36"/>
  <c r="D253" i="36"/>
  <c r="D251" i="36"/>
  <c r="I237" i="36"/>
  <c r="H227" i="36"/>
  <c r="D223" i="36"/>
  <c r="J203" i="36"/>
  <c r="D201" i="36"/>
  <c r="F175" i="36"/>
  <c r="E166" i="36"/>
  <c r="J161" i="36"/>
  <c r="H140" i="36"/>
  <c r="D139" i="36"/>
  <c r="I132" i="36"/>
  <c r="E125" i="36"/>
  <c r="D122" i="36"/>
  <c r="I104" i="36"/>
  <c r="J74" i="36"/>
  <c r="I73" i="36"/>
  <c r="I51" i="36"/>
  <c r="J36" i="36"/>
  <c r="F32" i="36"/>
  <c r="E28" i="36"/>
  <c r="H20" i="36"/>
  <c r="H19" i="36"/>
  <c r="G12" i="36"/>
  <c r="H11" i="36"/>
  <c r="I272" i="36"/>
  <c r="H132" i="36"/>
  <c r="I75" i="36"/>
  <c r="H74" i="36"/>
  <c r="J52" i="36"/>
  <c r="G41" i="19"/>
  <c r="H31" i="32"/>
  <c r="G28" i="19"/>
  <c r="R28" i="19" s="1"/>
  <c r="U28" i="19" s="1"/>
  <c r="G27" i="19"/>
  <c r="Y26" i="19"/>
  <c r="C24" i="32" s="1"/>
  <c r="H24" i="32" s="1"/>
  <c r="O25" i="19"/>
  <c r="R25" i="19" s="1"/>
  <c r="U25" i="19" s="1"/>
  <c r="G24" i="19"/>
  <c r="G9" i="19"/>
  <c r="R9" i="19" s="1"/>
  <c r="U9" i="19" s="1"/>
  <c r="E314" i="36"/>
  <c r="I305" i="36"/>
  <c r="H298" i="36"/>
  <c r="H290" i="36"/>
  <c r="D287" i="36"/>
  <c r="I273" i="36"/>
  <c r="G272" i="36"/>
  <c r="H269" i="36"/>
  <c r="F263" i="36"/>
  <c r="I257" i="36"/>
  <c r="J241" i="36"/>
  <c r="D227" i="36"/>
  <c r="J221" i="36"/>
  <c r="G216" i="36"/>
  <c r="D203" i="36"/>
  <c r="J197" i="36"/>
  <c r="I173" i="36"/>
  <c r="D164" i="36"/>
  <c r="J162" i="36"/>
  <c r="E148" i="36"/>
  <c r="E143" i="36"/>
  <c r="G137" i="36"/>
  <c r="E136" i="36"/>
  <c r="J133" i="36"/>
  <c r="G132" i="36"/>
  <c r="I119" i="36"/>
  <c r="E116" i="36"/>
  <c r="F112" i="36"/>
  <c r="J110" i="36"/>
  <c r="D96" i="36"/>
  <c r="J94" i="36"/>
  <c r="J92" i="36"/>
  <c r="H75" i="36"/>
  <c r="I65" i="36"/>
  <c r="J60" i="36"/>
  <c r="F56" i="36"/>
  <c r="J54" i="36"/>
  <c r="I52" i="36"/>
  <c r="D51" i="36"/>
  <c r="E49" i="36"/>
  <c r="I47" i="36"/>
  <c r="G45" i="36"/>
  <c r="I35" i="36"/>
  <c r="H23" i="36"/>
  <c r="F21" i="36"/>
  <c r="F20" i="36"/>
  <c r="D19" i="36"/>
  <c r="E11" i="36"/>
  <c r="H312" i="32"/>
  <c r="D318" i="9" s="1"/>
  <c r="E312" i="32"/>
  <c r="H280" i="32"/>
  <c r="D286" i="9" s="1"/>
  <c r="E280" i="32"/>
  <c r="H296" i="32"/>
  <c r="D302" i="9" s="1"/>
  <c r="E296" i="32"/>
  <c r="H288" i="32"/>
  <c r="D294" i="9" s="1"/>
  <c r="E288" i="32"/>
  <c r="E277" i="32"/>
  <c r="H277" i="32"/>
  <c r="R263" i="19"/>
  <c r="U263" i="19" s="1"/>
  <c r="R255" i="19"/>
  <c r="U255" i="19" s="1"/>
  <c r="R239" i="19"/>
  <c r="U239" i="19" s="1"/>
  <c r="R152" i="19"/>
  <c r="U152" i="19" s="1"/>
  <c r="H143" i="32"/>
  <c r="E143" i="32"/>
  <c r="R143" i="19"/>
  <c r="U143" i="19" s="1"/>
  <c r="D201" i="9"/>
  <c r="D181" i="9"/>
  <c r="T167" i="19"/>
  <c r="R167" i="19"/>
  <c r="U167" i="19" s="1"/>
  <c r="E228" i="32"/>
  <c r="H228" i="32"/>
  <c r="E220" i="32"/>
  <c r="H220" i="32"/>
  <c r="T127" i="19"/>
  <c r="R127" i="19"/>
  <c r="U127" i="19" s="1"/>
  <c r="R77" i="19"/>
  <c r="U77" i="19" s="1"/>
  <c r="T77" i="19"/>
  <c r="R69" i="19"/>
  <c r="U69" i="19" s="1"/>
  <c r="T69" i="19"/>
  <c r="E167" i="32"/>
  <c r="H167" i="32"/>
  <c r="T159" i="19"/>
  <c r="R159" i="19"/>
  <c r="U159" i="19" s="1"/>
  <c r="R136" i="19"/>
  <c r="U136" i="19" s="1"/>
  <c r="T136" i="19"/>
  <c r="E92" i="32"/>
  <c r="H92" i="32"/>
  <c r="D229" i="9"/>
  <c r="D221" i="9"/>
  <c r="D213" i="9"/>
  <c r="R196" i="19"/>
  <c r="U196" i="19" s="1"/>
  <c r="R168" i="19"/>
  <c r="U168" i="19" s="1"/>
  <c r="C133" i="39"/>
  <c r="C133" i="12"/>
  <c r="C133" i="33"/>
  <c r="F133" i="32"/>
  <c r="H84" i="32"/>
  <c r="E84" i="32"/>
  <c r="R61" i="19"/>
  <c r="U61" i="19" s="1"/>
  <c r="T61" i="19"/>
  <c r="E309" i="32"/>
  <c r="H309" i="32"/>
  <c r="H205" i="32"/>
  <c r="E205" i="32"/>
  <c r="D205" i="9"/>
  <c r="D197" i="9"/>
  <c r="E159" i="32"/>
  <c r="H159" i="32"/>
  <c r="T151" i="19"/>
  <c r="R151" i="19"/>
  <c r="U151" i="19" s="1"/>
  <c r="C126" i="39"/>
  <c r="C126" i="12"/>
  <c r="C126" i="33"/>
  <c r="F126" i="32"/>
  <c r="T84" i="19"/>
  <c r="R84" i="19"/>
  <c r="U84" i="19" s="1"/>
  <c r="E293" i="32"/>
  <c r="H293" i="32"/>
  <c r="C289" i="39"/>
  <c r="C289" i="12"/>
  <c r="C289" i="33"/>
  <c r="F289" i="32"/>
  <c r="H221" i="32"/>
  <c r="E221" i="32"/>
  <c r="H213" i="32"/>
  <c r="E213" i="32"/>
  <c r="C158" i="39"/>
  <c r="C158" i="12"/>
  <c r="F158" i="32"/>
  <c r="C158" i="33"/>
  <c r="C169" i="34" s="1"/>
  <c r="E76" i="32"/>
  <c r="H76" i="32"/>
  <c r="H304" i="32"/>
  <c r="D310" i="9" s="1"/>
  <c r="E304" i="32"/>
  <c r="T296" i="19"/>
  <c r="R296" i="19"/>
  <c r="U296" i="19" s="1"/>
  <c r="C245" i="39"/>
  <c r="C245" i="12"/>
  <c r="C245" i="33"/>
  <c r="F245" i="32"/>
  <c r="E151" i="32"/>
  <c r="H151" i="32"/>
  <c r="E135" i="32"/>
  <c r="H135" i="32"/>
  <c r="T76" i="19"/>
  <c r="R76" i="19"/>
  <c r="U76" i="19" s="1"/>
  <c r="T68" i="19"/>
  <c r="R68" i="19"/>
  <c r="U68" i="19" s="1"/>
  <c r="Y292" i="19"/>
  <c r="C290" i="32" s="1"/>
  <c r="E290" i="32" s="1"/>
  <c r="O312" i="19"/>
  <c r="Y310" i="19"/>
  <c r="C308" i="32" s="1"/>
  <c r="E308" i="32" s="1"/>
  <c r="Y307" i="19"/>
  <c r="C305" i="32" s="1"/>
  <c r="E305" i="32" s="1"/>
  <c r="O305" i="19"/>
  <c r="O302" i="19"/>
  <c r="Y246" i="19"/>
  <c r="C244" i="32" s="1"/>
  <c r="G311" i="19"/>
  <c r="G308" i="19"/>
  <c r="G304" i="19"/>
  <c r="G301" i="19"/>
  <c r="G298" i="19"/>
  <c r="O295" i="19"/>
  <c r="G290" i="19"/>
  <c r="T290" i="19" s="1"/>
  <c r="O288" i="19"/>
  <c r="G287" i="19"/>
  <c r="G277" i="19"/>
  <c r="G262" i="19"/>
  <c r="O252" i="19"/>
  <c r="Y250" i="19"/>
  <c r="C248" i="32" s="1"/>
  <c r="Y247" i="19"/>
  <c r="C245" i="32" s="1"/>
  <c r="Y243" i="19"/>
  <c r="C241" i="32" s="1"/>
  <c r="Y235" i="19"/>
  <c r="C233" i="32" s="1"/>
  <c r="E233" i="32" s="1"/>
  <c r="G228" i="19"/>
  <c r="O226" i="19"/>
  <c r="Y224" i="19"/>
  <c r="C222" i="32" s="1"/>
  <c r="G220" i="19"/>
  <c r="O218" i="19"/>
  <c r="Y216" i="19"/>
  <c r="C214" i="32" s="1"/>
  <c r="O214" i="19"/>
  <c r="G209" i="19"/>
  <c r="O181" i="19"/>
  <c r="G173" i="19"/>
  <c r="Y172" i="19"/>
  <c r="C170" i="32" s="1"/>
  <c r="G169" i="19"/>
  <c r="G165" i="19"/>
  <c r="Y164" i="19"/>
  <c r="C162" i="32" s="1"/>
  <c r="G161" i="19"/>
  <c r="G157" i="19"/>
  <c r="Y156" i="19"/>
  <c r="C154" i="32" s="1"/>
  <c r="G153" i="19"/>
  <c r="G149" i="19"/>
  <c r="Y148" i="19"/>
  <c r="C146" i="32" s="1"/>
  <c r="G146" i="19"/>
  <c r="O140" i="19"/>
  <c r="Y138" i="19"/>
  <c r="C136" i="32" s="1"/>
  <c r="G134" i="19"/>
  <c r="G131" i="19"/>
  <c r="G123" i="19"/>
  <c r="G109" i="19"/>
  <c r="G108" i="19"/>
  <c r="Y105" i="19"/>
  <c r="C103" i="32" s="1"/>
  <c r="E103" i="32" s="1"/>
  <c r="Y102" i="19"/>
  <c r="C100" i="32" s="1"/>
  <c r="G88" i="19"/>
  <c r="G83" i="19"/>
  <c r="G80" i="19"/>
  <c r="O73" i="19"/>
  <c r="G72" i="19"/>
  <c r="O70" i="19"/>
  <c r="G67" i="19"/>
  <c r="G57" i="19"/>
  <c r="E45" i="32"/>
  <c r="G44" i="19"/>
  <c r="E33" i="32"/>
  <c r="H33" i="32"/>
  <c r="H264" i="32"/>
  <c r="D270" i="9" s="1"/>
  <c r="E264" i="32"/>
  <c r="H256" i="32"/>
  <c r="D262" i="9" s="1"/>
  <c r="E256" i="32"/>
  <c r="E253" i="32"/>
  <c r="H253" i="32"/>
  <c r="H239" i="32"/>
  <c r="E239" i="32"/>
  <c r="D244" i="9"/>
  <c r="H231" i="32"/>
  <c r="E231" i="32"/>
  <c r="D217" i="9"/>
  <c r="E204" i="32"/>
  <c r="H204" i="32"/>
  <c r="D209" i="9"/>
  <c r="E196" i="32"/>
  <c r="H196" i="32"/>
  <c r="D198" i="9"/>
  <c r="H189" i="32"/>
  <c r="E189" i="32"/>
  <c r="E171" i="32"/>
  <c r="H171" i="32"/>
  <c r="E163" i="32"/>
  <c r="H163" i="32"/>
  <c r="H155" i="32"/>
  <c r="E155" i="32"/>
  <c r="E147" i="32"/>
  <c r="H147" i="32"/>
  <c r="E129" i="32"/>
  <c r="H129" i="32"/>
  <c r="E116" i="32"/>
  <c r="H116" i="32"/>
  <c r="E60" i="32"/>
  <c r="H60" i="32"/>
  <c r="E59" i="32"/>
  <c r="H59" i="32"/>
  <c r="E49" i="32"/>
  <c r="H49" i="32"/>
  <c r="R36" i="19"/>
  <c r="U36" i="19" s="1"/>
  <c r="E28" i="32"/>
  <c r="O300" i="19"/>
  <c r="Y287" i="19"/>
  <c r="C285" i="32" s="1"/>
  <c r="H285" i="32" s="1"/>
  <c r="O286" i="19"/>
  <c r="E283" i="32"/>
  <c r="G285" i="19"/>
  <c r="Y284" i="19"/>
  <c r="C282" i="32" s="1"/>
  <c r="E282" i="32" s="1"/>
  <c r="H276" i="32"/>
  <c r="Y277" i="19"/>
  <c r="C275" i="32" s="1"/>
  <c r="E275" i="32" s="1"/>
  <c r="H273" i="32"/>
  <c r="Y270" i="19"/>
  <c r="C268" i="32" s="1"/>
  <c r="E268" i="32" s="1"/>
  <c r="Y263" i="19"/>
  <c r="C261" i="32" s="1"/>
  <c r="Y262" i="19"/>
  <c r="C260" i="32" s="1"/>
  <c r="E260" i="32" s="1"/>
  <c r="G259" i="19"/>
  <c r="O257" i="19"/>
  <c r="G256" i="19"/>
  <c r="Y251" i="19"/>
  <c r="C249" i="32" s="1"/>
  <c r="E249" i="32" s="1"/>
  <c r="O246" i="19"/>
  <c r="G241" i="19"/>
  <c r="O238" i="19"/>
  <c r="G233" i="19"/>
  <c r="Y229" i="19"/>
  <c r="C227" i="32" s="1"/>
  <c r="H227" i="32" s="1"/>
  <c r="Y228" i="19"/>
  <c r="C226" i="32" s="1"/>
  <c r="E224" i="32"/>
  <c r="G226" i="19"/>
  <c r="Y221" i="19"/>
  <c r="C219" i="32" s="1"/>
  <c r="H219" i="32" s="1"/>
  <c r="Y220" i="19"/>
  <c r="C218" i="32" s="1"/>
  <c r="E216" i="32"/>
  <c r="G218" i="19"/>
  <c r="G206" i="19"/>
  <c r="T206" i="19" s="1"/>
  <c r="G199" i="19"/>
  <c r="O197" i="19"/>
  <c r="G195" i="19"/>
  <c r="G192" i="19"/>
  <c r="Y189" i="19"/>
  <c r="C187" i="32" s="1"/>
  <c r="H187" i="32" s="1"/>
  <c r="H183" i="32"/>
  <c r="O182" i="19"/>
  <c r="Y139" i="19"/>
  <c r="C137" i="32" s="1"/>
  <c r="Y134" i="19"/>
  <c r="C132" i="32" s="1"/>
  <c r="E132" i="32" s="1"/>
  <c r="O133" i="19"/>
  <c r="G132" i="19"/>
  <c r="Y127" i="19"/>
  <c r="C125" i="32" s="1"/>
  <c r="Y126" i="19"/>
  <c r="C124" i="32" s="1"/>
  <c r="O125" i="19"/>
  <c r="G124" i="19"/>
  <c r="O122" i="19"/>
  <c r="G118" i="19"/>
  <c r="G112" i="19"/>
  <c r="O101" i="19"/>
  <c r="G99" i="19"/>
  <c r="D77" i="9"/>
  <c r="E68" i="32"/>
  <c r="H68" i="32"/>
  <c r="E67" i="32"/>
  <c r="H67" i="32"/>
  <c r="D71" i="9"/>
  <c r="G62" i="19"/>
  <c r="H56" i="32"/>
  <c r="R52" i="19"/>
  <c r="U52" i="19" s="1"/>
  <c r="C43" i="39"/>
  <c r="C43" i="12"/>
  <c r="C43" i="33"/>
  <c r="F43" i="32"/>
  <c r="E31" i="32"/>
  <c r="E17" i="32"/>
  <c r="H17" i="32"/>
  <c r="G312" i="19"/>
  <c r="Y308" i="19"/>
  <c r="C306" i="32" s="1"/>
  <c r="E306" i="32" s="1"/>
  <c r="G305" i="19"/>
  <c r="Y315" i="19"/>
  <c r="C313" i="32" s="1"/>
  <c r="E313" i="32" s="1"/>
  <c r="G309" i="19"/>
  <c r="G303" i="19"/>
  <c r="O297" i="19"/>
  <c r="Y294" i="19"/>
  <c r="C292" i="32" s="1"/>
  <c r="E292" i="32" s="1"/>
  <c r="Y291" i="19"/>
  <c r="C289" i="32" s="1"/>
  <c r="E289" i="32" s="1"/>
  <c r="G289" i="32" s="1"/>
  <c r="Y271" i="19"/>
  <c r="C269" i="32" s="1"/>
  <c r="Y267" i="19"/>
  <c r="C265" i="32" s="1"/>
  <c r="E265" i="32" s="1"/>
  <c r="G264" i="19"/>
  <c r="Y259" i="19"/>
  <c r="C257" i="32" s="1"/>
  <c r="E257" i="32" s="1"/>
  <c r="G252" i="19"/>
  <c r="O250" i="19"/>
  <c r="Y248" i="19"/>
  <c r="C246" i="32" s="1"/>
  <c r="H246" i="32" s="1"/>
  <c r="Y245" i="19"/>
  <c r="C243" i="32" s="1"/>
  <c r="E243" i="32" s="1"/>
  <c r="Y244" i="19"/>
  <c r="C242" i="32" s="1"/>
  <c r="H242" i="32" s="1"/>
  <c r="G242" i="19"/>
  <c r="H236" i="32"/>
  <c r="Y237" i="19"/>
  <c r="C235" i="32" s="1"/>
  <c r="H235" i="32" s="1"/>
  <c r="Y236" i="19"/>
  <c r="C234" i="32" s="1"/>
  <c r="H234" i="32" s="1"/>
  <c r="G234" i="19"/>
  <c r="G214" i="19"/>
  <c r="Y202" i="19"/>
  <c r="C200" i="32" s="1"/>
  <c r="H200" i="32" s="1"/>
  <c r="Y199" i="19"/>
  <c r="C197" i="32" s="1"/>
  <c r="O172" i="19"/>
  <c r="O164" i="19"/>
  <c r="Y146" i="19"/>
  <c r="C144" i="32" s="1"/>
  <c r="Y142" i="19"/>
  <c r="C140" i="32" s="1"/>
  <c r="G140" i="19"/>
  <c r="Y136" i="19"/>
  <c r="C134" i="32" s="1"/>
  <c r="Y135" i="19"/>
  <c r="C133" i="32" s="1"/>
  <c r="Y128" i="19"/>
  <c r="C126" i="32" s="1"/>
  <c r="G119" i="19"/>
  <c r="Y115" i="19"/>
  <c r="C113" i="32" s="1"/>
  <c r="H113" i="32" s="1"/>
  <c r="H111" i="32"/>
  <c r="Y85" i="19"/>
  <c r="C83" i="32" s="1"/>
  <c r="E79" i="32"/>
  <c r="Y77" i="19"/>
  <c r="C75" i="32" s="1"/>
  <c r="Y76" i="19"/>
  <c r="C74" i="32" s="1"/>
  <c r="E74" i="32" s="1"/>
  <c r="Y75" i="19"/>
  <c r="C73" i="32" s="1"/>
  <c r="H73" i="32" s="1"/>
  <c r="G73" i="19"/>
  <c r="G70" i="19"/>
  <c r="H48" i="32"/>
  <c r="T45" i="19"/>
  <c r="H32" i="32"/>
  <c r="Y305" i="19"/>
  <c r="C303" i="32" s="1"/>
  <c r="E303" i="32" s="1"/>
  <c r="G299" i="19"/>
  <c r="G292" i="19"/>
  <c r="G288" i="19"/>
  <c r="G279" i="19"/>
  <c r="O276" i="19"/>
  <c r="Y274" i="19"/>
  <c r="C272" i="32" s="1"/>
  <c r="O314" i="19"/>
  <c r="G313" i="19"/>
  <c r="Y312" i="19"/>
  <c r="C310" i="32" s="1"/>
  <c r="H308" i="32"/>
  <c r="Y309" i="19"/>
  <c r="C307" i="32" s="1"/>
  <c r="E307" i="32" s="1"/>
  <c r="H305" i="32"/>
  <c r="G306" i="19"/>
  <c r="T306" i="19" s="1"/>
  <c r="Y302" i="19"/>
  <c r="C300" i="32" s="1"/>
  <c r="E300" i="32" s="1"/>
  <c r="Y299" i="19"/>
  <c r="C297" i="32" s="1"/>
  <c r="E297" i="32" s="1"/>
  <c r="G295" i="19"/>
  <c r="O287" i="19"/>
  <c r="G283" i="19"/>
  <c r="O280" i="19"/>
  <c r="G278" i="19"/>
  <c r="T278" i="19" s="1"/>
  <c r="G275" i="19"/>
  <c r="G272" i="19"/>
  <c r="G268" i="19"/>
  <c r="O266" i="19"/>
  <c r="Y264" i="19"/>
  <c r="C262" i="32" s="1"/>
  <c r="G260" i="19"/>
  <c r="O258" i="19"/>
  <c r="Y256" i="19"/>
  <c r="C254" i="32" s="1"/>
  <c r="O254" i="19"/>
  <c r="G249" i="19"/>
  <c r="G230" i="19"/>
  <c r="G222" i="19"/>
  <c r="O212" i="19"/>
  <c r="Y210" i="19"/>
  <c r="C208" i="32" s="1"/>
  <c r="H208" i="32" s="1"/>
  <c r="G207" i="19"/>
  <c r="O205" i="19"/>
  <c r="Y203" i="19"/>
  <c r="C201" i="32" s="1"/>
  <c r="O201" i="19"/>
  <c r="G200" i="19"/>
  <c r="O198" i="19"/>
  <c r="G197" i="19"/>
  <c r="Y192" i="19"/>
  <c r="C190" i="32" s="1"/>
  <c r="H190" i="32" s="1"/>
  <c r="G171" i="19"/>
  <c r="G166" i="19"/>
  <c r="G163" i="19"/>
  <c r="G158" i="19"/>
  <c r="G155" i="19"/>
  <c r="G150" i="19"/>
  <c r="G147" i="19"/>
  <c r="O145" i="19"/>
  <c r="G144" i="19"/>
  <c r="Y143" i="19"/>
  <c r="C141" i="32" s="1"/>
  <c r="G137" i="19"/>
  <c r="G133" i="19"/>
  <c r="Y132" i="19"/>
  <c r="C130" i="32" s="1"/>
  <c r="G129" i="19"/>
  <c r="G125" i="19"/>
  <c r="Y124" i="19"/>
  <c r="C122" i="32" s="1"/>
  <c r="Y121" i="19"/>
  <c r="C119" i="32" s="1"/>
  <c r="E119" i="32" s="1"/>
  <c r="O120" i="19"/>
  <c r="G101" i="19"/>
  <c r="H88" i="32"/>
  <c r="G90" i="19"/>
  <c r="H85" i="32"/>
  <c r="G87" i="19"/>
  <c r="G86" i="19"/>
  <c r="H80" i="32"/>
  <c r="G82" i="19"/>
  <c r="H77" i="32"/>
  <c r="G79" i="19"/>
  <c r="G78" i="19"/>
  <c r="G71" i="19"/>
  <c r="G66" i="19"/>
  <c r="Y65" i="19"/>
  <c r="C63" i="32" s="1"/>
  <c r="E63" i="32" s="1"/>
  <c r="O64" i="19"/>
  <c r="Y55" i="19"/>
  <c r="C53" i="32" s="1"/>
  <c r="E53" i="32" s="1"/>
  <c r="G53" i="19"/>
  <c r="Y52" i="19"/>
  <c r="C50" i="32" s="1"/>
  <c r="E50" i="32" s="1"/>
  <c r="G50" i="19"/>
  <c r="Y49" i="19"/>
  <c r="C47" i="32" s="1"/>
  <c r="E47" i="32" s="1"/>
  <c r="H40" i="32"/>
  <c r="E29" i="32"/>
  <c r="E24" i="32"/>
  <c r="E11" i="32"/>
  <c r="H11" i="32"/>
  <c r="D17" i="9" s="1"/>
  <c r="E241" i="32"/>
  <c r="D230" i="9"/>
  <c r="E222" i="32"/>
  <c r="D222" i="9"/>
  <c r="E214" i="32"/>
  <c r="E212" i="32"/>
  <c r="H212" i="32"/>
  <c r="E131" i="32"/>
  <c r="H131" i="32"/>
  <c r="H128" i="32"/>
  <c r="E128" i="32"/>
  <c r="E123" i="32"/>
  <c r="H123" i="32"/>
  <c r="E112" i="32"/>
  <c r="E101" i="32"/>
  <c r="H101" i="32"/>
  <c r="E71" i="32"/>
  <c r="C58" i="39"/>
  <c r="C58" i="12"/>
  <c r="C58" i="33"/>
  <c r="F58" i="32"/>
  <c r="G58" i="32" s="1"/>
  <c r="G56" i="19"/>
  <c r="R56" i="19" s="1"/>
  <c r="U56" i="19" s="1"/>
  <c r="R48" i="19"/>
  <c r="U48" i="19" s="1"/>
  <c r="D51" i="9"/>
  <c r="Y46" i="19"/>
  <c r="C44" i="32" s="1"/>
  <c r="D22" i="9"/>
  <c r="E9" i="32"/>
  <c r="H9" i="32"/>
  <c r="E8" i="32"/>
  <c r="H8" i="32"/>
  <c r="E291" i="32"/>
  <c r="G293" i="19"/>
  <c r="G289" i="19"/>
  <c r="T289" i="19" s="1"/>
  <c r="G280" i="19"/>
  <c r="O277" i="19"/>
  <c r="O274" i="19"/>
  <c r="Y272" i="19"/>
  <c r="C270" i="32" s="1"/>
  <c r="Y269" i="19"/>
  <c r="C267" i="32" s="1"/>
  <c r="E267" i="32" s="1"/>
  <c r="Y268" i="19"/>
  <c r="C266" i="32" s="1"/>
  <c r="E266" i="32" s="1"/>
  <c r="R268" i="19"/>
  <c r="U268" i="19" s="1"/>
  <c r="Y261" i="19"/>
  <c r="C259" i="32" s="1"/>
  <c r="E259" i="32" s="1"/>
  <c r="Y260" i="19"/>
  <c r="C258" i="32" s="1"/>
  <c r="E258" i="32" s="1"/>
  <c r="G258" i="19"/>
  <c r="H252" i="32"/>
  <c r="G254" i="19"/>
  <c r="O244" i="19"/>
  <c r="Y242" i="19"/>
  <c r="C240" i="32" s="1"/>
  <c r="H240" i="32" s="1"/>
  <c r="E238" i="32"/>
  <c r="Y239" i="19"/>
  <c r="C237" i="32" s="1"/>
  <c r="O236" i="19"/>
  <c r="Y234" i="19"/>
  <c r="C232" i="32" s="1"/>
  <c r="E232" i="32" s="1"/>
  <c r="H230" i="32"/>
  <c r="Y231" i="19"/>
  <c r="C229" i="32" s="1"/>
  <c r="G227" i="19"/>
  <c r="O225" i="19"/>
  <c r="G224" i="19"/>
  <c r="G219" i="19"/>
  <c r="O217" i="19"/>
  <c r="G216" i="19"/>
  <c r="H210" i="32"/>
  <c r="Y211" i="19"/>
  <c r="C209" i="32" s="1"/>
  <c r="Y204" i="19"/>
  <c r="C202" i="32" s="1"/>
  <c r="H202" i="32" s="1"/>
  <c r="O202" i="19"/>
  <c r="Y200" i="19"/>
  <c r="C198" i="32" s="1"/>
  <c r="H198" i="32" s="1"/>
  <c r="E192" i="32"/>
  <c r="G194" i="19"/>
  <c r="T194" i="19" s="1"/>
  <c r="Y190" i="19"/>
  <c r="C188" i="32" s="1"/>
  <c r="G179" i="19"/>
  <c r="Y174" i="19"/>
  <c r="C172" i="32" s="1"/>
  <c r="O173" i="19"/>
  <c r="G172" i="19"/>
  <c r="Y167" i="19"/>
  <c r="C165" i="32" s="1"/>
  <c r="Y166" i="19"/>
  <c r="C164" i="32" s="1"/>
  <c r="O165" i="19"/>
  <c r="G164" i="19"/>
  <c r="Y159" i="19"/>
  <c r="C157" i="32" s="1"/>
  <c r="Y158" i="19"/>
  <c r="C156" i="32" s="1"/>
  <c r="O157" i="19"/>
  <c r="G156" i="19"/>
  <c r="Y151" i="19"/>
  <c r="C149" i="32" s="1"/>
  <c r="Y150" i="19"/>
  <c r="C148" i="32" s="1"/>
  <c r="O149" i="19"/>
  <c r="G148" i="19"/>
  <c r="O146" i="19"/>
  <c r="Y144" i="19"/>
  <c r="C142" i="32" s="1"/>
  <c r="O142" i="19"/>
  <c r="Y141" i="19"/>
  <c r="C139" i="32" s="1"/>
  <c r="Y119" i="19"/>
  <c r="C117" i="32" s="1"/>
  <c r="Y116" i="19"/>
  <c r="C114" i="32" s="1"/>
  <c r="O115" i="19"/>
  <c r="G114" i="19"/>
  <c r="Y110" i="19"/>
  <c r="C108" i="32" s="1"/>
  <c r="E108" i="32" s="1"/>
  <c r="O109" i="19"/>
  <c r="H103" i="32"/>
  <c r="G105" i="19"/>
  <c r="Y63" i="19"/>
  <c r="C61" i="32" s="1"/>
  <c r="E61" i="32" s="1"/>
  <c r="G59" i="19"/>
  <c r="D34" i="9"/>
  <c r="E286" i="32"/>
  <c r="H286" i="32"/>
  <c r="O315" i="19"/>
  <c r="G314" i="19"/>
  <c r="O294" i="19"/>
  <c r="Y303" i="19"/>
  <c r="C301" i="32" s="1"/>
  <c r="Y300" i="19"/>
  <c r="C298" i="32" s="1"/>
  <c r="E298" i="32" s="1"/>
  <c r="Y297" i="19"/>
  <c r="C295" i="32" s="1"/>
  <c r="E295" i="32" s="1"/>
  <c r="Y289" i="19"/>
  <c r="C287" i="32" s="1"/>
  <c r="E287" i="32" s="1"/>
  <c r="Y286" i="19"/>
  <c r="C284" i="32" s="1"/>
  <c r="E284" i="32" s="1"/>
  <c r="G284" i="19"/>
  <c r="O281" i="19"/>
  <c r="G243" i="19"/>
  <c r="O241" i="19"/>
  <c r="G240" i="19"/>
  <c r="G235" i="19"/>
  <c r="O233" i="19"/>
  <c r="G232" i="19"/>
  <c r="H226" i="32"/>
  <c r="Y227" i="19"/>
  <c r="C225" i="32" s="1"/>
  <c r="H218" i="32"/>
  <c r="Y219" i="19"/>
  <c r="C217" i="32" s="1"/>
  <c r="G212" i="19"/>
  <c r="O210" i="19"/>
  <c r="Y208" i="19"/>
  <c r="C206" i="32" s="1"/>
  <c r="H206" i="32" s="1"/>
  <c r="G205" i="19"/>
  <c r="G201" i="19"/>
  <c r="O192" i="19"/>
  <c r="G191" i="19"/>
  <c r="Y186" i="19"/>
  <c r="C184" i="32" s="1"/>
  <c r="H184" i="32" s="1"/>
  <c r="Y182" i="19"/>
  <c r="C180" i="32" s="1"/>
  <c r="Y179" i="19"/>
  <c r="C177" i="32" s="1"/>
  <c r="H177" i="32" s="1"/>
  <c r="Y168" i="19"/>
  <c r="C166" i="32" s="1"/>
  <c r="Y160" i="19"/>
  <c r="C158" i="32" s="1"/>
  <c r="Y152" i="19"/>
  <c r="C150" i="32" s="1"/>
  <c r="G145" i="19"/>
  <c r="H132" i="32"/>
  <c r="H125" i="32"/>
  <c r="G126" i="19"/>
  <c r="Y122" i="19"/>
  <c r="C120" i="32" s="1"/>
  <c r="G120" i="19"/>
  <c r="G117" i="19"/>
  <c r="Y71" i="19"/>
  <c r="C69" i="32" s="1"/>
  <c r="E69" i="32" s="1"/>
  <c r="O65" i="19"/>
  <c r="G64" i="19"/>
  <c r="O62" i="19"/>
  <c r="O55" i="19"/>
  <c r="H52" i="32"/>
  <c r="E52" i="32"/>
  <c r="Y53" i="19"/>
  <c r="C51" i="32" s="1"/>
  <c r="D37" i="9"/>
  <c r="C26" i="39"/>
  <c r="C26" i="12"/>
  <c r="C26" i="33"/>
  <c r="F26" i="32"/>
  <c r="G26" i="32" s="1"/>
  <c r="E25" i="32"/>
  <c r="H25" i="32"/>
  <c r="D30" i="9"/>
  <c r="C7" i="39"/>
  <c r="C7" i="12"/>
  <c r="C7" i="33"/>
  <c r="F7" i="32"/>
  <c r="Y120" i="19"/>
  <c r="C118" i="32" s="1"/>
  <c r="Y107" i="19"/>
  <c r="C105" i="32" s="1"/>
  <c r="E105" i="32" s="1"/>
  <c r="O106" i="19"/>
  <c r="O99" i="19"/>
  <c r="O75" i="19"/>
  <c r="Y74" i="19"/>
  <c r="C72" i="32" s="1"/>
  <c r="H72" i="32" s="1"/>
  <c r="O67" i="19"/>
  <c r="Y66" i="19"/>
  <c r="C64" i="32" s="1"/>
  <c r="H64" i="32" s="1"/>
  <c r="G55" i="19"/>
  <c r="G51" i="19"/>
  <c r="O49" i="19"/>
  <c r="O37" i="19"/>
  <c r="O33" i="19"/>
  <c r="Y20" i="19"/>
  <c r="C18" i="32" s="1"/>
  <c r="E18" i="32" s="1"/>
  <c r="O18" i="19"/>
  <c r="G16" i="19"/>
  <c r="O11" i="19"/>
  <c r="G10" i="19"/>
  <c r="Y9" i="19"/>
  <c r="C7" i="32" s="1"/>
  <c r="G21" i="19"/>
  <c r="H15" i="32"/>
  <c r="G49" i="19"/>
  <c r="G40" i="19"/>
  <c r="O38" i="19"/>
  <c r="G37" i="19"/>
  <c r="O34" i="19"/>
  <c r="Y32" i="19"/>
  <c r="C30" i="32" s="1"/>
  <c r="E30" i="32" s="1"/>
  <c r="Y24" i="19"/>
  <c r="C22" i="32" s="1"/>
  <c r="E22" i="32" s="1"/>
  <c r="Y21" i="19"/>
  <c r="C19" i="32" s="1"/>
  <c r="E19" i="32" s="1"/>
  <c r="O117" i="19"/>
  <c r="G116" i="19"/>
  <c r="O114" i="19"/>
  <c r="G113" i="19"/>
  <c r="O111" i="19"/>
  <c r="Y106" i="19"/>
  <c r="C104" i="32" s="1"/>
  <c r="Y99" i="19"/>
  <c r="C97" i="32" s="1"/>
  <c r="E97" i="32" s="1"/>
  <c r="G96" i="19"/>
  <c r="Y91" i="19"/>
  <c r="C89" i="32" s="1"/>
  <c r="H89" i="32" s="1"/>
  <c r="O90" i="19"/>
  <c r="G89" i="19"/>
  <c r="Y84" i="19"/>
  <c r="C82" i="32" s="1"/>
  <c r="E82" i="32" s="1"/>
  <c r="Y83" i="19"/>
  <c r="C81" i="32" s="1"/>
  <c r="H81" i="32" s="1"/>
  <c r="O82" i="19"/>
  <c r="G81" i="19"/>
  <c r="Y72" i="19"/>
  <c r="C70" i="32" s="1"/>
  <c r="E70" i="32" s="1"/>
  <c r="Y64" i="19"/>
  <c r="C62" i="32" s="1"/>
  <c r="E62" i="32" s="1"/>
  <c r="Y59" i="19"/>
  <c r="C57" i="32" s="1"/>
  <c r="Y56" i="19"/>
  <c r="C54" i="32" s="1"/>
  <c r="E54" i="32" s="1"/>
  <c r="O54" i="19"/>
  <c r="O47" i="19"/>
  <c r="Y45" i="19"/>
  <c r="C43" i="32" s="1"/>
  <c r="Y44" i="19"/>
  <c r="C42" i="32" s="1"/>
  <c r="E42" i="32" s="1"/>
  <c r="Y43" i="19"/>
  <c r="C41" i="32" s="1"/>
  <c r="Y40" i="19"/>
  <c r="C38" i="32" s="1"/>
  <c r="E38" i="32" s="1"/>
  <c r="H36" i="32"/>
  <c r="O31" i="19"/>
  <c r="Y29" i="19"/>
  <c r="C27" i="32" s="1"/>
  <c r="E27" i="32" s="1"/>
  <c r="O27" i="19"/>
  <c r="G26" i="19"/>
  <c r="Y25" i="19"/>
  <c r="C23" i="32" s="1"/>
  <c r="O23" i="19"/>
  <c r="Y22" i="19"/>
  <c r="C20" i="32" s="1"/>
  <c r="E20" i="32" s="1"/>
  <c r="G22" i="19"/>
  <c r="G20" i="19"/>
  <c r="G19" i="19"/>
  <c r="O13" i="19"/>
  <c r="H35" i="32"/>
  <c r="D41" i="9" s="1"/>
  <c r="G34" i="19"/>
  <c r="G30" i="19"/>
  <c r="G15" i="19"/>
  <c r="G38" i="19"/>
  <c r="R17" i="19"/>
  <c r="U17" i="19" s="1"/>
  <c r="E10" i="32"/>
  <c r="E35" i="32"/>
  <c r="G63" i="19"/>
  <c r="O59" i="19"/>
  <c r="G58" i="19"/>
  <c r="Y57" i="19"/>
  <c r="C55" i="32" s="1"/>
  <c r="E55" i="32" s="1"/>
  <c r="G54" i="19"/>
  <c r="O43" i="19"/>
  <c r="G42" i="19"/>
  <c r="Y41" i="19"/>
  <c r="C39" i="32" s="1"/>
  <c r="E39" i="32" s="1"/>
  <c r="G39" i="19"/>
  <c r="G35" i="19"/>
  <c r="O29" i="19"/>
  <c r="Y15" i="19"/>
  <c r="C13" i="32" s="1"/>
  <c r="E13" i="32" s="1"/>
  <c r="O14" i="19"/>
  <c r="G13" i="19"/>
  <c r="Y8" i="19"/>
  <c r="C6" i="32" s="1"/>
  <c r="E6" i="32" s="1"/>
  <c r="F310" i="36"/>
  <c r="D310" i="36"/>
  <c r="G306" i="36"/>
  <c r="E306" i="36"/>
  <c r="H306" i="36"/>
  <c r="E300" i="36"/>
  <c r="F300" i="36"/>
  <c r="F297" i="36"/>
  <c r="I297" i="36"/>
  <c r="J295" i="36"/>
  <c r="J294" i="36"/>
  <c r="H291" i="36"/>
  <c r="I291" i="36"/>
  <c r="E280" i="36"/>
  <c r="F280" i="36"/>
  <c r="I280" i="36"/>
  <c r="G279" i="36"/>
  <c r="I279" i="36"/>
  <c r="F278" i="36"/>
  <c r="I278" i="36"/>
  <c r="E271" i="36"/>
  <c r="G271" i="36"/>
  <c r="E266" i="36"/>
  <c r="D266" i="36"/>
  <c r="D265" i="36"/>
  <c r="F265" i="36"/>
  <c r="F262" i="36"/>
  <c r="I249" i="36"/>
  <c r="E248" i="36"/>
  <c r="I248" i="36"/>
  <c r="I246" i="36"/>
  <c r="G237" i="36"/>
  <c r="D237" i="36"/>
  <c r="F237" i="36"/>
  <c r="H235" i="36"/>
  <c r="G234" i="36"/>
  <c r="J234" i="36"/>
  <c r="H233" i="36"/>
  <c r="J233" i="36"/>
  <c r="F226" i="36"/>
  <c r="E220" i="36"/>
  <c r="I218" i="36"/>
  <c r="E218" i="36"/>
  <c r="D217" i="36"/>
  <c r="F217" i="36"/>
  <c r="H196" i="36"/>
  <c r="E196" i="36"/>
  <c r="D196" i="36"/>
  <c r="H185" i="36"/>
  <c r="D185" i="36"/>
  <c r="E185" i="36"/>
  <c r="G185" i="36"/>
  <c r="J183" i="36"/>
  <c r="F183" i="36"/>
  <c r="J169" i="36"/>
  <c r="F169" i="36"/>
  <c r="G169" i="36"/>
  <c r="K169" i="36" s="1"/>
  <c r="F177" i="34" s="1"/>
  <c r="I169" i="36"/>
  <c r="G167" i="36"/>
  <c r="J167" i="36"/>
  <c r="H161" i="36"/>
  <c r="D161" i="36"/>
  <c r="E161" i="36"/>
  <c r="G161" i="36"/>
  <c r="F274" i="36"/>
  <c r="D274" i="36"/>
  <c r="G261" i="36"/>
  <c r="I261" i="36"/>
  <c r="F259" i="36"/>
  <c r="D259" i="36"/>
  <c r="H207" i="36"/>
  <c r="G207" i="36"/>
  <c r="J207" i="36"/>
  <c r="G188" i="36"/>
  <c r="H188" i="36"/>
  <c r="G314" i="36"/>
  <c r="D314" i="36"/>
  <c r="H307" i="36"/>
  <c r="I307" i="36"/>
  <c r="F302" i="36"/>
  <c r="E302" i="36"/>
  <c r="H302" i="36"/>
  <c r="F295" i="36"/>
  <c r="G294" i="36"/>
  <c r="H282" i="36"/>
  <c r="F281" i="36"/>
  <c r="G281" i="36"/>
  <c r="G269" i="36"/>
  <c r="J269" i="36"/>
  <c r="J253" i="36"/>
  <c r="J250" i="36"/>
  <c r="F249" i="36"/>
  <c r="G245" i="36"/>
  <c r="I245" i="36"/>
  <c r="G229" i="36"/>
  <c r="F229" i="36"/>
  <c r="I229" i="36"/>
  <c r="G221" i="36"/>
  <c r="D221" i="36"/>
  <c r="I208" i="36"/>
  <c r="I202" i="36"/>
  <c r="G202" i="36"/>
  <c r="J202" i="36"/>
  <c r="K197" i="36"/>
  <c r="F205" i="34" s="1"/>
  <c r="J181" i="36"/>
  <c r="F181" i="36"/>
  <c r="G181" i="36"/>
  <c r="I181" i="36"/>
  <c r="J179" i="36"/>
  <c r="D179" i="36"/>
  <c r="F179" i="36"/>
  <c r="H179" i="36"/>
  <c r="I170" i="36"/>
  <c r="E170" i="36"/>
  <c r="H315" i="36"/>
  <c r="F315" i="36"/>
  <c r="G312" i="36"/>
  <c r="I304" i="36"/>
  <c r="D304" i="36"/>
  <c r="D303" i="36"/>
  <c r="F303" i="36"/>
  <c r="G298" i="36"/>
  <c r="I298" i="36"/>
  <c r="G296" i="36"/>
  <c r="E295" i="36"/>
  <c r="E294" i="36"/>
  <c r="H292" i="36"/>
  <c r="E284" i="36"/>
  <c r="F284" i="36"/>
  <c r="F282" i="36"/>
  <c r="G267" i="36"/>
  <c r="F267" i="36"/>
  <c r="J267" i="36"/>
  <c r="J264" i="36"/>
  <c r="I253" i="36"/>
  <c r="G250" i="36"/>
  <c r="E249" i="36"/>
  <c r="H247" i="36"/>
  <c r="H239" i="36"/>
  <c r="F230" i="36"/>
  <c r="I230" i="36"/>
  <c r="G213" i="36"/>
  <c r="J213" i="36"/>
  <c r="D213" i="36"/>
  <c r="H209" i="36"/>
  <c r="G208" i="36"/>
  <c r="J194" i="36"/>
  <c r="I194" i="36"/>
  <c r="F190" i="36"/>
  <c r="I172" i="36"/>
  <c r="D172" i="36"/>
  <c r="E172" i="36"/>
  <c r="H172" i="36"/>
  <c r="H168" i="36"/>
  <c r="F292" i="36"/>
  <c r="K287" i="36"/>
  <c r="F295" i="34" s="1"/>
  <c r="F286" i="36"/>
  <c r="D286" i="36"/>
  <c r="G286" i="36"/>
  <c r="H279" i="36"/>
  <c r="H278" i="36"/>
  <c r="J273" i="36"/>
  <c r="I271" i="36"/>
  <c r="I265" i="36"/>
  <c r="J261" i="36"/>
  <c r="G251" i="36"/>
  <c r="F250" i="36"/>
  <c r="G247" i="36"/>
  <c r="G243" i="36"/>
  <c r="F243" i="36"/>
  <c r="D239" i="36"/>
  <c r="J237" i="36"/>
  <c r="G233" i="36"/>
  <c r="I217" i="36"/>
  <c r="E208" i="36"/>
  <c r="G205" i="36"/>
  <c r="F205" i="36"/>
  <c r="H205" i="36"/>
  <c r="J205" i="36"/>
  <c r="I182" i="36"/>
  <c r="E182" i="36"/>
  <c r="F182" i="36"/>
  <c r="J182" i="36"/>
  <c r="G177" i="36"/>
  <c r="E177" i="36"/>
  <c r="J177" i="36"/>
  <c r="D177" i="36"/>
  <c r="E165" i="36"/>
  <c r="I165" i="36"/>
  <c r="J165" i="36"/>
  <c r="D165" i="36"/>
  <c r="I296" i="36"/>
  <c r="F296" i="36"/>
  <c r="J296" i="36"/>
  <c r="G295" i="36"/>
  <c r="I295" i="36"/>
  <c r="F294" i="36"/>
  <c r="I294" i="36"/>
  <c r="E282" i="36"/>
  <c r="I282" i="36"/>
  <c r="G264" i="36"/>
  <c r="D264" i="36"/>
  <c r="H261" i="36"/>
  <c r="E260" i="36"/>
  <c r="H260" i="36"/>
  <c r="H249" i="36"/>
  <c r="J249" i="36"/>
  <c r="E192" i="36"/>
  <c r="G192" i="36"/>
  <c r="I190" i="36"/>
  <c r="J190" i="36"/>
  <c r="G187" i="36"/>
  <c r="H187" i="36"/>
  <c r="E168" i="36"/>
  <c r="G168" i="36"/>
  <c r="I312" i="36"/>
  <c r="J312" i="36"/>
  <c r="F261" i="36"/>
  <c r="G253" i="36"/>
  <c r="E253" i="36"/>
  <c r="H253" i="36"/>
  <c r="J229" i="36"/>
  <c r="I221" i="36"/>
  <c r="H220" i="36"/>
  <c r="F206" i="36"/>
  <c r="G206" i="36"/>
  <c r="J206" i="36"/>
  <c r="E180" i="36"/>
  <c r="D180" i="36"/>
  <c r="H180" i="36"/>
  <c r="K311" i="36"/>
  <c r="F319" i="34" s="1"/>
  <c r="I302" i="36"/>
  <c r="K278" i="36"/>
  <c r="F286" i="34" s="1"/>
  <c r="I274" i="36"/>
  <c r="F269" i="36"/>
  <c r="F268" i="36"/>
  <c r="H268" i="36"/>
  <c r="J262" i="36"/>
  <c r="E261" i="36"/>
  <c r="E254" i="36"/>
  <c r="I254" i="36"/>
  <c r="F245" i="36"/>
  <c r="H229" i="36"/>
  <c r="H221" i="36"/>
  <c r="G220" i="36"/>
  <c r="I209" i="36"/>
  <c r="J209" i="36"/>
  <c r="D209" i="36"/>
  <c r="E188" i="36"/>
  <c r="H181" i="36"/>
  <c r="H173" i="36"/>
  <c r="D173" i="36"/>
  <c r="E173" i="36"/>
  <c r="G173" i="36"/>
  <c r="G305" i="36"/>
  <c r="F290" i="36"/>
  <c r="E272" i="36"/>
  <c r="G238" i="36"/>
  <c r="I228" i="36"/>
  <c r="G211" i="36"/>
  <c r="G199" i="36"/>
  <c r="J193" i="36"/>
  <c r="I186" i="36"/>
  <c r="G175" i="36"/>
  <c r="J163" i="36"/>
  <c r="F162" i="36"/>
  <c r="H160" i="36"/>
  <c r="D155" i="36"/>
  <c r="G150" i="36"/>
  <c r="J150" i="36"/>
  <c r="G149" i="36"/>
  <c r="F149" i="36"/>
  <c r="J146" i="36"/>
  <c r="G144" i="36"/>
  <c r="I144" i="36"/>
  <c r="D140" i="36"/>
  <c r="F140" i="36"/>
  <c r="I137" i="36"/>
  <c r="H128" i="36"/>
  <c r="G120" i="36"/>
  <c r="D120" i="36"/>
  <c r="F120" i="36"/>
  <c r="F118" i="36"/>
  <c r="H114" i="36"/>
  <c r="I108" i="36"/>
  <c r="G104" i="36"/>
  <c r="E104" i="36"/>
  <c r="H104" i="36"/>
  <c r="H102" i="36"/>
  <c r="H90" i="36"/>
  <c r="J89" i="36"/>
  <c r="I89" i="36"/>
  <c r="H86" i="36"/>
  <c r="D86" i="36"/>
  <c r="F81" i="36"/>
  <c r="I81" i="36"/>
  <c r="J58" i="36"/>
  <c r="I45" i="36"/>
  <c r="H44" i="36"/>
  <c r="G43" i="36"/>
  <c r="D43" i="36"/>
  <c r="D38" i="36"/>
  <c r="F28" i="36"/>
  <c r="J25" i="36"/>
  <c r="E23" i="36"/>
  <c r="F13" i="36"/>
  <c r="D10" i="36"/>
  <c r="K153" i="36"/>
  <c r="F161" i="34" s="1"/>
  <c r="I146" i="36"/>
  <c r="J142" i="36"/>
  <c r="J112" i="36"/>
  <c r="H110" i="36"/>
  <c r="G110" i="36"/>
  <c r="H108" i="36"/>
  <c r="F105" i="36"/>
  <c r="E105" i="36"/>
  <c r="G64" i="36"/>
  <c r="D64" i="36"/>
  <c r="G48" i="36"/>
  <c r="F48" i="36"/>
  <c r="I48" i="36"/>
  <c r="J46" i="36"/>
  <c r="G40" i="36"/>
  <c r="E40" i="36"/>
  <c r="H40" i="36"/>
  <c r="G16" i="36"/>
  <c r="E16" i="36"/>
  <c r="H16" i="36"/>
  <c r="H193" i="36"/>
  <c r="I189" i="36"/>
  <c r="D175" i="36"/>
  <c r="I157" i="36"/>
  <c r="H151" i="36"/>
  <c r="J147" i="36"/>
  <c r="G146" i="36"/>
  <c r="G142" i="36"/>
  <c r="E137" i="36"/>
  <c r="I129" i="36"/>
  <c r="D126" i="36"/>
  <c r="I123" i="36"/>
  <c r="I115" i="36"/>
  <c r="I112" i="36"/>
  <c r="D111" i="36"/>
  <c r="G108" i="36"/>
  <c r="D107" i="36"/>
  <c r="G107" i="36"/>
  <c r="F96" i="36"/>
  <c r="J93" i="36"/>
  <c r="G93" i="36"/>
  <c r="G92" i="36"/>
  <c r="I92" i="36"/>
  <c r="D90" i="36"/>
  <c r="H87" i="36"/>
  <c r="H83" i="36"/>
  <c r="J82" i="36"/>
  <c r="F82" i="36"/>
  <c r="I76" i="36"/>
  <c r="G72" i="36"/>
  <c r="H72" i="36"/>
  <c r="J72" i="36"/>
  <c r="J70" i="36"/>
  <c r="G52" i="36"/>
  <c r="D52" i="36"/>
  <c r="F49" i="36"/>
  <c r="J49" i="36"/>
  <c r="H46" i="36"/>
  <c r="F45" i="36"/>
  <c r="G34" i="36"/>
  <c r="J32" i="36"/>
  <c r="F29" i="36"/>
  <c r="F27" i="36"/>
  <c r="H27" i="36"/>
  <c r="G17" i="36"/>
  <c r="F17" i="36"/>
  <c r="K12" i="36"/>
  <c r="F20" i="34" s="1"/>
  <c r="H189" i="36"/>
  <c r="H157" i="36"/>
  <c r="D151" i="36"/>
  <c r="H147" i="36"/>
  <c r="F142" i="36"/>
  <c r="G128" i="36"/>
  <c r="F128" i="36"/>
  <c r="I128" i="36"/>
  <c r="G114" i="36"/>
  <c r="J114" i="36"/>
  <c r="H112" i="36"/>
  <c r="E87" i="36"/>
  <c r="F85" i="36"/>
  <c r="G83" i="36"/>
  <c r="D79" i="36"/>
  <c r="I79" i="36"/>
  <c r="I55" i="36"/>
  <c r="D55" i="36"/>
  <c r="D44" i="36"/>
  <c r="F44" i="36"/>
  <c r="D34" i="36"/>
  <c r="I32" i="36"/>
  <c r="G31" i="36"/>
  <c r="D31" i="36"/>
  <c r="H31" i="36"/>
  <c r="G28" i="36"/>
  <c r="I28" i="36"/>
  <c r="E146" i="36"/>
  <c r="F146" i="36"/>
  <c r="G129" i="36"/>
  <c r="F129" i="36"/>
  <c r="J129" i="36"/>
  <c r="E123" i="36"/>
  <c r="D123" i="36"/>
  <c r="H123" i="36"/>
  <c r="E109" i="36"/>
  <c r="I109" i="36"/>
  <c r="D108" i="36"/>
  <c r="F108" i="36"/>
  <c r="D70" i="36"/>
  <c r="G70" i="36"/>
  <c r="G46" i="36"/>
  <c r="D46" i="36"/>
  <c r="G115" i="36"/>
  <c r="H115" i="36"/>
  <c r="H103" i="36"/>
  <c r="D103" i="36"/>
  <c r="G103" i="36"/>
  <c r="E97" i="36"/>
  <c r="G96" i="36"/>
  <c r="H96" i="36"/>
  <c r="J96" i="36"/>
  <c r="I64" i="36"/>
  <c r="G50" i="36"/>
  <c r="J50" i="36"/>
  <c r="J48" i="36"/>
  <c r="J40" i="36"/>
  <c r="J16" i="36"/>
  <c r="G143" i="36"/>
  <c r="I143" i="36"/>
  <c r="G112" i="36"/>
  <c r="D112" i="36"/>
  <c r="H64" i="36"/>
  <c r="I40" i="36"/>
  <c r="G32" i="36"/>
  <c r="E32" i="36"/>
  <c r="H32" i="36"/>
  <c r="H22" i="36"/>
  <c r="G22" i="36"/>
  <c r="I16" i="36"/>
  <c r="G15" i="36"/>
  <c r="D15" i="36"/>
  <c r="H15" i="36"/>
  <c r="J13" i="36"/>
  <c r="J175" i="36"/>
  <c r="F155" i="36"/>
  <c r="F148" i="36"/>
  <c r="G148" i="36"/>
  <c r="J137" i="36"/>
  <c r="F130" i="36"/>
  <c r="H130" i="36"/>
  <c r="E124" i="36"/>
  <c r="G124" i="36"/>
  <c r="I117" i="36"/>
  <c r="F117" i="36"/>
  <c r="J117" i="36"/>
  <c r="G116" i="36"/>
  <c r="I116" i="36"/>
  <c r="F110" i="36"/>
  <c r="J108" i="36"/>
  <c r="F101" i="36"/>
  <c r="J101" i="36"/>
  <c r="G88" i="36"/>
  <c r="H88" i="36"/>
  <c r="J88" i="36"/>
  <c r="G80" i="36"/>
  <c r="F80" i="36"/>
  <c r="I80" i="36"/>
  <c r="J76" i="36"/>
  <c r="D76" i="36"/>
  <c r="G71" i="36"/>
  <c r="E71" i="36"/>
  <c r="F64" i="36"/>
  <c r="E56" i="36"/>
  <c r="G56" i="36"/>
  <c r="E48" i="36"/>
  <c r="J45" i="36"/>
  <c r="I44" i="36"/>
  <c r="F40" i="36"/>
  <c r="G33" i="36"/>
  <c r="F33" i="36"/>
  <c r="H28" i="36"/>
  <c r="F16" i="36"/>
  <c r="G13" i="36"/>
  <c r="G10" i="36"/>
  <c r="E139" i="36"/>
  <c r="F125" i="36"/>
  <c r="F122" i="36"/>
  <c r="F57" i="36"/>
  <c r="E19" i="36"/>
  <c r="J24" i="36"/>
  <c r="K310" i="36"/>
  <c r="F318" i="34" s="1"/>
  <c r="D316" i="36"/>
  <c r="G315" i="36"/>
  <c r="J314" i="36"/>
  <c r="K314" i="36" s="1"/>
  <c r="F322" i="34" s="1"/>
  <c r="E313" i="36"/>
  <c r="H312" i="36"/>
  <c r="I309" i="36"/>
  <c r="D308" i="36"/>
  <c r="G307" i="36"/>
  <c r="J306" i="36"/>
  <c r="K306" i="36" s="1"/>
  <c r="F314" i="34" s="1"/>
  <c r="E305" i="36"/>
  <c r="H304" i="36"/>
  <c r="I301" i="36"/>
  <c r="D300" i="36"/>
  <c r="G299" i="36"/>
  <c r="J298" i="36"/>
  <c r="K298" i="36" s="1"/>
  <c r="F306" i="34" s="1"/>
  <c r="E297" i="36"/>
  <c r="H296" i="36"/>
  <c r="I293" i="36"/>
  <c r="D292" i="36"/>
  <c r="G291" i="36"/>
  <c r="J290" i="36"/>
  <c r="E289" i="36"/>
  <c r="H288" i="36"/>
  <c r="K288" i="36" s="1"/>
  <c r="F296" i="34" s="1"/>
  <c r="I285" i="36"/>
  <c r="D284" i="36"/>
  <c r="G283" i="36"/>
  <c r="J282" i="36"/>
  <c r="E281" i="36"/>
  <c r="H280" i="36"/>
  <c r="K280" i="36" s="1"/>
  <c r="F288" i="34" s="1"/>
  <c r="H277" i="36"/>
  <c r="J276" i="36"/>
  <c r="E273" i="36"/>
  <c r="H273" i="36"/>
  <c r="K272" i="36"/>
  <c r="F280" i="34" s="1"/>
  <c r="H270" i="36"/>
  <c r="I268" i="36"/>
  <c r="K257" i="36"/>
  <c r="F265" i="34" s="1"/>
  <c r="H254" i="36"/>
  <c r="D254" i="36"/>
  <c r="F254" i="36"/>
  <c r="J254" i="36"/>
  <c r="K253" i="36"/>
  <c r="F261" i="34" s="1"/>
  <c r="D250" i="36"/>
  <c r="H250" i="36"/>
  <c r="E250" i="36"/>
  <c r="E247" i="36"/>
  <c r="I247" i="36"/>
  <c r="F247" i="36"/>
  <c r="J247" i="36"/>
  <c r="J240" i="36"/>
  <c r="F240" i="36"/>
  <c r="E240" i="36"/>
  <c r="I240" i="36"/>
  <c r="I224" i="36"/>
  <c r="J215" i="36"/>
  <c r="J214" i="36"/>
  <c r="H190" i="36"/>
  <c r="D190" i="36"/>
  <c r="G190" i="36"/>
  <c r="I171" i="36"/>
  <c r="E171" i="36"/>
  <c r="J171" i="36"/>
  <c r="D171" i="36"/>
  <c r="F171" i="36"/>
  <c r="H171" i="36"/>
  <c r="I163" i="36"/>
  <c r="E163" i="36"/>
  <c r="G163" i="36"/>
  <c r="H163" i="36"/>
  <c r="H309" i="36"/>
  <c r="H301" i="36"/>
  <c r="F299" i="36"/>
  <c r="H293" i="36"/>
  <c r="F291" i="36"/>
  <c r="H285" i="36"/>
  <c r="F283" i="36"/>
  <c r="G277" i="36"/>
  <c r="I275" i="36"/>
  <c r="G270" i="36"/>
  <c r="E255" i="36"/>
  <c r="I255" i="36"/>
  <c r="D255" i="36"/>
  <c r="H255" i="36"/>
  <c r="F252" i="36"/>
  <c r="J252" i="36"/>
  <c r="H252" i="36"/>
  <c r="K249" i="36"/>
  <c r="F257" i="34" s="1"/>
  <c r="J248" i="36"/>
  <c r="F248" i="36"/>
  <c r="D248" i="36"/>
  <c r="H248" i="36"/>
  <c r="K233" i="36"/>
  <c r="F241" i="34" s="1"/>
  <c r="J232" i="36"/>
  <c r="F232" i="36"/>
  <c r="G232" i="36"/>
  <c r="E231" i="36"/>
  <c r="I231" i="36"/>
  <c r="H231" i="36"/>
  <c r="G224" i="36"/>
  <c r="J219" i="36"/>
  <c r="H215" i="36"/>
  <c r="I214" i="36"/>
  <c r="H204" i="36"/>
  <c r="I200" i="36"/>
  <c r="E191" i="36"/>
  <c r="I191" i="36"/>
  <c r="F191" i="36"/>
  <c r="J191" i="36"/>
  <c r="J176" i="36"/>
  <c r="F176" i="36"/>
  <c r="G176" i="36"/>
  <c r="H176" i="36"/>
  <c r="J316" i="36"/>
  <c r="E315" i="36"/>
  <c r="G309" i="36"/>
  <c r="J308" i="36"/>
  <c r="E307" i="36"/>
  <c r="G301" i="36"/>
  <c r="J300" i="36"/>
  <c r="E299" i="36"/>
  <c r="G293" i="36"/>
  <c r="J292" i="36"/>
  <c r="E291" i="36"/>
  <c r="G285" i="36"/>
  <c r="J284" i="36"/>
  <c r="E283" i="36"/>
  <c r="F277" i="36"/>
  <c r="H275" i="36"/>
  <c r="K271" i="36"/>
  <c r="F279" i="34" s="1"/>
  <c r="E270" i="36"/>
  <c r="F228" i="36"/>
  <c r="J228" i="36"/>
  <c r="E228" i="36"/>
  <c r="D226" i="36"/>
  <c r="H226" i="36"/>
  <c r="E226" i="36"/>
  <c r="I226" i="36"/>
  <c r="E224" i="36"/>
  <c r="G219" i="36"/>
  <c r="G215" i="36"/>
  <c r="G214" i="36"/>
  <c r="G212" i="36"/>
  <c r="D210" i="36"/>
  <c r="H210" i="36"/>
  <c r="G210" i="36"/>
  <c r="G204" i="36"/>
  <c r="H200" i="36"/>
  <c r="D178" i="36"/>
  <c r="H178" i="36"/>
  <c r="J178" i="36"/>
  <c r="E178" i="36"/>
  <c r="F178" i="36"/>
  <c r="I178" i="36"/>
  <c r="K177" i="36"/>
  <c r="F185" i="34" s="1"/>
  <c r="H167" i="36"/>
  <c r="F164" i="36"/>
  <c r="J164" i="36"/>
  <c r="E164" i="36"/>
  <c r="G164" i="36"/>
  <c r="I164" i="36"/>
  <c r="I316" i="36"/>
  <c r="D315" i="36"/>
  <c r="J313" i="36"/>
  <c r="E312" i="36"/>
  <c r="F309" i="36"/>
  <c r="I308" i="36"/>
  <c r="D307" i="36"/>
  <c r="J305" i="36"/>
  <c r="E304" i="36"/>
  <c r="F301" i="36"/>
  <c r="I300" i="36"/>
  <c r="D299" i="36"/>
  <c r="J297" i="36"/>
  <c r="E296" i="36"/>
  <c r="K296" i="36" s="1"/>
  <c r="F304" i="34" s="1"/>
  <c r="F293" i="36"/>
  <c r="I292" i="36"/>
  <c r="D291" i="36"/>
  <c r="G290" i="36"/>
  <c r="K290" i="36" s="1"/>
  <c r="F298" i="34" s="1"/>
  <c r="J289" i="36"/>
  <c r="F285" i="36"/>
  <c r="I284" i="36"/>
  <c r="D283" i="36"/>
  <c r="G282" i="36"/>
  <c r="J281" i="36"/>
  <c r="F275" i="36"/>
  <c r="H274" i="36"/>
  <c r="I264" i="36"/>
  <c r="I260" i="36"/>
  <c r="J259" i="36"/>
  <c r="J246" i="36"/>
  <c r="J243" i="36"/>
  <c r="J242" i="36"/>
  <c r="J239" i="36"/>
  <c r="J238" i="36"/>
  <c r="I236" i="36"/>
  <c r="J235" i="36"/>
  <c r="K225" i="36"/>
  <c r="F233" i="34" s="1"/>
  <c r="H222" i="36"/>
  <c r="D222" i="36"/>
  <c r="E222" i="36"/>
  <c r="K221" i="36"/>
  <c r="F229" i="34" s="1"/>
  <c r="D218" i="36"/>
  <c r="H218" i="36"/>
  <c r="F218" i="36"/>
  <c r="J218" i="36"/>
  <c r="I211" i="36"/>
  <c r="E211" i="36"/>
  <c r="F211" i="36"/>
  <c r="J211" i="36"/>
  <c r="K209" i="36"/>
  <c r="F217" i="34" s="1"/>
  <c r="J208" i="36"/>
  <c r="F208" i="36"/>
  <c r="D208" i="36"/>
  <c r="E207" i="36"/>
  <c r="I207" i="36"/>
  <c r="F207" i="36"/>
  <c r="I203" i="36"/>
  <c r="E203" i="36"/>
  <c r="G203" i="36"/>
  <c r="H198" i="36"/>
  <c r="D198" i="36"/>
  <c r="J198" i="36"/>
  <c r="E198" i="36"/>
  <c r="I198" i="36"/>
  <c r="D194" i="36"/>
  <c r="H194" i="36"/>
  <c r="F194" i="36"/>
  <c r="E194" i="36"/>
  <c r="J192" i="36"/>
  <c r="F192" i="36"/>
  <c r="I192" i="36"/>
  <c r="D192" i="36"/>
  <c r="H192" i="36"/>
  <c r="E183" i="36"/>
  <c r="I183" i="36"/>
  <c r="G183" i="36"/>
  <c r="H183" i="36"/>
  <c r="I156" i="36"/>
  <c r="H316" i="36"/>
  <c r="E309" i="36"/>
  <c r="H308" i="36"/>
  <c r="E301" i="36"/>
  <c r="H300" i="36"/>
  <c r="E293" i="36"/>
  <c r="E285" i="36"/>
  <c r="I277" i="36"/>
  <c r="D277" i="36"/>
  <c r="E275" i="36"/>
  <c r="F270" i="36"/>
  <c r="I270" i="36"/>
  <c r="J224" i="36"/>
  <c r="F224" i="36"/>
  <c r="H224" i="36"/>
  <c r="I219" i="36"/>
  <c r="E219" i="36"/>
  <c r="D219" i="36"/>
  <c r="H219" i="36"/>
  <c r="E215" i="36"/>
  <c r="I215" i="36"/>
  <c r="D215" i="36"/>
  <c r="H214" i="36"/>
  <c r="D214" i="36"/>
  <c r="F214" i="36"/>
  <c r="K213" i="36"/>
  <c r="F221" i="34" s="1"/>
  <c r="F212" i="36"/>
  <c r="J212" i="36"/>
  <c r="D212" i="36"/>
  <c r="H212" i="36"/>
  <c r="F204" i="36"/>
  <c r="J204" i="36"/>
  <c r="E204" i="36"/>
  <c r="I204" i="36"/>
  <c r="J200" i="36"/>
  <c r="F200" i="36"/>
  <c r="G200" i="36"/>
  <c r="E200" i="36"/>
  <c r="K193" i="36"/>
  <c r="F201" i="34" s="1"/>
  <c r="E167" i="36"/>
  <c r="I167" i="36"/>
  <c r="F167" i="36"/>
  <c r="D167" i="36"/>
  <c r="E156" i="36"/>
  <c r="H141" i="36"/>
  <c r="D141" i="36"/>
  <c r="F141" i="36"/>
  <c r="G141" i="36"/>
  <c r="J141" i="36"/>
  <c r="E141" i="36"/>
  <c r="I141" i="36"/>
  <c r="G316" i="36"/>
  <c r="J315" i="36"/>
  <c r="H313" i="36"/>
  <c r="D309" i="36"/>
  <c r="G308" i="36"/>
  <c r="J307" i="36"/>
  <c r="H305" i="36"/>
  <c r="D301" i="36"/>
  <c r="G300" i="36"/>
  <c r="J299" i="36"/>
  <c r="H297" i="36"/>
  <c r="D293" i="36"/>
  <c r="G292" i="36"/>
  <c r="J291" i="36"/>
  <c r="H289" i="36"/>
  <c r="D285" i="36"/>
  <c r="G284" i="36"/>
  <c r="J283" i="36"/>
  <c r="H281" i="36"/>
  <c r="D276" i="36"/>
  <c r="G276" i="36"/>
  <c r="J268" i="36"/>
  <c r="K268" i="36" s="1"/>
  <c r="F276" i="34" s="1"/>
  <c r="E268" i="36"/>
  <c r="E267" i="36"/>
  <c r="D267" i="36"/>
  <c r="H267" i="36"/>
  <c r="H266" i="36"/>
  <c r="F266" i="36"/>
  <c r="K266" i="36" s="1"/>
  <c r="F274" i="34" s="1"/>
  <c r="J266" i="36"/>
  <c r="I252" i="36"/>
  <c r="I232" i="36"/>
  <c r="J231" i="36"/>
  <c r="J184" i="36"/>
  <c r="F184" i="36"/>
  <c r="E184" i="36"/>
  <c r="G184" i="36"/>
  <c r="I184" i="36"/>
  <c r="D170" i="36"/>
  <c r="H170" i="36"/>
  <c r="F170" i="36"/>
  <c r="G170" i="36"/>
  <c r="J170" i="36"/>
  <c r="F308" i="36"/>
  <c r="G275" i="36"/>
  <c r="K275" i="36" s="1"/>
  <c r="F283" i="34" s="1"/>
  <c r="J275" i="36"/>
  <c r="J255" i="36"/>
  <c r="G252" i="36"/>
  <c r="H232" i="36"/>
  <c r="G231" i="36"/>
  <c r="H191" i="36"/>
  <c r="I176" i="36"/>
  <c r="F156" i="36"/>
  <c r="J156" i="36"/>
  <c r="G156" i="36"/>
  <c r="H156" i="36"/>
  <c r="J277" i="36"/>
  <c r="J274" i="36"/>
  <c r="E274" i="36"/>
  <c r="K274" i="36" s="1"/>
  <c r="F282" i="34" s="1"/>
  <c r="J270" i="36"/>
  <c r="F264" i="36"/>
  <c r="E264" i="36"/>
  <c r="H262" i="36"/>
  <c r="D262" i="36"/>
  <c r="E262" i="36"/>
  <c r="I262" i="36"/>
  <c r="K261" i="36"/>
  <c r="F269" i="34" s="1"/>
  <c r="F260" i="36"/>
  <c r="J260" i="36"/>
  <c r="G260" i="36"/>
  <c r="I259" i="36"/>
  <c r="E259" i="36"/>
  <c r="H259" i="36"/>
  <c r="G255" i="36"/>
  <c r="E252" i="36"/>
  <c r="K252" i="36" s="1"/>
  <c r="F260" i="34" s="1"/>
  <c r="G248" i="36"/>
  <c r="H246" i="36"/>
  <c r="D246" i="36"/>
  <c r="G246" i="36"/>
  <c r="K245" i="36"/>
  <c r="F253" i="34" s="1"/>
  <c r="I243" i="36"/>
  <c r="E243" i="36"/>
  <c r="D243" i="36"/>
  <c r="D242" i="36"/>
  <c r="H242" i="36"/>
  <c r="F242" i="36"/>
  <c r="E239" i="36"/>
  <c r="I239" i="36"/>
  <c r="G239" i="36"/>
  <c r="H238" i="36"/>
  <c r="D238" i="36"/>
  <c r="I238" i="36"/>
  <c r="K237" i="36"/>
  <c r="F245" i="34" s="1"/>
  <c r="F236" i="36"/>
  <c r="J236" i="36"/>
  <c r="D236" i="36"/>
  <c r="I235" i="36"/>
  <c r="E235" i="36"/>
  <c r="F235" i="36"/>
  <c r="E232" i="36"/>
  <c r="F231" i="36"/>
  <c r="H228" i="36"/>
  <c r="J226" i="36"/>
  <c r="I210" i="36"/>
  <c r="G191" i="36"/>
  <c r="I187" i="36"/>
  <c r="E187" i="36"/>
  <c r="F187" i="36"/>
  <c r="D187" i="36"/>
  <c r="E176" i="36"/>
  <c r="K163" i="36"/>
  <c r="F171" i="34" s="1"/>
  <c r="H158" i="36"/>
  <c r="D158" i="36"/>
  <c r="J158" i="36"/>
  <c r="E158" i="36"/>
  <c r="F158" i="36"/>
  <c r="I158" i="36"/>
  <c r="K157" i="36"/>
  <c r="F165" i="34" s="1"/>
  <c r="D258" i="36"/>
  <c r="H258" i="36"/>
  <c r="I251" i="36"/>
  <c r="E251" i="36"/>
  <c r="F244" i="36"/>
  <c r="J244" i="36"/>
  <c r="H230" i="36"/>
  <c r="D230" i="36"/>
  <c r="K229" i="36"/>
  <c r="F237" i="34" s="1"/>
  <c r="E223" i="36"/>
  <c r="I223" i="36"/>
  <c r="J216" i="36"/>
  <c r="F216" i="36"/>
  <c r="K201" i="36"/>
  <c r="F209" i="34" s="1"/>
  <c r="I195" i="36"/>
  <c r="E195" i="36"/>
  <c r="F188" i="36"/>
  <c r="J188" i="36"/>
  <c r="K181" i="36"/>
  <c r="F189" i="34" s="1"/>
  <c r="H174" i="36"/>
  <c r="D174" i="36"/>
  <c r="K174" i="36" s="1"/>
  <c r="F182" i="34" s="1"/>
  <c r="J168" i="36"/>
  <c r="F168" i="36"/>
  <c r="K161" i="36"/>
  <c r="F169" i="34" s="1"/>
  <c r="D154" i="36"/>
  <c r="H154" i="36"/>
  <c r="I138" i="36"/>
  <c r="E138" i="36"/>
  <c r="D138" i="36"/>
  <c r="J138" i="36"/>
  <c r="D186" i="36"/>
  <c r="H186" i="36"/>
  <c r="F180" i="36"/>
  <c r="J180" i="36"/>
  <c r="H166" i="36"/>
  <c r="D166" i="36"/>
  <c r="J160" i="36"/>
  <c r="F160" i="36"/>
  <c r="G152" i="36"/>
  <c r="J152" i="36"/>
  <c r="F152" i="36"/>
  <c r="J151" i="36"/>
  <c r="E151" i="36"/>
  <c r="I151" i="36"/>
  <c r="E150" i="36"/>
  <c r="H150" i="36"/>
  <c r="D150" i="36"/>
  <c r="K149" i="36"/>
  <c r="F157" i="34" s="1"/>
  <c r="D145" i="36"/>
  <c r="H145" i="36"/>
  <c r="E145" i="36"/>
  <c r="J145" i="36"/>
  <c r="K144" i="36"/>
  <c r="F152" i="34" s="1"/>
  <c r="K140" i="36"/>
  <c r="F148" i="34" s="1"/>
  <c r="J127" i="36"/>
  <c r="F127" i="36"/>
  <c r="E127" i="36"/>
  <c r="G127" i="36"/>
  <c r="H127" i="36"/>
  <c r="I127" i="36"/>
  <c r="D127" i="36"/>
  <c r="I269" i="36"/>
  <c r="K269" i="36" s="1"/>
  <c r="F277" i="34" s="1"/>
  <c r="E263" i="36"/>
  <c r="I263" i="36"/>
  <c r="J258" i="36"/>
  <c r="J256" i="36"/>
  <c r="F256" i="36"/>
  <c r="K256" i="36" s="1"/>
  <c r="F264" i="34" s="1"/>
  <c r="J251" i="36"/>
  <c r="I244" i="36"/>
  <c r="K241" i="36"/>
  <c r="F249" i="34" s="1"/>
  <c r="D234" i="36"/>
  <c r="K234" i="36" s="1"/>
  <c r="F242" i="34" s="1"/>
  <c r="H234" i="36"/>
  <c r="J230" i="36"/>
  <c r="I227" i="36"/>
  <c r="E227" i="36"/>
  <c r="K227" i="36" s="1"/>
  <c r="F235" i="34" s="1"/>
  <c r="J223" i="36"/>
  <c r="F220" i="36"/>
  <c r="K220" i="36" s="1"/>
  <c r="F228" i="34" s="1"/>
  <c r="J220" i="36"/>
  <c r="I216" i="36"/>
  <c r="H206" i="36"/>
  <c r="D206" i="36"/>
  <c r="K206" i="36" s="1"/>
  <c r="F214" i="34" s="1"/>
  <c r="K205" i="36"/>
  <c r="F213" i="34" s="1"/>
  <c r="E199" i="36"/>
  <c r="K199" i="36" s="1"/>
  <c r="F207" i="34" s="1"/>
  <c r="I199" i="36"/>
  <c r="J195" i="36"/>
  <c r="I188" i="36"/>
  <c r="K185" i="36"/>
  <c r="F193" i="34" s="1"/>
  <c r="I179" i="36"/>
  <c r="E179" i="36"/>
  <c r="K179" i="36" s="1"/>
  <c r="F187" i="34" s="1"/>
  <c r="J174" i="36"/>
  <c r="F172" i="36"/>
  <c r="K172" i="36" s="1"/>
  <c r="F180" i="34" s="1"/>
  <c r="J172" i="36"/>
  <c r="I168" i="36"/>
  <c r="K165" i="36"/>
  <c r="F173" i="34" s="1"/>
  <c r="E159" i="36"/>
  <c r="K159" i="36" s="1"/>
  <c r="F167" i="34" s="1"/>
  <c r="I159" i="36"/>
  <c r="J154" i="36"/>
  <c r="F147" i="36"/>
  <c r="I147" i="36"/>
  <c r="E147" i="36"/>
  <c r="E134" i="36"/>
  <c r="I134" i="36"/>
  <c r="F134" i="36"/>
  <c r="G134" i="36"/>
  <c r="J134" i="36"/>
  <c r="D134" i="36"/>
  <c r="D202" i="36"/>
  <c r="H202" i="36"/>
  <c r="F196" i="36"/>
  <c r="K196" i="36" s="1"/>
  <c r="F204" i="34" s="1"/>
  <c r="J196" i="36"/>
  <c r="G186" i="36"/>
  <c r="H182" i="36"/>
  <c r="D182" i="36"/>
  <c r="G180" i="36"/>
  <c r="E175" i="36"/>
  <c r="I175" i="36"/>
  <c r="G166" i="36"/>
  <c r="D162" i="36"/>
  <c r="H162" i="36"/>
  <c r="G160" i="36"/>
  <c r="I155" i="36"/>
  <c r="E155" i="36"/>
  <c r="H152" i="36"/>
  <c r="G151" i="36"/>
  <c r="I150" i="36"/>
  <c r="I145" i="36"/>
  <c r="F131" i="36"/>
  <c r="J131" i="36"/>
  <c r="D131" i="36"/>
  <c r="E131" i="36"/>
  <c r="G131" i="36"/>
  <c r="I131" i="36"/>
  <c r="J148" i="36"/>
  <c r="K148" i="36" s="1"/>
  <c r="F156" i="34" s="1"/>
  <c r="H146" i="36"/>
  <c r="K146" i="36" s="1"/>
  <c r="F154" i="34" s="1"/>
  <c r="E142" i="36"/>
  <c r="I142" i="36"/>
  <c r="J135" i="36"/>
  <c r="F135" i="36"/>
  <c r="D121" i="36"/>
  <c r="H121" i="36"/>
  <c r="K120" i="36"/>
  <c r="F128" i="34" s="1"/>
  <c r="I114" i="36"/>
  <c r="E114" i="36"/>
  <c r="J109" i="36"/>
  <c r="F107" i="36"/>
  <c r="J107" i="36"/>
  <c r="J102" i="36"/>
  <c r="I95" i="36"/>
  <c r="I58" i="36"/>
  <c r="E58" i="36"/>
  <c r="F58" i="36"/>
  <c r="G58" i="36"/>
  <c r="D113" i="36"/>
  <c r="H113" i="36"/>
  <c r="I106" i="36"/>
  <c r="E106" i="36"/>
  <c r="F99" i="36"/>
  <c r="J99" i="36"/>
  <c r="H69" i="36"/>
  <c r="D69" i="36"/>
  <c r="F69" i="36"/>
  <c r="J69" i="36"/>
  <c r="E69" i="36"/>
  <c r="I66" i="36"/>
  <c r="E66" i="36"/>
  <c r="D66" i="36"/>
  <c r="F66" i="36"/>
  <c r="J66" i="36"/>
  <c r="H133" i="36"/>
  <c r="D133" i="36"/>
  <c r="E126" i="36"/>
  <c r="I126" i="36"/>
  <c r="J119" i="36"/>
  <c r="F119" i="36"/>
  <c r="G109" i="36"/>
  <c r="D105" i="36"/>
  <c r="H105" i="36"/>
  <c r="K104" i="36"/>
  <c r="F112" i="34" s="1"/>
  <c r="G102" i="36"/>
  <c r="I98" i="36"/>
  <c r="E98" i="36"/>
  <c r="G95" i="36"/>
  <c r="H94" i="36"/>
  <c r="H91" i="36"/>
  <c r="K68" i="36"/>
  <c r="F76" i="34" s="1"/>
  <c r="F59" i="36"/>
  <c r="J59" i="36"/>
  <c r="D59" i="36"/>
  <c r="E59" i="36"/>
  <c r="I59" i="36"/>
  <c r="K132" i="36"/>
  <c r="F140" i="34" s="1"/>
  <c r="H125" i="36"/>
  <c r="D125" i="36"/>
  <c r="E118" i="36"/>
  <c r="I118" i="36"/>
  <c r="J111" i="36"/>
  <c r="F111" i="36"/>
  <c r="F109" i="36"/>
  <c r="F102" i="36"/>
  <c r="D97" i="36"/>
  <c r="H97" i="36"/>
  <c r="K96" i="36"/>
  <c r="F104" i="34" s="1"/>
  <c r="E95" i="36"/>
  <c r="G94" i="36"/>
  <c r="G91" i="36"/>
  <c r="E86" i="36"/>
  <c r="I86" i="36"/>
  <c r="F86" i="36"/>
  <c r="H85" i="36"/>
  <c r="D85" i="36"/>
  <c r="G85" i="36"/>
  <c r="E78" i="36"/>
  <c r="I78" i="36"/>
  <c r="G78" i="36"/>
  <c r="H78" i="36"/>
  <c r="H62" i="36"/>
  <c r="H61" i="36"/>
  <c r="D61" i="36"/>
  <c r="G61" i="36"/>
  <c r="F61" i="36"/>
  <c r="F139" i="36"/>
  <c r="J139" i="36"/>
  <c r="K124" i="36"/>
  <c r="F132" i="34" s="1"/>
  <c r="H117" i="36"/>
  <c r="D117" i="36"/>
  <c r="J113" i="36"/>
  <c r="E110" i="36"/>
  <c r="I110" i="36"/>
  <c r="J106" i="36"/>
  <c r="J103" i="36"/>
  <c r="F103" i="36"/>
  <c r="I99" i="36"/>
  <c r="H93" i="36"/>
  <c r="D93" i="36"/>
  <c r="F93" i="36"/>
  <c r="I90" i="36"/>
  <c r="E90" i="36"/>
  <c r="F90" i="36"/>
  <c r="D89" i="36"/>
  <c r="H89" i="36"/>
  <c r="G89" i="36"/>
  <c r="K88" i="36"/>
  <c r="F96" i="34" s="1"/>
  <c r="J87" i="36"/>
  <c r="F87" i="36"/>
  <c r="D87" i="36"/>
  <c r="I87" i="36"/>
  <c r="F83" i="36"/>
  <c r="J83" i="36"/>
  <c r="E83" i="36"/>
  <c r="I82" i="36"/>
  <c r="E82" i="36"/>
  <c r="G82" i="36"/>
  <c r="J79" i="36"/>
  <c r="F79" i="36"/>
  <c r="E79" i="36"/>
  <c r="G79" i="36"/>
  <c r="K76" i="36"/>
  <c r="F84" i="34" s="1"/>
  <c r="D73" i="36"/>
  <c r="H73" i="36"/>
  <c r="E73" i="36"/>
  <c r="F73" i="36"/>
  <c r="J73" i="36"/>
  <c r="K72" i="36"/>
  <c r="F80" i="34" s="1"/>
  <c r="K116" i="36"/>
  <c r="F124" i="34" s="1"/>
  <c r="I113" i="36"/>
  <c r="H109" i="36"/>
  <c r="D109" i="36"/>
  <c r="H106" i="36"/>
  <c r="E102" i="36"/>
  <c r="I102" i="36"/>
  <c r="H99" i="36"/>
  <c r="J95" i="36"/>
  <c r="F95" i="36"/>
  <c r="E94" i="36"/>
  <c r="D94" i="36"/>
  <c r="I94" i="36"/>
  <c r="K92" i="36"/>
  <c r="F100" i="34" s="1"/>
  <c r="F91" i="36"/>
  <c r="J91" i="36"/>
  <c r="I91" i="36"/>
  <c r="D91" i="36"/>
  <c r="E62" i="36"/>
  <c r="I62" i="36"/>
  <c r="F62" i="36"/>
  <c r="J62" i="36"/>
  <c r="D62" i="36"/>
  <c r="D137" i="36"/>
  <c r="H137" i="36"/>
  <c r="K136" i="36"/>
  <c r="F144" i="34" s="1"/>
  <c r="I133" i="36"/>
  <c r="I130" i="36"/>
  <c r="E130" i="36"/>
  <c r="H126" i="36"/>
  <c r="J125" i="36"/>
  <c r="F123" i="36"/>
  <c r="J123" i="36"/>
  <c r="H119" i="36"/>
  <c r="J118" i="36"/>
  <c r="G113" i="36"/>
  <c r="I111" i="36"/>
  <c r="K108" i="36"/>
  <c r="F116" i="34" s="1"/>
  <c r="G106" i="36"/>
  <c r="I105" i="36"/>
  <c r="H101" i="36"/>
  <c r="D101" i="36"/>
  <c r="G99" i="36"/>
  <c r="H98" i="36"/>
  <c r="J97" i="36"/>
  <c r="J143" i="36"/>
  <c r="F143" i="36"/>
  <c r="G133" i="36"/>
  <c r="D129" i="36"/>
  <c r="H129" i="36"/>
  <c r="K128" i="36"/>
  <c r="F136" i="34" s="1"/>
  <c r="G126" i="36"/>
  <c r="I125" i="36"/>
  <c r="I122" i="36"/>
  <c r="E122" i="36"/>
  <c r="G119" i="36"/>
  <c r="H118" i="36"/>
  <c r="F115" i="36"/>
  <c r="J115" i="36"/>
  <c r="F113" i="36"/>
  <c r="H111" i="36"/>
  <c r="F106" i="36"/>
  <c r="G105" i="36"/>
  <c r="K100" i="36"/>
  <c r="F108" i="34" s="1"/>
  <c r="E99" i="36"/>
  <c r="G98" i="36"/>
  <c r="I97" i="36"/>
  <c r="J86" i="36"/>
  <c r="J85" i="36"/>
  <c r="I69" i="36"/>
  <c r="H66" i="36"/>
  <c r="D65" i="36"/>
  <c r="H65" i="36"/>
  <c r="F65" i="36"/>
  <c r="G65" i="36"/>
  <c r="K64" i="36"/>
  <c r="F72" i="34" s="1"/>
  <c r="J55" i="36"/>
  <c r="F55" i="36"/>
  <c r="G55" i="36"/>
  <c r="E55" i="36"/>
  <c r="K84" i="36"/>
  <c r="F92" i="34" s="1"/>
  <c r="H77" i="36"/>
  <c r="D77" i="36"/>
  <c r="E70" i="36"/>
  <c r="I70" i="36"/>
  <c r="J63" i="36"/>
  <c r="F63" i="36"/>
  <c r="K56" i="36"/>
  <c r="F64" i="34" s="1"/>
  <c r="D49" i="36"/>
  <c r="H49" i="36"/>
  <c r="K48" i="36"/>
  <c r="F56" i="34" s="1"/>
  <c r="I42" i="36"/>
  <c r="E42" i="36"/>
  <c r="E29" i="36"/>
  <c r="H29" i="36"/>
  <c r="I29" i="36"/>
  <c r="D29" i="36"/>
  <c r="I25" i="36"/>
  <c r="D25" i="36"/>
  <c r="E25" i="36"/>
  <c r="H25" i="36"/>
  <c r="K24" i="36"/>
  <c r="F32" i="34" s="1"/>
  <c r="D41" i="36"/>
  <c r="H41" i="36"/>
  <c r="J30" i="36"/>
  <c r="E30" i="36"/>
  <c r="F30" i="36"/>
  <c r="I30" i="36"/>
  <c r="F26" i="36"/>
  <c r="I26" i="36"/>
  <c r="J26" i="36"/>
  <c r="E26" i="36"/>
  <c r="J47" i="36"/>
  <c r="F47" i="36"/>
  <c r="G39" i="36"/>
  <c r="J39" i="36"/>
  <c r="F39" i="36"/>
  <c r="J38" i="36"/>
  <c r="E38" i="36"/>
  <c r="I38" i="36"/>
  <c r="E37" i="36"/>
  <c r="H37" i="36"/>
  <c r="D37" i="36"/>
  <c r="I33" i="36"/>
  <c r="D33" i="36"/>
  <c r="E33" i="36"/>
  <c r="H33" i="36"/>
  <c r="K32" i="36"/>
  <c r="F40" i="34" s="1"/>
  <c r="F75" i="36"/>
  <c r="J75" i="36"/>
  <c r="K75" i="36" s="1"/>
  <c r="F83" i="34" s="1"/>
  <c r="H71" i="36"/>
  <c r="K60" i="36"/>
  <c r="F68" i="34" s="1"/>
  <c r="I57" i="36"/>
  <c r="E54" i="36"/>
  <c r="K54" i="36" s="1"/>
  <c r="F62" i="34" s="1"/>
  <c r="I54" i="36"/>
  <c r="G51" i="36"/>
  <c r="H50" i="36"/>
  <c r="E46" i="36"/>
  <c r="K46" i="36" s="1"/>
  <c r="F54" i="34" s="1"/>
  <c r="I46" i="36"/>
  <c r="H43" i="36"/>
  <c r="K36" i="36"/>
  <c r="F44" i="34" s="1"/>
  <c r="F34" i="36"/>
  <c r="I34" i="36"/>
  <c r="J34" i="36"/>
  <c r="E34" i="36"/>
  <c r="J21" i="36"/>
  <c r="J17" i="36"/>
  <c r="D81" i="36"/>
  <c r="K81" i="36" s="1"/>
  <c r="F89" i="34" s="1"/>
  <c r="H81" i="36"/>
  <c r="K80" i="36"/>
  <c r="F88" i="34" s="1"/>
  <c r="I77" i="36"/>
  <c r="I74" i="36"/>
  <c r="E74" i="36"/>
  <c r="H70" i="36"/>
  <c r="F67" i="36"/>
  <c r="J67" i="36"/>
  <c r="H63" i="36"/>
  <c r="H53" i="36"/>
  <c r="D53" i="36"/>
  <c r="K52" i="36"/>
  <c r="F60" i="34" s="1"/>
  <c r="I49" i="36"/>
  <c r="H45" i="36"/>
  <c r="D45" i="36"/>
  <c r="H42" i="36"/>
  <c r="J41" i="36"/>
  <c r="K44" i="36"/>
  <c r="F52" i="34" s="1"/>
  <c r="I41" i="36"/>
  <c r="F51" i="36"/>
  <c r="K51" i="36" s="1"/>
  <c r="F59" i="34" s="1"/>
  <c r="J51" i="36"/>
  <c r="H47" i="36"/>
  <c r="G41" i="36"/>
  <c r="I39" i="36"/>
  <c r="H38" i="36"/>
  <c r="J37" i="36"/>
  <c r="H30" i="36"/>
  <c r="H26" i="36"/>
  <c r="E21" i="36"/>
  <c r="H21" i="36"/>
  <c r="I21" i="36"/>
  <c r="D21" i="36"/>
  <c r="I17" i="36"/>
  <c r="D17" i="36"/>
  <c r="E17" i="36"/>
  <c r="H17" i="36"/>
  <c r="K16" i="36"/>
  <c r="F24" i="34" s="1"/>
  <c r="J71" i="36"/>
  <c r="F71" i="36"/>
  <c r="D57" i="36"/>
  <c r="H57" i="36"/>
  <c r="I50" i="36"/>
  <c r="E50" i="36"/>
  <c r="G47" i="36"/>
  <c r="F43" i="36"/>
  <c r="J43" i="36"/>
  <c r="F41" i="36"/>
  <c r="H39" i="36"/>
  <c r="G38" i="36"/>
  <c r="I37" i="36"/>
  <c r="J33" i="36"/>
  <c r="G30" i="36"/>
  <c r="G26" i="36"/>
  <c r="J22" i="36"/>
  <c r="E22" i="36"/>
  <c r="F22" i="36"/>
  <c r="I22" i="36"/>
  <c r="K20" i="36"/>
  <c r="F28" i="34" s="1"/>
  <c r="F18" i="36"/>
  <c r="I18" i="36"/>
  <c r="J18" i="36"/>
  <c r="E18" i="36"/>
  <c r="J35" i="36"/>
  <c r="K35" i="36" s="1"/>
  <c r="F43" i="34" s="1"/>
  <c r="F31" i="36"/>
  <c r="J27" i="36"/>
  <c r="K27" i="36" s="1"/>
  <c r="F35" i="34" s="1"/>
  <c r="F23" i="36"/>
  <c r="J19" i="36"/>
  <c r="K19" i="36" s="1"/>
  <c r="F27" i="34" s="1"/>
  <c r="F15" i="36"/>
  <c r="I14" i="36"/>
  <c r="D13" i="36"/>
  <c r="J11" i="36"/>
  <c r="K11" i="36" s="1"/>
  <c r="F19" i="34" s="1"/>
  <c r="E10" i="36"/>
  <c r="H9" i="36"/>
  <c r="H14" i="36"/>
  <c r="G9" i="36"/>
  <c r="F9" i="36"/>
  <c r="F14" i="36"/>
  <c r="I13" i="36"/>
  <c r="J10" i="36"/>
  <c r="E9" i="36"/>
  <c r="J31" i="36"/>
  <c r="J23" i="36"/>
  <c r="J15" i="36"/>
  <c r="E14" i="36"/>
  <c r="H13" i="36"/>
  <c r="I10" i="36"/>
  <c r="D9" i="36"/>
  <c r="H307" i="32"/>
  <c r="H299" i="32"/>
  <c r="H291" i="32"/>
  <c r="H283" i="32"/>
  <c r="H275" i="32"/>
  <c r="H267" i="32"/>
  <c r="H259" i="32"/>
  <c r="H251" i="32"/>
  <c r="E235" i="32"/>
  <c r="E234" i="32"/>
  <c r="H233" i="32"/>
  <c r="E156" i="32"/>
  <c r="H156" i="32"/>
  <c r="H142" i="32"/>
  <c r="E142" i="32"/>
  <c r="H282" i="32"/>
  <c r="H266" i="32"/>
  <c r="H258" i="32"/>
  <c r="H250" i="32"/>
  <c r="E152" i="32"/>
  <c r="H152" i="32"/>
  <c r="H138" i="32"/>
  <c r="E138" i="32"/>
  <c r="H166" i="32"/>
  <c r="E166" i="32"/>
  <c r="E148" i="32"/>
  <c r="H148" i="32"/>
  <c r="H134" i="32"/>
  <c r="E134" i="32"/>
  <c r="E244" i="32"/>
  <c r="H241" i="32"/>
  <c r="E227" i="32"/>
  <c r="E226" i="32"/>
  <c r="E219" i="32"/>
  <c r="E218" i="32"/>
  <c r="E211" i="32"/>
  <c r="E210" i="32"/>
  <c r="E203" i="32"/>
  <c r="E202" i="32"/>
  <c r="E195" i="32"/>
  <c r="E187" i="32"/>
  <c r="E175" i="32"/>
  <c r="H162" i="32"/>
  <c r="E162" i="32"/>
  <c r="E144" i="32"/>
  <c r="H144" i="32"/>
  <c r="H126" i="32"/>
  <c r="E126" i="32"/>
  <c r="G126" i="32" s="1"/>
  <c r="H311" i="32"/>
  <c r="H303" i="32"/>
  <c r="H295" i="32"/>
  <c r="H287" i="32"/>
  <c r="H279" i="32"/>
  <c r="H271" i="32"/>
  <c r="H263" i="32"/>
  <c r="H255" i="32"/>
  <c r="H247" i="32"/>
  <c r="H222" i="32"/>
  <c r="H214" i="32"/>
  <c r="E179" i="32"/>
  <c r="H179" i="32"/>
  <c r="H158" i="32"/>
  <c r="E158" i="32"/>
  <c r="G158" i="32" s="1"/>
  <c r="E140" i="32"/>
  <c r="H140" i="32"/>
  <c r="H176" i="32"/>
  <c r="E176" i="32"/>
  <c r="E168" i="32"/>
  <c r="H168" i="32"/>
  <c r="H154" i="32"/>
  <c r="E154" i="32"/>
  <c r="E136" i="32"/>
  <c r="H136" i="32"/>
  <c r="H127" i="32"/>
  <c r="E127" i="32"/>
  <c r="E230" i="32"/>
  <c r="E164" i="32"/>
  <c r="H164" i="32"/>
  <c r="H150" i="32"/>
  <c r="E150" i="32"/>
  <c r="H244" i="32"/>
  <c r="E223" i="32"/>
  <c r="E215" i="32"/>
  <c r="E207" i="32"/>
  <c r="E206" i="32"/>
  <c r="E199" i="32"/>
  <c r="E198" i="32"/>
  <c r="E191" i="32"/>
  <c r="E190" i="32"/>
  <c r="E183" i="32"/>
  <c r="E177" i="32"/>
  <c r="E160" i="32"/>
  <c r="H160" i="32"/>
  <c r="H146" i="32"/>
  <c r="E146" i="32"/>
  <c r="E169" i="32"/>
  <c r="E165" i="32"/>
  <c r="E161" i="32"/>
  <c r="E157" i="32"/>
  <c r="E153" i="32"/>
  <c r="E149" i="32"/>
  <c r="E145" i="32"/>
  <c r="E141" i="32"/>
  <c r="E137" i="32"/>
  <c r="E133" i="32"/>
  <c r="G133" i="32" s="1"/>
  <c r="E130" i="32"/>
  <c r="H130" i="32"/>
  <c r="E118" i="32"/>
  <c r="H118" i="32"/>
  <c r="H112" i="32"/>
  <c r="E109" i="32"/>
  <c r="H105" i="32"/>
  <c r="H97" i="32"/>
  <c r="H96" i="32"/>
  <c r="E96" i="32"/>
  <c r="H169" i="32"/>
  <c r="H165" i="32"/>
  <c r="H161" i="32"/>
  <c r="H157" i="32"/>
  <c r="H153" i="32"/>
  <c r="H149" i="32"/>
  <c r="H145" i="32"/>
  <c r="H141" i="32"/>
  <c r="H137" i="32"/>
  <c r="H133" i="32"/>
  <c r="E125" i="32"/>
  <c r="E122" i="32"/>
  <c r="H122" i="32"/>
  <c r="E113" i="32"/>
  <c r="H109" i="32"/>
  <c r="H108" i="32"/>
  <c r="E114" i="32"/>
  <c r="H114" i="32"/>
  <c r="E106" i="32"/>
  <c r="H106" i="32"/>
  <c r="H121" i="32"/>
  <c r="E89" i="32"/>
  <c r="H86" i="32"/>
  <c r="E81" i="32"/>
  <c r="H78" i="32"/>
  <c r="E73" i="32"/>
  <c r="H70" i="32"/>
  <c r="E65" i="32"/>
  <c r="H62" i="32"/>
  <c r="H54" i="32"/>
  <c r="H46" i="32"/>
  <c r="H38" i="32"/>
  <c r="H30" i="32"/>
  <c r="H22" i="32"/>
  <c r="H14" i="32"/>
  <c r="H6" i="32"/>
  <c r="E88" i="32"/>
  <c r="E80" i="32"/>
  <c r="E72" i="32"/>
  <c r="E64" i="32"/>
  <c r="E56" i="32"/>
  <c r="E48" i="32"/>
  <c r="H37" i="32"/>
  <c r="H29" i="32"/>
  <c r="H21" i="32"/>
  <c r="H13" i="32"/>
  <c r="H82" i="32"/>
  <c r="H74" i="32"/>
  <c r="H66" i="32"/>
  <c r="H58" i="32"/>
  <c r="H50" i="32"/>
  <c r="H42" i="32"/>
  <c r="H34" i="32"/>
  <c r="H26" i="32"/>
  <c r="H18" i="32"/>
  <c r="H10" i="32"/>
  <c r="R304" i="19"/>
  <c r="U304" i="19" s="1"/>
  <c r="T304" i="19"/>
  <c r="R309" i="19"/>
  <c r="U309" i="19" s="1"/>
  <c r="T309" i="19"/>
  <c r="T303" i="19"/>
  <c r="R303" i="19"/>
  <c r="U303" i="19" s="1"/>
  <c r="T299" i="19"/>
  <c r="R299" i="19"/>
  <c r="U299" i="19" s="1"/>
  <c r="R292" i="19"/>
  <c r="U292" i="19" s="1"/>
  <c r="T292" i="19"/>
  <c r="R288" i="19"/>
  <c r="U288" i="19" s="1"/>
  <c r="T288" i="19"/>
  <c r="T279" i="19"/>
  <c r="R279" i="19"/>
  <c r="U279" i="19" s="1"/>
  <c r="R308" i="19"/>
  <c r="U308" i="19" s="1"/>
  <c r="T308" i="19"/>
  <c r="R313" i="19"/>
  <c r="U313" i="19" s="1"/>
  <c r="T313" i="19"/>
  <c r="T295" i="19"/>
  <c r="R295" i="19"/>
  <c r="U295" i="19" s="1"/>
  <c r="T283" i="19"/>
  <c r="R283" i="19"/>
  <c r="U283" i="19" s="1"/>
  <c r="R272" i="19"/>
  <c r="U272" i="19" s="1"/>
  <c r="T272" i="19"/>
  <c r="T314" i="19"/>
  <c r="R314" i="19"/>
  <c r="U314" i="19" s="1"/>
  <c r="R293" i="19"/>
  <c r="U293" i="19" s="1"/>
  <c r="T293" i="19"/>
  <c r="R280" i="19"/>
  <c r="U280" i="19" s="1"/>
  <c r="T280" i="19"/>
  <c r="T300" i="19"/>
  <c r="R300" i="19"/>
  <c r="U300" i="19" s="1"/>
  <c r="R297" i="19"/>
  <c r="U297" i="19" s="1"/>
  <c r="T297" i="19"/>
  <c r="R284" i="19"/>
  <c r="U284" i="19" s="1"/>
  <c r="T284" i="19"/>
  <c r="R277" i="19"/>
  <c r="U277" i="19" s="1"/>
  <c r="T277" i="19"/>
  <c r="R301" i="19"/>
  <c r="U301" i="19" s="1"/>
  <c r="T301" i="19"/>
  <c r="R315" i="19"/>
  <c r="U315" i="19" s="1"/>
  <c r="T315" i="19"/>
  <c r="T311" i="19"/>
  <c r="R311" i="19"/>
  <c r="U311" i="19" s="1"/>
  <c r="T287" i="19"/>
  <c r="R287" i="19"/>
  <c r="U287" i="19" s="1"/>
  <c r="R312" i="19"/>
  <c r="U312" i="19" s="1"/>
  <c r="T312" i="19"/>
  <c r="R305" i="19"/>
  <c r="U305" i="19" s="1"/>
  <c r="T305" i="19"/>
  <c r="R285" i="19"/>
  <c r="U285" i="19" s="1"/>
  <c r="T285" i="19"/>
  <c r="G310" i="19"/>
  <c r="Y304" i="19"/>
  <c r="C302" i="32" s="1"/>
  <c r="G294" i="19"/>
  <c r="G286" i="19"/>
  <c r="O273" i="19"/>
  <c r="T268" i="19"/>
  <c r="R252" i="19"/>
  <c r="U252" i="19" s="1"/>
  <c r="T252" i="19"/>
  <c r="T242" i="19"/>
  <c r="R242" i="19"/>
  <c r="U242" i="19" s="1"/>
  <c r="T234" i="19"/>
  <c r="R234" i="19"/>
  <c r="U234" i="19" s="1"/>
  <c r="R214" i="19"/>
  <c r="U214" i="19" s="1"/>
  <c r="T214" i="19"/>
  <c r="R260" i="19"/>
  <c r="U260" i="19" s="1"/>
  <c r="T260" i="19"/>
  <c r="R249" i="19"/>
  <c r="U249" i="19" s="1"/>
  <c r="T249" i="19"/>
  <c r="R230" i="19"/>
  <c r="U230" i="19" s="1"/>
  <c r="T230" i="19"/>
  <c r="R222" i="19"/>
  <c r="U222" i="19" s="1"/>
  <c r="T222" i="19"/>
  <c r="T207" i="19"/>
  <c r="R207" i="19"/>
  <c r="U207" i="19" s="1"/>
  <c r="R200" i="19"/>
  <c r="U200" i="19" s="1"/>
  <c r="T200" i="19"/>
  <c r="R197" i="19"/>
  <c r="U197" i="19" s="1"/>
  <c r="T197" i="19"/>
  <c r="Y283" i="19"/>
  <c r="C281" i="32" s="1"/>
  <c r="G270" i="19"/>
  <c r="T265" i="19"/>
  <c r="R257" i="19"/>
  <c r="U257" i="19" s="1"/>
  <c r="T257" i="19"/>
  <c r="T250" i="19"/>
  <c r="R250" i="19"/>
  <c r="U250" i="19" s="1"/>
  <c r="R246" i="19"/>
  <c r="U246" i="19" s="1"/>
  <c r="T246" i="19"/>
  <c r="R238" i="19"/>
  <c r="U238" i="19" s="1"/>
  <c r="T238" i="19"/>
  <c r="R211" i="19"/>
  <c r="U211" i="19" s="1"/>
  <c r="T211" i="19"/>
  <c r="R208" i="19"/>
  <c r="U208" i="19" s="1"/>
  <c r="T208" i="19"/>
  <c r="R204" i="19"/>
  <c r="U204" i="19" s="1"/>
  <c r="T204" i="19"/>
  <c r="T298" i="19"/>
  <c r="Y296" i="19"/>
  <c r="C294" i="32" s="1"/>
  <c r="O290" i="19"/>
  <c r="R290" i="19" s="1"/>
  <c r="U290" i="19" s="1"/>
  <c r="O289" i="19"/>
  <c r="R289" i="19" s="1"/>
  <c r="U289" i="19" s="1"/>
  <c r="G282" i="19"/>
  <c r="Y280" i="19"/>
  <c r="C278" i="32" s="1"/>
  <c r="O278" i="19"/>
  <c r="R278" i="19" s="1"/>
  <c r="U278" i="19" s="1"/>
  <c r="G274" i="19"/>
  <c r="G273" i="19"/>
  <c r="G266" i="19"/>
  <c r="T258" i="19"/>
  <c r="R258" i="19"/>
  <c r="U258" i="19" s="1"/>
  <c r="R254" i="19"/>
  <c r="U254" i="19" s="1"/>
  <c r="T254" i="19"/>
  <c r="R227" i="19"/>
  <c r="U227" i="19" s="1"/>
  <c r="T227" i="19"/>
  <c r="R224" i="19"/>
  <c r="U224" i="19" s="1"/>
  <c r="T224" i="19"/>
  <c r="R219" i="19"/>
  <c r="U219" i="19" s="1"/>
  <c r="T219" i="19"/>
  <c r="R216" i="19"/>
  <c r="U216" i="19" s="1"/>
  <c r="T216" i="19"/>
  <c r="R179" i="19"/>
  <c r="U179" i="19" s="1"/>
  <c r="T179" i="19"/>
  <c r="O306" i="19"/>
  <c r="R306" i="19" s="1"/>
  <c r="U306" i="19" s="1"/>
  <c r="O310" i="19"/>
  <c r="G302" i="19"/>
  <c r="G281" i="19"/>
  <c r="R243" i="19"/>
  <c r="U243" i="19" s="1"/>
  <c r="T243" i="19"/>
  <c r="R240" i="19"/>
  <c r="U240" i="19" s="1"/>
  <c r="T240" i="19"/>
  <c r="R235" i="19"/>
  <c r="U235" i="19" s="1"/>
  <c r="T235" i="19"/>
  <c r="R232" i="19"/>
  <c r="U232" i="19" s="1"/>
  <c r="T232" i="19"/>
  <c r="R212" i="19"/>
  <c r="U212" i="19" s="1"/>
  <c r="T212" i="19"/>
  <c r="R205" i="19"/>
  <c r="U205" i="19" s="1"/>
  <c r="T205" i="19"/>
  <c r="R201" i="19"/>
  <c r="U201" i="19" s="1"/>
  <c r="T201" i="19"/>
  <c r="T191" i="19"/>
  <c r="R191" i="19"/>
  <c r="U191" i="19" s="1"/>
  <c r="R262" i="19"/>
  <c r="U262" i="19" s="1"/>
  <c r="T262" i="19"/>
  <c r="R228" i="19"/>
  <c r="U228" i="19" s="1"/>
  <c r="T228" i="19"/>
  <c r="R220" i="19"/>
  <c r="U220" i="19" s="1"/>
  <c r="T220" i="19"/>
  <c r="R209" i="19"/>
  <c r="U209" i="19" s="1"/>
  <c r="T209" i="19"/>
  <c r="R275" i="19"/>
  <c r="U275" i="19" s="1"/>
  <c r="T275" i="19"/>
  <c r="T269" i="19"/>
  <c r="R269" i="19"/>
  <c r="U269" i="19" s="1"/>
  <c r="R251" i="19"/>
  <c r="U251" i="19" s="1"/>
  <c r="T251" i="19"/>
  <c r="R248" i="19"/>
  <c r="U248" i="19" s="1"/>
  <c r="T248" i="19"/>
  <c r="R244" i="19"/>
  <c r="U244" i="19" s="1"/>
  <c r="T244" i="19"/>
  <c r="R236" i="19"/>
  <c r="U236" i="19" s="1"/>
  <c r="T236" i="19"/>
  <c r="R225" i="19"/>
  <c r="U225" i="19" s="1"/>
  <c r="T225" i="19"/>
  <c r="R217" i="19"/>
  <c r="U217" i="19" s="1"/>
  <c r="T217" i="19"/>
  <c r="T210" i="19"/>
  <c r="R210" i="19"/>
  <c r="U210" i="19" s="1"/>
  <c r="R189" i="19"/>
  <c r="U189" i="19" s="1"/>
  <c r="T189" i="19"/>
  <c r="R307" i="19"/>
  <c r="U307" i="19" s="1"/>
  <c r="O298" i="19"/>
  <c r="R298" i="19" s="1"/>
  <c r="U298" i="19" s="1"/>
  <c r="Y276" i="19"/>
  <c r="C274" i="32" s="1"/>
  <c r="E274" i="32" s="1"/>
  <c r="G276" i="19"/>
  <c r="R271" i="19"/>
  <c r="U271" i="19" s="1"/>
  <c r="T271" i="19"/>
  <c r="G267" i="19"/>
  <c r="O265" i="19"/>
  <c r="R265" i="19" s="1"/>
  <c r="U265" i="19" s="1"/>
  <c r="R259" i="19"/>
  <c r="U259" i="19" s="1"/>
  <c r="T259" i="19"/>
  <c r="R256" i="19"/>
  <c r="U256" i="19" s="1"/>
  <c r="T256" i="19"/>
  <c r="R241" i="19"/>
  <c r="U241" i="19" s="1"/>
  <c r="T241" i="19"/>
  <c r="R233" i="19"/>
  <c r="U233" i="19" s="1"/>
  <c r="T233" i="19"/>
  <c r="R231" i="19"/>
  <c r="U231" i="19" s="1"/>
  <c r="T226" i="19"/>
  <c r="R226" i="19"/>
  <c r="U226" i="19" s="1"/>
  <c r="R223" i="19"/>
  <c r="U223" i="19" s="1"/>
  <c r="T218" i="19"/>
  <c r="R218" i="19"/>
  <c r="U218" i="19" s="1"/>
  <c r="R215" i="19"/>
  <c r="U215" i="19" s="1"/>
  <c r="T199" i="19"/>
  <c r="R199" i="19"/>
  <c r="U199" i="19" s="1"/>
  <c r="T195" i="19"/>
  <c r="R195" i="19"/>
  <c r="U195" i="19" s="1"/>
  <c r="R192" i="19"/>
  <c r="U192" i="19" s="1"/>
  <c r="T192" i="19"/>
  <c r="T263" i="19"/>
  <c r="R261" i="19"/>
  <c r="U261" i="19" s="1"/>
  <c r="T255" i="19"/>
  <c r="R253" i="19"/>
  <c r="U253" i="19" s="1"/>
  <c r="T247" i="19"/>
  <c r="R245" i="19"/>
  <c r="U245" i="19" s="1"/>
  <c r="T239" i="19"/>
  <c r="R237" i="19"/>
  <c r="U237" i="19" s="1"/>
  <c r="T231" i="19"/>
  <c r="R229" i="19"/>
  <c r="U229" i="19" s="1"/>
  <c r="T223" i="19"/>
  <c r="R221" i="19"/>
  <c r="U221" i="19" s="1"/>
  <c r="T215" i="19"/>
  <c r="R213" i="19"/>
  <c r="U213" i="19" s="1"/>
  <c r="R203" i="19"/>
  <c r="U203" i="19" s="1"/>
  <c r="T196" i="19"/>
  <c r="Y195" i="19"/>
  <c r="C193" i="32" s="1"/>
  <c r="R188" i="19"/>
  <c r="U188" i="19" s="1"/>
  <c r="R187" i="19"/>
  <c r="U187" i="19" s="1"/>
  <c r="R183" i="19"/>
  <c r="U183" i="19" s="1"/>
  <c r="G178" i="19"/>
  <c r="Y176" i="19"/>
  <c r="C174" i="32" s="1"/>
  <c r="Y175" i="19"/>
  <c r="C173" i="32" s="1"/>
  <c r="G174" i="19"/>
  <c r="R140" i="19"/>
  <c r="U140" i="19" s="1"/>
  <c r="T140" i="19"/>
  <c r="R121" i="19"/>
  <c r="U121" i="19" s="1"/>
  <c r="T121" i="19"/>
  <c r="R109" i="19"/>
  <c r="U109" i="19" s="1"/>
  <c r="T109" i="19"/>
  <c r="T108" i="19"/>
  <c r="R108" i="19"/>
  <c r="U108" i="19" s="1"/>
  <c r="R171" i="19"/>
  <c r="U171" i="19" s="1"/>
  <c r="T171" i="19"/>
  <c r="R166" i="19"/>
  <c r="U166" i="19" s="1"/>
  <c r="T166" i="19"/>
  <c r="R163" i="19"/>
  <c r="U163" i="19" s="1"/>
  <c r="T163" i="19"/>
  <c r="R158" i="19"/>
  <c r="U158" i="19" s="1"/>
  <c r="T158" i="19"/>
  <c r="R155" i="19"/>
  <c r="U155" i="19" s="1"/>
  <c r="T155" i="19"/>
  <c r="R150" i="19"/>
  <c r="U150" i="19" s="1"/>
  <c r="T150" i="19"/>
  <c r="R147" i="19"/>
  <c r="U147" i="19" s="1"/>
  <c r="T147" i="19"/>
  <c r="R144" i="19"/>
  <c r="U144" i="19" s="1"/>
  <c r="T144" i="19"/>
  <c r="R137" i="19"/>
  <c r="U137" i="19" s="1"/>
  <c r="T137" i="19"/>
  <c r="T133" i="19"/>
  <c r="R133" i="19"/>
  <c r="U133" i="19" s="1"/>
  <c r="R129" i="19"/>
  <c r="U129" i="19" s="1"/>
  <c r="T129" i="19"/>
  <c r="T125" i="19"/>
  <c r="R125" i="19"/>
  <c r="U125" i="19" s="1"/>
  <c r="R112" i="19"/>
  <c r="U112" i="19" s="1"/>
  <c r="T112" i="19"/>
  <c r="R175" i="19"/>
  <c r="U175" i="19" s="1"/>
  <c r="T141" i="19"/>
  <c r="R141" i="19"/>
  <c r="U141" i="19" s="1"/>
  <c r="T138" i="19"/>
  <c r="R138" i="19"/>
  <c r="U138" i="19" s="1"/>
  <c r="T130" i="19"/>
  <c r="R130" i="19"/>
  <c r="U130" i="19" s="1"/>
  <c r="T122" i="19"/>
  <c r="R122" i="19"/>
  <c r="U122" i="19" s="1"/>
  <c r="T119" i="19"/>
  <c r="R119" i="19"/>
  <c r="U119" i="19" s="1"/>
  <c r="R184" i="19"/>
  <c r="U184" i="19" s="1"/>
  <c r="G180" i="19"/>
  <c r="T177" i="19"/>
  <c r="R172" i="19"/>
  <c r="U172" i="19" s="1"/>
  <c r="T172" i="19"/>
  <c r="R164" i="19"/>
  <c r="U164" i="19" s="1"/>
  <c r="T164" i="19"/>
  <c r="R156" i="19"/>
  <c r="U156" i="19" s="1"/>
  <c r="T156" i="19"/>
  <c r="R148" i="19"/>
  <c r="U148" i="19" s="1"/>
  <c r="T148" i="19"/>
  <c r="T116" i="19"/>
  <c r="R116" i="19"/>
  <c r="U116" i="19" s="1"/>
  <c r="T113" i="19"/>
  <c r="R113" i="19"/>
  <c r="U113" i="19" s="1"/>
  <c r="R96" i="19"/>
  <c r="U96" i="19" s="1"/>
  <c r="T96" i="19"/>
  <c r="T193" i="19"/>
  <c r="G190" i="19"/>
  <c r="O186" i="19"/>
  <c r="O185" i="19"/>
  <c r="G181" i="19"/>
  <c r="Y180" i="19"/>
  <c r="C178" i="32" s="1"/>
  <c r="H178" i="32" s="1"/>
  <c r="O170" i="19"/>
  <c r="R170" i="19" s="1"/>
  <c r="U170" i="19" s="1"/>
  <c r="R145" i="19"/>
  <c r="U145" i="19" s="1"/>
  <c r="T145" i="19"/>
  <c r="R126" i="19"/>
  <c r="U126" i="19" s="1"/>
  <c r="T126" i="19"/>
  <c r="T111" i="19"/>
  <c r="R111" i="19"/>
  <c r="U111" i="19" s="1"/>
  <c r="R101" i="19"/>
  <c r="U101" i="19" s="1"/>
  <c r="T101" i="19"/>
  <c r="Y188" i="19"/>
  <c r="C186" i="32" s="1"/>
  <c r="H186" i="32" s="1"/>
  <c r="R176" i="19"/>
  <c r="U176" i="19" s="1"/>
  <c r="T173" i="19"/>
  <c r="R173" i="19"/>
  <c r="U173" i="19" s="1"/>
  <c r="R169" i="19"/>
  <c r="U169" i="19" s="1"/>
  <c r="T169" i="19"/>
  <c r="T165" i="19"/>
  <c r="R165" i="19"/>
  <c r="U165" i="19" s="1"/>
  <c r="R161" i="19"/>
  <c r="U161" i="19" s="1"/>
  <c r="T161" i="19"/>
  <c r="T157" i="19"/>
  <c r="R157" i="19"/>
  <c r="U157" i="19" s="1"/>
  <c r="R153" i="19"/>
  <c r="U153" i="19" s="1"/>
  <c r="T153" i="19"/>
  <c r="T149" i="19"/>
  <c r="R149" i="19"/>
  <c r="U149" i="19" s="1"/>
  <c r="T146" i="19"/>
  <c r="R146" i="19"/>
  <c r="U146" i="19" s="1"/>
  <c r="R134" i="19"/>
  <c r="U134" i="19" s="1"/>
  <c r="T134" i="19"/>
  <c r="R131" i="19"/>
  <c r="U131" i="19" s="1"/>
  <c r="T131" i="19"/>
  <c r="R123" i="19"/>
  <c r="U123" i="19" s="1"/>
  <c r="T123" i="19"/>
  <c r="R114" i="19"/>
  <c r="U114" i="19" s="1"/>
  <c r="T114" i="19"/>
  <c r="O206" i="19"/>
  <c r="R206" i="19" s="1"/>
  <c r="U206" i="19" s="1"/>
  <c r="G198" i="19"/>
  <c r="Y187" i="19"/>
  <c r="C185" i="32" s="1"/>
  <c r="G186" i="19"/>
  <c r="Y184" i="19"/>
  <c r="C182" i="32" s="1"/>
  <c r="H182" i="32" s="1"/>
  <c r="Y183" i="19"/>
  <c r="C181" i="32" s="1"/>
  <c r="G182" i="19"/>
  <c r="O178" i="19"/>
  <c r="O177" i="19"/>
  <c r="R177" i="19" s="1"/>
  <c r="U177" i="19" s="1"/>
  <c r="T170" i="19"/>
  <c r="T162" i="19"/>
  <c r="R162" i="19"/>
  <c r="U162" i="19" s="1"/>
  <c r="T154" i="19"/>
  <c r="R154" i="19"/>
  <c r="U154" i="19" s="1"/>
  <c r="R142" i="19"/>
  <c r="U142" i="19" s="1"/>
  <c r="T142" i="19"/>
  <c r="R139" i="19"/>
  <c r="U139" i="19" s="1"/>
  <c r="T139" i="19"/>
  <c r="R120" i="19"/>
  <c r="U120" i="19" s="1"/>
  <c r="T120" i="19"/>
  <c r="R117" i="19"/>
  <c r="U117" i="19" s="1"/>
  <c r="T117" i="19"/>
  <c r="R105" i="19"/>
  <c r="U105" i="19" s="1"/>
  <c r="T105" i="19"/>
  <c r="G202" i="19"/>
  <c r="Y196" i="19"/>
  <c r="C194" i="32" s="1"/>
  <c r="H194" i="32" s="1"/>
  <c r="O194" i="19"/>
  <c r="R194" i="19" s="1"/>
  <c r="U194" i="19" s="1"/>
  <c r="O193" i="19"/>
  <c r="R193" i="19" s="1"/>
  <c r="U193" i="19" s="1"/>
  <c r="G185" i="19"/>
  <c r="T184" i="19"/>
  <c r="R132" i="19"/>
  <c r="U132" i="19" s="1"/>
  <c r="T132" i="19"/>
  <c r="R124" i="19"/>
  <c r="U124" i="19" s="1"/>
  <c r="T124" i="19"/>
  <c r="T143" i="19"/>
  <c r="Y117" i="19"/>
  <c r="C115" i="32" s="1"/>
  <c r="R104" i="19"/>
  <c r="U104" i="19" s="1"/>
  <c r="R100" i="19"/>
  <c r="U100" i="19" s="1"/>
  <c r="Y93" i="19"/>
  <c r="C91" i="32" s="1"/>
  <c r="Y92" i="19"/>
  <c r="C90" i="32" s="1"/>
  <c r="E90" i="32" s="1"/>
  <c r="G91" i="19"/>
  <c r="R21" i="19"/>
  <c r="U21" i="19" s="1"/>
  <c r="T21" i="19"/>
  <c r="R88" i="19"/>
  <c r="U88" i="19" s="1"/>
  <c r="T88" i="19"/>
  <c r="R83" i="19"/>
  <c r="U83" i="19" s="1"/>
  <c r="T83" i="19"/>
  <c r="R80" i="19"/>
  <c r="U80" i="19" s="1"/>
  <c r="T80" i="19"/>
  <c r="R59" i="19"/>
  <c r="U59" i="19" s="1"/>
  <c r="T59" i="19"/>
  <c r="R43" i="19"/>
  <c r="U43" i="19" s="1"/>
  <c r="T43" i="19"/>
  <c r="R32" i="19"/>
  <c r="U32" i="19" s="1"/>
  <c r="T32" i="19"/>
  <c r="R29" i="19"/>
  <c r="U29" i="19" s="1"/>
  <c r="T29" i="19"/>
  <c r="R24" i="19"/>
  <c r="U24" i="19" s="1"/>
  <c r="T24" i="19"/>
  <c r="T18" i="19"/>
  <c r="R18" i="19"/>
  <c r="U18" i="19" s="1"/>
  <c r="R14" i="19"/>
  <c r="U14" i="19" s="1"/>
  <c r="T14" i="19"/>
  <c r="R12" i="19"/>
  <c r="U12" i="19" s="1"/>
  <c r="T12" i="19"/>
  <c r="R11" i="19"/>
  <c r="U11" i="19" s="1"/>
  <c r="T11" i="19"/>
  <c r="T118" i="19"/>
  <c r="O98" i="19"/>
  <c r="Y96" i="19"/>
  <c r="C94" i="32" s="1"/>
  <c r="E94" i="32" s="1"/>
  <c r="R92" i="19"/>
  <c r="U92" i="19" s="1"/>
  <c r="R75" i="19"/>
  <c r="U75" i="19" s="1"/>
  <c r="T75" i="19"/>
  <c r="R72" i="19"/>
  <c r="U72" i="19" s="1"/>
  <c r="T72" i="19"/>
  <c r="R67" i="19"/>
  <c r="U67" i="19" s="1"/>
  <c r="T67" i="19"/>
  <c r="R64" i="19"/>
  <c r="U64" i="19" s="1"/>
  <c r="T64" i="19"/>
  <c r="R53" i="19"/>
  <c r="U53" i="19" s="1"/>
  <c r="T53" i="19"/>
  <c r="R49" i="19"/>
  <c r="U49" i="19" s="1"/>
  <c r="T49" i="19"/>
  <c r="R40" i="19"/>
  <c r="U40" i="19" s="1"/>
  <c r="T40" i="19"/>
  <c r="R37" i="19"/>
  <c r="U37" i="19" s="1"/>
  <c r="T37" i="19"/>
  <c r="Y109" i="19"/>
  <c r="C107" i="32" s="1"/>
  <c r="O107" i="19"/>
  <c r="Y97" i="19"/>
  <c r="C95" i="32" s="1"/>
  <c r="G97" i="19"/>
  <c r="T94" i="19"/>
  <c r="R89" i="19"/>
  <c r="U89" i="19" s="1"/>
  <c r="T89" i="19"/>
  <c r="R81" i="19"/>
  <c r="U81" i="19" s="1"/>
  <c r="T81" i="19"/>
  <c r="T26" i="19"/>
  <c r="R26" i="19"/>
  <c r="U26" i="19" s="1"/>
  <c r="R22" i="19"/>
  <c r="U22" i="19" s="1"/>
  <c r="T22" i="19"/>
  <c r="R20" i="19"/>
  <c r="U20" i="19" s="1"/>
  <c r="T20" i="19"/>
  <c r="R19" i="19"/>
  <c r="U19" i="19" s="1"/>
  <c r="T19" i="19"/>
  <c r="G115" i="19"/>
  <c r="G110" i="19"/>
  <c r="O103" i="19"/>
  <c r="R103" i="19" s="1"/>
  <c r="U103" i="19" s="1"/>
  <c r="O102" i="19"/>
  <c r="G98" i="19"/>
  <c r="Y89" i="19"/>
  <c r="C87" i="32" s="1"/>
  <c r="R73" i="19"/>
  <c r="U73" i="19" s="1"/>
  <c r="T73" i="19"/>
  <c r="R65" i="19"/>
  <c r="U65" i="19" s="1"/>
  <c r="T65" i="19"/>
  <c r="R57" i="19"/>
  <c r="U57" i="19" s="1"/>
  <c r="T57" i="19"/>
  <c r="T50" i="19"/>
  <c r="R50" i="19"/>
  <c r="U50" i="19" s="1"/>
  <c r="R46" i="19"/>
  <c r="U46" i="19" s="1"/>
  <c r="T46" i="19"/>
  <c r="R41" i="19"/>
  <c r="U41" i="19" s="1"/>
  <c r="T41" i="19"/>
  <c r="T34" i="19"/>
  <c r="R34" i="19"/>
  <c r="U34" i="19" s="1"/>
  <c r="R30" i="19"/>
  <c r="U30" i="19" s="1"/>
  <c r="T30" i="19"/>
  <c r="T15" i="19"/>
  <c r="R15" i="19"/>
  <c r="U15" i="19" s="1"/>
  <c r="T168" i="19"/>
  <c r="T160" i="19"/>
  <c r="T152" i="19"/>
  <c r="T128" i="19"/>
  <c r="T103" i="19"/>
  <c r="R93" i="19"/>
  <c r="U93" i="19" s="1"/>
  <c r="T90" i="19"/>
  <c r="R90" i="19"/>
  <c r="U90" i="19" s="1"/>
  <c r="T87" i="19"/>
  <c r="R87" i="19"/>
  <c r="U87" i="19" s="1"/>
  <c r="R86" i="19"/>
  <c r="U86" i="19" s="1"/>
  <c r="T86" i="19"/>
  <c r="T82" i="19"/>
  <c r="R82" i="19"/>
  <c r="U82" i="19" s="1"/>
  <c r="T79" i="19"/>
  <c r="R79" i="19"/>
  <c r="U79" i="19" s="1"/>
  <c r="R78" i="19"/>
  <c r="U78" i="19" s="1"/>
  <c r="T78" i="19"/>
  <c r="R70" i="19"/>
  <c r="U70" i="19" s="1"/>
  <c r="T70" i="19"/>
  <c r="R62" i="19"/>
  <c r="U62" i="19" s="1"/>
  <c r="T62" i="19"/>
  <c r="T47" i="19"/>
  <c r="R47" i="19"/>
  <c r="U47" i="19" s="1"/>
  <c r="R38" i="19"/>
  <c r="U38" i="19" s="1"/>
  <c r="T38" i="19"/>
  <c r="T31" i="19"/>
  <c r="R31" i="19"/>
  <c r="U31" i="19" s="1"/>
  <c r="R27" i="19"/>
  <c r="U27" i="19" s="1"/>
  <c r="T27" i="19"/>
  <c r="T23" i="19"/>
  <c r="R23" i="19"/>
  <c r="U23" i="19" s="1"/>
  <c r="R8" i="19"/>
  <c r="U8" i="19" s="1"/>
  <c r="T8" i="19"/>
  <c r="O118" i="19"/>
  <c r="R118" i="19" s="1"/>
  <c r="U118" i="19" s="1"/>
  <c r="G107" i="19"/>
  <c r="G106" i="19"/>
  <c r="Y104" i="19"/>
  <c r="C102" i="32" s="1"/>
  <c r="H102" i="32" s="1"/>
  <c r="Y101" i="19"/>
  <c r="C99" i="32" s="1"/>
  <c r="Y100" i="19"/>
  <c r="C98" i="32" s="1"/>
  <c r="E98" i="32" s="1"/>
  <c r="O95" i="19"/>
  <c r="O94" i="19"/>
  <c r="R94" i="19" s="1"/>
  <c r="U94" i="19" s="1"/>
  <c r="T74" i="19"/>
  <c r="R74" i="19"/>
  <c r="U74" i="19" s="1"/>
  <c r="T71" i="19"/>
  <c r="R71" i="19"/>
  <c r="U71" i="19" s="1"/>
  <c r="T66" i="19"/>
  <c r="R66" i="19"/>
  <c r="U66" i="19" s="1"/>
  <c r="T63" i="19"/>
  <c r="R63" i="19"/>
  <c r="U63" i="19" s="1"/>
  <c r="T58" i="19"/>
  <c r="R58" i="19"/>
  <c r="U58" i="19" s="1"/>
  <c r="R54" i="19"/>
  <c r="U54" i="19" s="1"/>
  <c r="T54" i="19"/>
  <c r="T42" i="19"/>
  <c r="R42" i="19"/>
  <c r="U42" i="19" s="1"/>
  <c r="T39" i="19"/>
  <c r="R39" i="19"/>
  <c r="U39" i="19" s="1"/>
  <c r="R35" i="19"/>
  <c r="U35" i="19" s="1"/>
  <c r="T35" i="19"/>
  <c r="R13" i="19"/>
  <c r="U13" i="19" s="1"/>
  <c r="T13" i="19"/>
  <c r="Y112" i="19"/>
  <c r="C110" i="32" s="1"/>
  <c r="E110" i="32" s="1"/>
  <c r="G102" i="19"/>
  <c r="G95" i="19"/>
  <c r="T55" i="19"/>
  <c r="R55" i="19"/>
  <c r="U55" i="19" s="1"/>
  <c r="R51" i="19"/>
  <c r="U51" i="19" s="1"/>
  <c r="T51" i="19"/>
  <c r="R33" i="19"/>
  <c r="U33" i="19" s="1"/>
  <c r="R16" i="19"/>
  <c r="U16" i="19" s="1"/>
  <c r="T16" i="19"/>
  <c r="T10" i="19"/>
  <c r="R10" i="19"/>
  <c r="U10" i="19" s="1"/>
  <c r="T52" i="19"/>
  <c r="T36" i="19"/>
  <c r="T28" i="19"/>
  <c r="T33" i="19"/>
  <c r="T25" i="19"/>
  <c r="T17" i="19"/>
  <c r="T9" i="19"/>
  <c r="T56" i="19"/>
  <c r="T48" i="19"/>
  <c r="T85" i="19"/>
  <c r="K313" i="36" l="1"/>
  <c r="F321" i="34" s="1"/>
  <c r="E16" i="32"/>
  <c r="H260" i="32"/>
  <c r="K191" i="36"/>
  <c r="F199" i="34" s="1"/>
  <c r="K285" i="36"/>
  <c r="F293" i="34" s="1"/>
  <c r="K301" i="36"/>
  <c r="F309" i="34" s="1"/>
  <c r="K279" i="36"/>
  <c r="F287" i="34" s="1"/>
  <c r="K303" i="36"/>
  <c r="F311" i="34" s="1"/>
  <c r="K263" i="36"/>
  <c r="F271" i="34" s="1"/>
  <c r="C23" i="12"/>
  <c r="C23" i="33"/>
  <c r="F23" i="32"/>
  <c r="C23" i="39"/>
  <c r="K10" i="36"/>
  <c r="F18" i="34" s="1"/>
  <c r="K93" i="36"/>
  <c r="F101" i="34" s="1"/>
  <c r="K135" i="36"/>
  <c r="F143" i="34" s="1"/>
  <c r="K281" i="36"/>
  <c r="F289" i="34" s="1"/>
  <c r="K189" i="36"/>
  <c r="F197" i="34" s="1"/>
  <c r="H63" i="32"/>
  <c r="E246" i="32"/>
  <c r="K152" i="36"/>
  <c r="F160" i="34" s="1"/>
  <c r="H12" i="32"/>
  <c r="D18" i="9" s="1"/>
  <c r="K214" i="36"/>
  <c r="F222" i="34" s="1"/>
  <c r="K289" i="36"/>
  <c r="F297" i="34" s="1"/>
  <c r="R85" i="19"/>
  <c r="U85" i="19" s="1"/>
  <c r="H90" i="32"/>
  <c r="K28" i="36"/>
  <c r="F36" i="34" s="1"/>
  <c r="K302" i="36"/>
  <c r="F310" i="34" s="1"/>
  <c r="K38" i="36"/>
  <c r="F46" i="34" s="1"/>
  <c r="K63" i="36"/>
  <c r="F71" i="34" s="1"/>
  <c r="K143" i="36"/>
  <c r="F151" i="34" s="1"/>
  <c r="K103" i="36"/>
  <c r="F111" i="34" s="1"/>
  <c r="K139" i="36"/>
  <c r="F147" i="34" s="1"/>
  <c r="K297" i="36"/>
  <c r="F305" i="34" s="1"/>
  <c r="K141" i="36"/>
  <c r="F149" i="34" s="1"/>
  <c r="K200" i="36"/>
  <c r="F208" i="34" s="1"/>
  <c r="K215" i="36"/>
  <c r="F223" i="34" s="1"/>
  <c r="K312" i="36"/>
  <c r="F320" i="34" s="1"/>
  <c r="H243" i="32"/>
  <c r="K216" i="36"/>
  <c r="F224" i="34" s="1"/>
  <c r="K243" i="36"/>
  <c r="F251" i="34" s="1"/>
  <c r="K184" i="36"/>
  <c r="F192" i="34" s="1"/>
  <c r="K250" i="36"/>
  <c r="F258" i="34" s="1"/>
  <c r="H94" i="32"/>
  <c r="E102" i="32"/>
  <c r="K111" i="36"/>
  <c r="F119" i="34" s="1"/>
  <c r="K130" i="36"/>
  <c r="F138" i="34" s="1"/>
  <c r="K126" i="36"/>
  <c r="F134" i="34" s="1"/>
  <c r="K203" i="36"/>
  <c r="F211" i="34" s="1"/>
  <c r="K204" i="36"/>
  <c r="F212" i="34" s="1"/>
  <c r="K40" i="36"/>
  <c r="F48" i="34" s="1"/>
  <c r="K294" i="36"/>
  <c r="F302" i="34" s="1"/>
  <c r="K295" i="36"/>
  <c r="F303" i="34" s="1"/>
  <c r="E194" i="32"/>
  <c r="K217" i="36"/>
  <c r="F225" i="34" s="1"/>
  <c r="D108" i="9"/>
  <c r="C296" i="39"/>
  <c r="C296" i="12"/>
  <c r="C296" i="33"/>
  <c r="F296" i="32"/>
  <c r="I296" i="32" s="1"/>
  <c r="C175" i="39"/>
  <c r="C175" i="12"/>
  <c r="C175" i="33"/>
  <c r="F175" i="32"/>
  <c r="I175" i="32" s="1"/>
  <c r="C204" i="39"/>
  <c r="C204" i="12"/>
  <c r="C204" i="33"/>
  <c r="F204" i="32"/>
  <c r="C287" i="39"/>
  <c r="C287" i="12"/>
  <c r="F287" i="32"/>
  <c r="C287" i="33"/>
  <c r="C52" i="39"/>
  <c r="C52" i="12"/>
  <c r="C52" i="33"/>
  <c r="F52" i="32"/>
  <c r="C60" i="39"/>
  <c r="C60" i="12"/>
  <c r="C60" i="33"/>
  <c r="F60" i="32"/>
  <c r="D188" i="9"/>
  <c r="C53" i="39"/>
  <c r="C53" i="12"/>
  <c r="C53" i="33"/>
  <c r="F53" i="32"/>
  <c r="C116" i="39"/>
  <c r="C116" i="12"/>
  <c r="F116" i="32"/>
  <c r="C116" i="33"/>
  <c r="C68" i="39"/>
  <c r="C68" i="12"/>
  <c r="C68" i="33"/>
  <c r="F68" i="32"/>
  <c r="C55" i="39"/>
  <c r="C55" i="12"/>
  <c r="C55" i="33"/>
  <c r="F55" i="32"/>
  <c r="C20" i="39"/>
  <c r="C20" i="12"/>
  <c r="C20" i="33"/>
  <c r="F20" i="32"/>
  <c r="C118" i="39"/>
  <c r="C118" i="12"/>
  <c r="C118" i="33"/>
  <c r="F118" i="32"/>
  <c r="H185" i="32"/>
  <c r="E185" i="32"/>
  <c r="C151" i="39"/>
  <c r="C151" i="12"/>
  <c r="C151" i="33"/>
  <c r="F151" i="32"/>
  <c r="C114" i="39"/>
  <c r="C114" i="12"/>
  <c r="C114" i="33"/>
  <c r="F114" i="32"/>
  <c r="G114" i="32" s="1"/>
  <c r="C119" i="39"/>
  <c r="C119" i="12"/>
  <c r="C119" i="33"/>
  <c r="F119" i="32"/>
  <c r="G119" i="32" s="1"/>
  <c r="C257" i="39"/>
  <c r="C257" i="12"/>
  <c r="C257" i="33"/>
  <c r="F257" i="32"/>
  <c r="G257" i="32" s="1"/>
  <c r="C305" i="39"/>
  <c r="C305" i="12"/>
  <c r="F305" i="32"/>
  <c r="C305" i="33"/>
  <c r="C249" i="39"/>
  <c r="C249" i="12"/>
  <c r="C249" i="33"/>
  <c r="F249" i="32"/>
  <c r="C250" i="39"/>
  <c r="C250" i="12"/>
  <c r="C250" i="33"/>
  <c r="F250" i="32"/>
  <c r="G250" i="32" s="1"/>
  <c r="C283" i="39"/>
  <c r="C283" i="12"/>
  <c r="F283" i="32"/>
  <c r="C283" i="33"/>
  <c r="D48" i="9"/>
  <c r="I133" i="32"/>
  <c r="D139" i="9"/>
  <c r="C8" i="39"/>
  <c r="C8" i="12"/>
  <c r="C8" i="33"/>
  <c r="F8" i="32"/>
  <c r="C37" i="39"/>
  <c r="C37" i="12"/>
  <c r="C37" i="33"/>
  <c r="F37" i="32"/>
  <c r="G37" i="32" s="1"/>
  <c r="C61" i="39"/>
  <c r="C61" i="12"/>
  <c r="C61" i="33"/>
  <c r="F61" i="32"/>
  <c r="C92" i="39"/>
  <c r="C92" i="12"/>
  <c r="C92" i="33"/>
  <c r="F92" i="32"/>
  <c r="C85" i="39"/>
  <c r="C85" i="12"/>
  <c r="C85" i="33"/>
  <c r="F85" i="32"/>
  <c r="G85" i="32" s="1"/>
  <c r="C24" i="39"/>
  <c r="C24" i="12"/>
  <c r="C24" i="33"/>
  <c r="F24" i="32"/>
  <c r="I24" i="32" s="1"/>
  <c r="E95" i="32"/>
  <c r="H95" i="32"/>
  <c r="C47" i="39"/>
  <c r="C47" i="12"/>
  <c r="C47" i="33"/>
  <c r="F47" i="32"/>
  <c r="C70" i="39"/>
  <c r="C70" i="12"/>
  <c r="C70" i="33"/>
  <c r="F70" i="32"/>
  <c r="C9" i="39"/>
  <c r="C9" i="12"/>
  <c r="F9" i="32"/>
  <c r="I9" i="32" s="1"/>
  <c r="C9" i="33"/>
  <c r="C22" i="39"/>
  <c r="C22" i="12"/>
  <c r="C22" i="33"/>
  <c r="F22" i="32"/>
  <c r="C57" i="39"/>
  <c r="C57" i="12"/>
  <c r="C57" i="33"/>
  <c r="F57" i="32"/>
  <c r="C19" i="39"/>
  <c r="C19" i="12"/>
  <c r="C19" i="33"/>
  <c r="F19" i="32"/>
  <c r="D200" i="9"/>
  <c r="C155" i="39"/>
  <c r="C155" i="12"/>
  <c r="C155" i="33"/>
  <c r="F155" i="32"/>
  <c r="C171" i="39"/>
  <c r="C171" i="12"/>
  <c r="C171" i="33"/>
  <c r="F171" i="32"/>
  <c r="C170" i="39"/>
  <c r="C170" i="12"/>
  <c r="C170" i="33"/>
  <c r="F170" i="32"/>
  <c r="C128" i="39"/>
  <c r="C128" i="12"/>
  <c r="C128" i="33"/>
  <c r="F128" i="32"/>
  <c r="C110" i="39"/>
  <c r="C110" i="12"/>
  <c r="C110" i="33"/>
  <c r="F110" i="32"/>
  <c r="G110" i="32" s="1"/>
  <c r="C135" i="39"/>
  <c r="C135" i="12"/>
  <c r="C135" i="33"/>
  <c r="F135" i="32"/>
  <c r="C153" i="39"/>
  <c r="C153" i="12"/>
  <c r="C153" i="33"/>
  <c r="F153" i="32"/>
  <c r="C169" i="39"/>
  <c r="C169" i="12"/>
  <c r="C169" i="33"/>
  <c r="F169" i="32"/>
  <c r="C186" i="39"/>
  <c r="C186" i="12"/>
  <c r="C186" i="33"/>
  <c r="F186" i="32"/>
  <c r="C227" i="39"/>
  <c r="C227" i="12"/>
  <c r="C227" i="33"/>
  <c r="F227" i="32"/>
  <c r="G227" i="32" s="1"/>
  <c r="C259" i="39"/>
  <c r="C259" i="12"/>
  <c r="F259" i="32"/>
  <c r="I259" i="32" s="1"/>
  <c r="C259" i="33"/>
  <c r="C263" i="39"/>
  <c r="C263" i="12"/>
  <c r="C263" i="33"/>
  <c r="F263" i="32"/>
  <c r="G263" i="32" s="1"/>
  <c r="C267" i="39"/>
  <c r="C267" i="12"/>
  <c r="C267" i="33"/>
  <c r="F267" i="32"/>
  <c r="C218" i="39"/>
  <c r="C218" i="12"/>
  <c r="C218" i="33"/>
  <c r="F218" i="32"/>
  <c r="C199" i="39"/>
  <c r="C199" i="12"/>
  <c r="C199" i="33"/>
  <c r="F199" i="32"/>
  <c r="I199" i="32" s="1"/>
  <c r="C233" i="39"/>
  <c r="C233" i="12"/>
  <c r="C233" i="33"/>
  <c r="F233" i="32"/>
  <c r="C304" i="39"/>
  <c r="C304" i="12"/>
  <c r="C304" i="33"/>
  <c r="F304" i="32"/>
  <c r="I304" i="32" s="1"/>
  <c r="C222" i="39"/>
  <c r="C222" i="12"/>
  <c r="F222" i="32"/>
  <c r="G222" i="32" s="1"/>
  <c r="C222" i="33"/>
  <c r="C236" i="39"/>
  <c r="C236" i="12"/>
  <c r="C236" i="33"/>
  <c r="F236" i="32"/>
  <c r="G236" i="32" s="1"/>
  <c r="C282" i="39"/>
  <c r="C282" i="12"/>
  <c r="F282" i="32"/>
  <c r="C282" i="33"/>
  <c r="C291" i="39"/>
  <c r="C291" i="12"/>
  <c r="F291" i="32"/>
  <c r="C291" i="33"/>
  <c r="C286" i="39"/>
  <c r="C286" i="12"/>
  <c r="F286" i="32"/>
  <c r="C286" i="33"/>
  <c r="C307" i="39"/>
  <c r="C307" i="12"/>
  <c r="F307" i="32"/>
  <c r="I307" i="32" s="1"/>
  <c r="C307" i="33"/>
  <c r="D56" i="9"/>
  <c r="D27" i="9"/>
  <c r="D68" i="9"/>
  <c r="D127" i="9"/>
  <c r="D143" i="9"/>
  <c r="I169" i="32"/>
  <c r="D175" i="9"/>
  <c r="H110" i="32"/>
  <c r="E182" i="32"/>
  <c r="D174" i="9"/>
  <c r="I158" i="32"/>
  <c r="D164" i="9"/>
  <c r="D277" i="9"/>
  <c r="D150" i="9"/>
  <c r="D172" i="9"/>
  <c r="D272" i="9"/>
  <c r="D313" i="9"/>
  <c r="K18" i="36"/>
  <c r="F26" i="34" s="1"/>
  <c r="K71" i="36"/>
  <c r="F79" i="34" s="1"/>
  <c r="K45" i="36"/>
  <c r="F53" i="34" s="1"/>
  <c r="K67" i="36"/>
  <c r="F75" i="34" s="1"/>
  <c r="K102" i="36"/>
  <c r="F110" i="34" s="1"/>
  <c r="K98" i="36"/>
  <c r="F106" i="34" s="1"/>
  <c r="K160" i="36"/>
  <c r="F168" i="34" s="1"/>
  <c r="K232" i="36"/>
  <c r="F240" i="34" s="1"/>
  <c r="K260" i="36"/>
  <c r="F268" i="34" s="1"/>
  <c r="K183" i="36"/>
  <c r="F191" i="34" s="1"/>
  <c r="K198" i="36"/>
  <c r="F206" i="34" s="1"/>
  <c r="K208" i="36"/>
  <c r="F216" i="34" s="1"/>
  <c r="K228" i="36"/>
  <c r="F236" i="34" s="1"/>
  <c r="D78" i="9"/>
  <c r="D208" i="9"/>
  <c r="C6" i="39"/>
  <c r="C6" i="12"/>
  <c r="C6" i="33"/>
  <c r="F6" i="32"/>
  <c r="I6" i="32" s="1"/>
  <c r="C122" i="39"/>
  <c r="C122" i="12"/>
  <c r="C122" i="33"/>
  <c r="F122" i="32"/>
  <c r="I122" i="32" s="1"/>
  <c r="C132" i="39"/>
  <c r="C132" i="12"/>
  <c r="C132" i="33"/>
  <c r="F132" i="32"/>
  <c r="C138" i="39"/>
  <c r="C138" i="12"/>
  <c r="C138" i="33"/>
  <c r="F138" i="32"/>
  <c r="G138" i="32" s="1"/>
  <c r="C231" i="39"/>
  <c r="C231" i="12"/>
  <c r="C231" i="33"/>
  <c r="F231" i="32"/>
  <c r="C187" i="39"/>
  <c r="C187" i="12"/>
  <c r="C187" i="33"/>
  <c r="F187" i="32"/>
  <c r="C234" i="39"/>
  <c r="C234" i="12"/>
  <c r="C234" i="33"/>
  <c r="F234" i="32"/>
  <c r="E281" i="32"/>
  <c r="H281" i="32"/>
  <c r="C220" i="39"/>
  <c r="C220" i="12"/>
  <c r="C220" i="33"/>
  <c r="F220" i="32"/>
  <c r="C212" i="39"/>
  <c r="C212" i="12"/>
  <c r="F212" i="32"/>
  <c r="C212" i="33"/>
  <c r="C303" i="39"/>
  <c r="C303" i="12"/>
  <c r="C303" i="33"/>
  <c r="F303" i="32"/>
  <c r="C313" i="39"/>
  <c r="C313" i="12"/>
  <c r="C313" i="33"/>
  <c r="F313" i="32"/>
  <c r="G313" i="32" s="1"/>
  <c r="C312" i="12"/>
  <c r="C312" i="39"/>
  <c r="C312" i="33"/>
  <c r="F312" i="32"/>
  <c r="I312" i="32" s="1"/>
  <c r="I58" i="32"/>
  <c r="D64" i="9"/>
  <c r="D35" i="9"/>
  <c r="D12" i="9"/>
  <c r="D100" i="9"/>
  <c r="D114" i="9"/>
  <c r="D147" i="9"/>
  <c r="D185" i="9"/>
  <c r="D285" i="9"/>
  <c r="D247" i="9"/>
  <c r="E178" i="32"/>
  <c r="H274" i="32"/>
  <c r="D257" i="9"/>
  <c r="K42" i="36"/>
  <c r="F50" i="34" s="1"/>
  <c r="K82" i="36"/>
  <c r="F90" i="34" s="1"/>
  <c r="K106" i="36"/>
  <c r="F114" i="34" s="1"/>
  <c r="K244" i="36"/>
  <c r="F252" i="34" s="1"/>
  <c r="D119" i="9"/>
  <c r="C124" i="39"/>
  <c r="C124" i="12"/>
  <c r="F124" i="32"/>
  <c r="C124" i="33"/>
  <c r="C123" i="39"/>
  <c r="C123" i="12"/>
  <c r="C123" i="33"/>
  <c r="F123" i="32"/>
  <c r="H193" i="32"/>
  <c r="E193" i="32"/>
  <c r="C213" i="39"/>
  <c r="C213" i="12"/>
  <c r="F213" i="32"/>
  <c r="C213" i="33"/>
  <c r="C40" i="39"/>
  <c r="C40" i="12"/>
  <c r="C40" i="33"/>
  <c r="F40" i="32"/>
  <c r="G40" i="32" s="1"/>
  <c r="C64" i="39"/>
  <c r="C64" i="12"/>
  <c r="C64" i="33"/>
  <c r="F64" i="32"/>
  <c r="C21" i="39"/>
  <c r="C21" i="12"/>
  <c r="F21" i="32"/>
  <c r="G21" i="32" s="1"/>
  <c r="C21" i="33"/>
  <c r="C45" i="39"/>
  <c r="C45" i="12"/>
  <c r="C45" i="33"/>
  <c r="F45" i="32"/>
  <c r="I45" i="32" s="1"/>
  <c r="C77" i="39"/>
  <c r="C77" i="12"/>
  <c r="F77" i="32"/>
  <c r="G77" i="32" s="1"/>
  <c r="C77" i="33"/>
  <c r="C88" i="39"/>
  <c r="C88" i="12"/>
  <c r="C88" i="33"/>
  <c r="F88" i="32"/>
  <c r="G88" i="32" s="1"/>
  <c r="C13" i="39"/>
  <c r="C13" i="12"/>
  <c r="F13" i="32"/>
  <c r="C13" i="33"/>
  <c r="E107" i="32"/>
  <c r="H107" i="32"/>
  <c r="D113" i="9" s="1"/>
  <c r="C51" i="39"/>
  <c r="C51" i="12"/>
  <c r="C51" i="33"/>
  <c r="F51" i="32"/>
  <c r="C73" i="39"/>
  <c r="C73" i="12"/>
  <c r="C73" i="33"/>
  <c r="F73" i="32"/>
  <c r="G73" i="32" s="1"/>
  <c r="C10" i="39"/>
  <c r="C10" i="12"/>
  <c r="C10" i="33"/>
  <c r="F10" i="32"/>
  <c r="I10" i="32" s="1"/>
  <c r="C27" i="39"/>
  <c r="C27" i="12"/>
  <c r="C27" i="33"/>
  <c r="F27" i="32"/>
  <c r="C78" i="39"/>
  <c r="C78" i="12"/>
  <c r="C78" i="33"/>
  <c r="F78" i="32"/>
  <c r="G78" i="32" s="1"/>
  <c r="C144" i="39"/>
  <c r="C144" i="12"/>
  <c r="C144" i="33"/>
  <c r="F144" i="32"/>
  <c r="G144" i="32" s="1"/>
  <c r="C174" i="39"/>
  <c r="C174" i="12"/>
  <c r="C174" i="33"/>
  <c r="F174" i="32"/>
  <c r="C146" i="39"/>
  <c r="C146" i="12"/>
  <c r="C146" i="33"/>
  <c r="F146" i="32"/>
  <c r="C136" i="39"/>
  <c r="C136" i="12"/>
  <c r="C136" i="33"/>
  <c r="F136" i="32"/>
  <c r="I136" i="32" s="1"/>
  <c r="C142" i="39"/>
  <c r="C142" i="12"/>
  <c r="C142" i="33"/>
  <c r="F142" i="32"/>
  <c r="C156" i="39"/>
  <c r="C156" i="12"/>
  <c r="C156" i="33"/>
  <c r="F156" i="32"/>
  <c r="I156" i="32" s="1"/>
  <c r="C106" i="39"/>
  <c r="C106" i="12"/>
  <c r="C106" i="33"/>
  <c r="F106" i="32"/>
  <c r="C235" i="39"/>
  <c r="C235" i="12"/>
  <c r="C235" i="33"/>
  <c r="F235" i="32"/>
  <c r="G235" i="32" s="1"/>
  <c r="C216" i="39"/>
  <c r="C216" i="12"/>
  <c r="C216" i="33"/>
  <c r="F216" i="32"/>
  <c r="C208" i="39"/>
  <c r="C208" i="12"/>
  <c r="C208" i="33"/>
  <c r="F208" i="32"/>
  <c r="C226" i="39"/>
  <c r="C226" i="12"/>
  <c r="C226" i="33"/>
  <c r="F226" i="32"/>
  <c r="C203" i="39"/>
  <c r="C203" i="12"/>
  <c r="C203" i="33"/>
  <c r="F203" i="32"/>
  <c r="I203" i="32" s="1"/>
  <c r="C238" i="39"/>
  <c r="C238" i="12"/>
  <c r="C238" i="33"/>
  <c r="F238" i="32"/>
  <c r="I238" i="32" s="1"/>
  <c r="C177" i="39"/>
  <c r="C177" i="12"/>
  <c r="C177" i="33"/>
  <c r="F177" i="32"/>
  <c r="G177" i="32" s="1"/>
  <c r="C225" i="39"/>
  <c r="C225" i="12"/>
  <c r="C225" i="33"/>
  <c r="F225" i="32"/>
  <c r="C276" i="39"/>
  <c r="C276" i="12"/>
  <c r="C276" i="33"/>
  <c r="F276" i="32"/>
  <c r="G276" i="32" s="1"/>
  <c r="C202" i="39"/>
  <c r="C202" i="12"/>
  <c r="C202" i="33"/>
  <c r="F202" i="32"/>
  <c r="I202" i="32" s="1"/>
  <c r="C244" i="39"/>
  <c r="C244" i="12"/>
  <c r="C244" i="33"/>
  <c r="F244" i="32"/>
  <c r="I244" i="32" s="1"/>
  <c r="C232" i="39"/>
  <c r="C232" i="12"/>
  <c r="C232" i="33"/>
  <c r="F232" i="32"/>
  <c r="C295" i="39"/>
  <c r="C295" i="12"/>
  <c r="C295" i="33"/>
  <c r="F295" i="32"/>
  <c r="I295" i="32" s="1"/>
  <c r="C311" i="39"/>
  <c r="C311" i="12"/>
  <c r="F311" i="32"/>
  <c r="G311" i="32" s="1"/>
  <c r="C311" i="33"/>
  <c r="C290" i="39"/>
  <c r="C290" i="12"/>
  <c r="F290" i="32"/>
  <c r="C290" i="33"/>
  <c r="C302" i="39"/>
  <c r="C302" i="12"/>
  <c r="F302" i="32"/>
  <c r="C302" i="33"/>
  <c r="D72" i="9"/>
  <c r="I37" i="32"/>
  <c r="D43" i="9"/>
  <c r="D20" i="9"/>
  <c r="I70" i="32"/>
  <c r="D76" i="9"/>
  <c r="D115" i="9"/>
  <c r="D151" i="9"/>
  <c r="D102" i="9"/>
  <c r="G169" i="32"/>
  <c r="D250" i="9"/>
  <c r="I287" i="32"/>
  <c r="D293" i="9"/>
  <c r="I282" i="32"/>
  <c r="D288" i="9"/>
  <c r="D265" i="9"/>
  <c r="K14" i="36"/>
  <c r="F22" i="34" s="1"/>
  <c r="K15" i="36"/>
  <c r="F23" i="34" s="1"/>
  <c r="K74" i="36"/>
  <c r="F82" i="34" s="1"/>
  <c r="K34" i="36"/>
  <c r="F42" i="34" s="1"/>
  <c r="K94" i="36"/>
  <c r="F102" i="34" s="1"/>
  <c r="K109" i="36"/>
  <c r="F117" i="34" s="1"/>
  <c r="K110" i="36"/>
  <c r="F118" i="34" s="1"/>
  <c r="K95" i="36"/>
  <c r="F103" i="34" s="1"/>
  <c r="K270" i="36"/>
  <c r="F278" i="34" s="1"/>
  <c r="C76" i="39"/>
  <c r="C76" i="12"/>
  <c r="C76" i="33"/>
  <c r="F76" i="32"/>
  <c r="C63" i="39"/>
  <c r="C63" i="12"/>
  <c r="C63" i="33"/>
  <c r="F63" i="32"/>
  <c r="G63" i="32" s="1"/>
  <c r="C137" i="39"/>
  <c r="C137" i="12"/>
  <c r="C137" i="33"/>
  <c r="F137" i="32"/>
  <c r="G137" i="32" s="1"/>
  <c r="C14" i="39"/>
  <c r="C14" i="12"/>
  <c r="C14" i="33"/>
  <c r="F14" i="32"/>
  <c r="G14" i="32" s="1"/>
  <c r="E99" i="32"/>
  <c r="H99" i="32"/>
  <c r="C44" i="39"/>
  <c r="C44" i="12"/>
  <c r="C44" i="33"/>
  <c r="F44" i="32"/>
  <c r="C79" i="39"/>
  <c r="C79" i="12"/>
  <c r="C79" i="33"/>
  <c r="F79" i="32"/>
  <c r="I79" i="32" s="1"/>
  <c r="C130" i="39"/>
  <c r="C130" i="12"/>
  <c r="C130" i="33"/>
  <c r="F130" i="32"/>
  <c r="G130" i="32" s="1"/>
  <c r="C140" i="39"/>
  <c r="C140" i="12"/>
  <c r="C140" i="33"/>
  <c r="F140" i="32"/>
  <c r="I186" i="32"/>
  <c r="D192" i="9"/>
  <c r="C182" i="39"/>
  <c r="C182" i="12"/>
  <c r="C182" i="33"/>
  <c r="F182" i="32"/>
  <c r="I182" i="32" s="1"/>
  <c r="H173" i="32"/>
  <c r="E173" i="32"/>
  <c r="C269" i="39"/>
  <c r="C269" i="12"/>
  <c r="C269" i="33"/>
  <c r="F269" i="32"/>
  <c r="C242" i="39"/>
  <c r="C242" i="12"/>
  <c r="C242" i="33"/>
  <c r="F242" i="32"/>
  <c r="C195" i="39"/>
  <c r="C195" i="12"/>
  <c r="F195" i="32"/>
  <c r="I195" i="32" s="1"/>
  <c r="C195" i="33"/>
  <c r="C310" i="39"/>
  <c r="C310" i="12"/>
  <c r="C310" i="33"/>
  <c r="F310" i="32"/>
  <c r="C298" i="39"/>
  <c r="C298" i="12"/>
  <c r="F298" i="32"/>
  <c r="G298" i="32" s="1"/>
  <c r="C298" i="33"/>
  <c r="D16" i="9"/>
  <c r="I106" i="32"/>
  <c r="D112" i="9"/>
  <c r="D155" i="9"/>
  <c r="D103" i="9"/>
  <c r="G146" i="32"/>
  <c r="D133" i="9"/>
  <c r="D220" i="9"/>
  <c r="D301" i="9"/>
  <c r="D168" i="9"/>
  <c r="D144" i="9"/>
  <c r="G142" i="32"/>
  <c r="I267" i="32"/>
  <c r="D273" i="9"/>
  <c r="K47" i="36"/>
  <c r="F55" i="34" s="1"/>
  <c r="K30" i="36"/>
  <c r="F38" i="34" s="1"/>
  <c r="K118" i="36"/>
  <c r="F126" i="34" s="1"/>
  <c r="K151" i="36"/>
  <c r="F159" i="34" s="1"/>
  <c r="K156" i="36"/>
  <c r="F164" i="34" s="1"/>
  <c r="K224" i="36"/>
  <c r="F232" i="34" s="1"/>
  <c r="K305" i="36"/>
  <c r="F313" i="34" s="1"/>
  <c r="D212" i="9"/>
  <c r="D196" i="9"/>
  <c r="C36" i="39"/>
  <c r="C36" i="12"/>
  <c r="C36" i="33"/>
  <c r="F36" i="32"/>
  <c r="G36" i="32" s="1"/>
  <c r="C39" i="39"/>
  <c r="C39" i="12"/>
  <c r="C39" i="33"/>
  <c r="F39" i="32"/>
  <c r="G39" i="32" s="1"/>
  <c r="C71" i="39"/>
  <c r="C71" i="12"/>
  <c r="C71" i="33"/>
  <c r="F71" i="32"/>
  <c r="I71" i="32" s="1"/>
  <c r="C17" i="39"/>
  <c r="C17" i="12"/>
  <c r="C17" i="33"/>
  <c r="F17" i="32"/>
  <c r="I17" i="32" s="1"/>
  <c r="C90" i="39"/>
  <c r="C90" i="12"/>
  <c r="F90" i="32"/>
  <c r="G90" i="32" s="1"/>
  <c r="C90" i="33"/>
  <c r="H91" i="32"/>
  <c r="E91" i="32"/>
  <c r="C103" i="39"/>
  <c r="C103" i="12"/>
  <c r="C103" i="33"/>
  <c r="F103" i="32"/>
  <c r="G103" i="32" s="1"/>
  <c r="C112" i="39"/>
  <c r="C112" i="12"/>
  <c r="C112" i="33"/>
  <c r="F112" i="32"/>
  <c r="I112" i="32" s="1"/>
  <c r="C159" i="39"/>
  <c r="C159" i="12"/>
  <c r="C159" i="33"/>
  <c r="F159" i="32"/>
  <c r="C143" i="39"/>
  <c r="C143" i="12"/>
  <c r="C143" i="33"/>
  <c r="F143" i="32"/>
  <c r="C201" i="39"/>
  <c r="C201" i="12"/>
  <c r="C201" i="33"/>
  <c r="F201" i="32"/>
  <c r="C190" i="39"/>
  <c r="C190" i="12"/>
  <c r="C190" i="33"/>
  <c r="F190" i="32"/>
  <c r="G190" i="32" s="1"/>
  <c r="C239" i="39"/>
  <c r="C239" i="12"/>
  <c r="F239" i="32"/>
  <c r="C239" i="33"/>
  <c r="C273" i="39"/>
  <c r="C273" i="12"/>
  <c r="C273" i="33"/>
  <c r="F273" i="32"/>
  <c r="G273" i="32" s="1"/>
  <c r="E278" i="32"/>
  <c r="H278" i="32"/>
  <c r="C248" i="39"/>
  <c r="C248" i="12"/>
  <c r="C248" i="33"/>
  <c r="F248" i="32"/>
  <c r="C228" i="39"/>
  <c r="C228" i="12"/>
  <c r="C228" i="33"/>
  <c r="F228" i="32"/>
  <c r="I228" i="32" s="1"/>
  <c r="C299" i="39"/>
  <c r="C299" i="12"/>
  <c r="C299" i="33"/>
  <c r="F299" i="32"/>
  <c r="G299" i="32" s="1"/>
  <c r="C297" i="39"/>
  <c r="C297" i="12"/>
  <c r="C297" i="33"/>
  <c r="F297" i="32"/>
  <c r="D80" i="9"/>
  <c r="I22" i="32"/>
  <c r="D28" i="9"/>
  <c r="D118" i="9"/>
  <c r="C31" i="39"/>
  <c r="C31" i="12"/>
  <c r="C31" i="33"/>
  <c r="F31" i="32"/>
  <c r="I31" i="32" s="1"/>
  <c r="C69" i="39"/>
  <c r="C69" i="12"/>
  <c r="C69" i="33"/>
  <c r="F69" i="32"/>
  <c r="C80" i="39"/>
  <c r="C80" i="12"/>
  <c r="C80" i="33"/>
  <c r="F80" i="32"/>
  <c r="G80" i="32" s="1"/>
  <c r="C91" i="39"/>
  <c r="C91" i="12"/>
  <c r="C91" i="33"/>
  <c r="F91" i="32"/>
  <c r="C48" i="39"/>
  <c r="C48" i="12"/>
  <c r="C48" i="33"/>
  <c r="F48" i="32"/>
  <c r="G48" i="32" s="1"/>
  <c r="E87" i="32"/>
  <c r="H87" i="32"/>
  <c r="C35" i="39"/>
  <c r="C35" i="12"/>
  <c r="C35" i="33"/>
  <c r="F35" i="32"/>
  <c r="I35" i="32" s="1"/>
  <c r="C62" i="39"/>
  <c r="C62" i="12"/>
  <c r="C62" i="33"/>
  <c r="F62" i="32"/>
  <c r="I62" i="32" s="1"/>
  <c r="C12" i="39"/>
  <c r="C12" i="12"/>
  <c r="C12" i="33"/>
  <c r="F12" i="32"/>
  <c r="C30" i="39"/>
  <c r="C30" i="12"/>
  <c r="C30" i="33"/>
  <c r="F30" i="32"/>
  <c r="I30" i="32" s="1"/>
  <c r="C81" i="39"/>
  <c r="C81" i="12"/>
  <c r="C81" i="33"/>
  <c r="F81" i="32"/>
  <c r="G81" i="32" s="1"/>
  <c r="C98" i="39"/>
  <c r="C98" i="12"/>
  <c r="C98" i="33"/>
  <c r="F98" i="32"/>
  <c r="G98" i="32" s="1"/>
  <c r="C152" i="39"/>
  <c r="C152" i="12"/>
  <c r="F152" i="32"/>
  <c r="G152" i="32" s="1"/>
  <c r="C152" i="33"/>
  <c r="H181" i="32"/>
  <c r="E181" i="32"/>
  <c r="C147" i="39"/>
  <c r="C147" i="12"/>
  <c r="C147" i="33"/>
  <c r="F147" i="32"/>
  <c r="I147" i="32" s="1"/>
  <c r="C163" i="39"/>
  <c r="C163" i="12"/>
  <c r="C163" i="33"/>
  <c r="F163" i="32"/>
  <c r="G163" i="32" s="1"/>
  <c r="C168" i="39"/>
  <c r="C168" i="12"/>
  <c r="F168" i="32"/>
  <c r="I168" i="32" s="1"/>
  <c r="C168" i="33"/>
  <c r="C94" i="39"/>
  <c r="C94" i="12"/>
  <c r="C94" i="33"/>
  <c r="F94" i="32"/>
  <c r="I94" i="32" s="1"/>
  <c r="C154" i="39"/>
  <c r="C154" i="12"/>
  <c r="C154" i="33"/>
  <c r="F154" i="32"/>
  <c r="C117" i="39"/>
  <c r="C117" i="12"/>
  <c r="C117" i="33"/>
  <c r="F117" i="32"/>
  <c r="C139" i="39"/>
  <c r="C139" i="12"/>
  <c r="F139" i="32"/>
  <c r="C139" i="33"/>
  <c r="C127" i="39"/>
  <c r="C127" i="12"/>
  <c r="C127" i="33"/>
  <c r="F127" i="32"/>
  <c r="G127" i="32" s="1"/>
  <c r="C145" i="39"/>
  <c r="C145" i="12"/>
  <c r="C145" i="33"/>
  <c r="F145" i="32"/>
  <c r="I145" i="32" s="1"/>
  <c r="C161" i="39"/>
  <c r="C161" i="12"/>
  <c r="C161" i="33"/>
  <c r="F161" i="32"/>
  <c r="G161" i="32" s="1"/>
  <c r="H174" i="32"/>
  <c r="E174" i="32"/>
  <c r="G174" i="32" s="1"/>
  <c r="C211" i="39"/>
  <c r="C211" i="12"/>
  <c r="C211" i="33"/>
  <c r="F211" i="32"/>
  <c r="I211" i="32" s="1"/>
  <c r="C243" i="39"/>
  <c r="C243" i="12"/>
  <c r="F243" i="32"/>
  <c r="C243" i="33"/>
  <c r="C193" i="39"/>
  <c r="C193" i="12"/>
  <c r="C193" i="33"/>
  <c r="F193" i="32"/>
  <c r="C221" i="39"/>
  <c r="C221" i="12"/>
  <c r="C221" i="33"/>
  <c r="F221" i="32"/>
  <c r="C260" i="39"/>
  <c r="C260" i="12"/>
  <c r="C260" i="33"/>
  <c r="F260" i="32"/>
  <c r="C210" i="39"/>
  <c r="C210" i="12"/>
  <c r="F210" i="32"/>
  <c r="G210" i="32" s="1"/>
  <c r="C210" i="33"/>
  <c r="C241" i="39"/>
  <c r="C241" i="12"/>
  <c r="C241" i="33"/>
  <c r="F241" i="32"/>
  <c r="I241" i="32" s="1"/>
  <c r="C214" i="39"/>
  <c r="C214" i="12"/>
  <c r="C214" i="33"/>
  <c r="F214" i="32"/>
  <c r="G214" i="32" s="1"/>
  <c r="C252" i="39"/>
  <c r="C252" i="12"/>
  <c r="C252" i="33"/>
  <c r="F252" i="32"/>
  <c r="G252" i="32" s="1"/>
  <c r="C206" i="39"/>
  <c r="C206" i="12"/>
  <c r="F206" i="32"/>
  <c r="I206" i="32" s="1"/>
  <c r="C206" i="33"/>
  <c r="C240" i="39"/>
  <c r="C240" i="12"/>
  <c r="F240" i="32"/>
  <c r="C240" i="33"/>
  <c r="E302" i="32"/>
  <c r="H302" i="32"/>
  <c r="C285" i="39"/>
  <c r="C285" i="12"/>
  <c r="C285" i="33"/>
  <c r="F285" i="32"/>
  <c r="C270" i="39"/>
  <c r="C270" i="12"/>
  <c r="C270" i="33"/>
  <c r="F270" i="32"/>
  <c r="C306" i="39"/>
  <c r="C306" i="12"/>
  <c r="C306" i="33"/>
  <c r="F306" i="32"/>
  <c r="D24" i="9"/>
  <c r="D88" i="9"/>
  <c r="D36" i="9"/>
  <c r="D84" i="9"/>
  <c r="G106" i="32"/>
  <c r="D128" i="9"/>
  <c r="I153" i="32"/>
  <c r="D159" i="9"/>
  <c r="I118" i="32"/>
  <c r="D124" i="9"/>
  <c r="I146" i="32"/>
  <c r="D152" i="9"/>
  <c r="D156" i="9"/>
  <c r="D142" i="9"/>
  <c r="D182" i="9"/>
  <c r="I222" i="32"/>
  <c r="D228" i="9"/>
  <c r="I303" i="32"/>
  <c r="D309" i="9"/>
  <c r="G175" i="32"/>
  <c r="D140" i="9"/>
  <c r="D158" i="9"/>
  <c r="I142" i="32"/>
  <c r="D148" i="9"/>
  <c r="D281" i="9"/>
  <c r="K23" i="36"/>
  <c r="F31" i="34" s="1"/>
  <c r="K53" i="36"/>
  <c r="F61" i="34" s="1"/>
  <c r="K26" i="36"/>
  <c r="F34" i="34" s="1"/>
  <c r="K115" i="36"/>
  <c r="F123" i="34" s="1"/>
  <c r="K101" i="36"/>
  <c r="F109" i="34" s="1"/>
  <c r="K91" i="36"/>
  <c r="F99" i="34" s="1"/>
  <c r="K83" i="36"/>
  <c r="F91" i="34" s="1"/>
  <c r="K117" i="36"/>
  <c r="F125" i="34" s="1"/>
  <c r="K182" i="36"/>
  <c r="F190" i="34" s="1"/>
  <c r="K223" i="36"/>
  <c r="F231" i="34" s="1"/>
  <c r="K239" i="36"/>
  <c r="F247" i="34" s="1"/>
  <c r="K259" i="36"/>
  <c r="F267" i="34" s="1"/>
  <c r="K262" i="36"/>
  <c r="F270" i="34" s="1"/>
  <c r="K304" i="36"/>
  <c r="F312" i="34" s="1"/>
  <c r="K316" i="36"/>
  <c r="F324" i="34" s="1"/>
  <c r="C11" i="39"/>
  <c r="C11" i="12"/>
  <c r="C11" i="33"/>
  <c r="F11" i="32"/>
  <c r="I11" i="32" s="1"/>
  <c r="C28" i="39"/>
  <c r="C28" i="12"/>
  <c r="C28" i="33"/>
  <c r="F28" i="32"/>
  <c r="I28" i="32" s="1"/>
  <c r="C87" i="39"/>
  <c r="C87" i="12"/>
  <c r="C87" i="33"/>
  <c r="F87" i="32"/>
  <c r="C102" i="39"/>
  <c r="C102" i="12"/>
  <c r="C102" i="33"/>
  <c r="F102" i="32"/>
  <c r="I102" i="32" s="1"/>
  <c r="D184" i="9"/>
  <c r="C131" i="39"/>
  <c r="C131" i="12"/>
  <c r="C131" i="33"/>
  <c r="F131" i="32"/>
  <c r="G131" i="32" s="1"/>
  <c r="C254" i="39"/>
  <c r="C254" i="12"/>
  <c r="C254" i="33"/>
  <c r="F254" i="32"/>
  <c r="C215" i="39"/>
  <c r="C215" i="12"/>
  <c r="C215" i="33"/>
  <c r="F215" i="32"/>
  <c r="I215" i="32" s="1"/>
  <c r="C246" i="39"/>
  <c r="C246" i="12"/>
  <c r="F246" i="32"/>
  <c r="I246" i="32" s="1"/>
  <c r="C246" i="33"/>
  <c r="C189" i="39"/>
  <c r="C189" i="12"/>
  <c r="C189" i="33"/>
  <c r="F189" i="32"/>
  <c r="C256" i="39"/>
  <c r="C256" i="12"/>
  <c r="F256" i="32"/>
  <c r="I256" i="32" s="1"/>
  <c r="C256" i="33"/>
  <c r="C198" i="39"/>
  <c r="C198" i="12"/>
  <c r="C198" i="33"/>
  <c r="F198" i="32"/>
  <c r="G198" i="32" s="1"/>
  <c r="C247" i="39"/>
  <c r="C247" i="12"/>
  <c r="C247" i="33"/>
  <c r="F247" i="32"/>
  <c r="G247" i="32" s="1"/>
  <c r="C275" i="39"/>
  <c r="C275" i="12"/>
  <c r="C275" i="33"/>
  <c r="F275" i="32"/>
  <c r="I275" i="32" s="1"/>
  <c r="C281" i="39"/>
  <c r="C281" i="12"/>
  <c r="C281" i="33"/>
  <c r="F281" i="32"/>
  <c r="C277" i="39"/>
  <c r="C277" i="12"/>
  <c r="F277" i="32"/>
  <c r="G277" i="32" s="1"/>
  <c r="C277" i="33"/>
  <c r="C301" i="39"/>
  <c r="C301" i="12"/>
  <c r="C301" i="33"/>
  <c r="F301" i="32"/>
  <c r="I26" i="32"/>
  <c r="D32" i="9"/>
  <c r="D96" i="9"/>
  <c r="G64" i="32"/>
  <c r="D44" i="9"/>
  <c r="G122" i="32"/>
  <c r="D163" i="9"/>
  <c r="G118" i="32"/>
  <c r="D166" i="9"/>
  <c r="G199" i="32"/>
  <c r="D170" i="9"/>
  <c r="G136" i="32"/>
  <c r="I140" i="32"/>
  <c r="D146" i="9"/>
  <c r="D253" i="9"/>
  <c r="I311" i="32"/>
  <c r="D317" i="9"/>
  <c r="E186" i="32"/>
  <c r="G186" i="32" s="1"/>
  <c r="G218" i="32"/>
  <c r="D154" i="9"/>
  <c r="D162" i="9"/>
  <c r="I283" i="32"/>
  <c r="D289" i="9"/>
  <c r="K99" i="36"/>
  <c r="F107" i="34" s="1"/>
  <c r="K97" i="36"/>
  <c r="F105" i="34" s="1"/>
  <c r="K105" i="36"/>
  <c r="F113" i="34" s="1"/>
  <c r="K180" i="36"/>
  <c r="F188" i="34" s="1"/>
  <c r="K231" i="36"/>
  <c r="F239" i="34" s="1"/>
  <c r="C25" i="39"/>
  <c r="C25" i="12"/>
  <c r="C25" i="33"/>
  <c r="F25" i="32"/>
  <c r="C115" i="39"/>
  <c r="C115" i="12"/>
  <c r="C115" i="33"/>
  <c r="F115" i="32"/>
  <c r="C121" i="39"/>
  <c r="C121" i="12"/>
  <c r="C121" i="33"/>
  <c r="F121" i="32"/>
  <c r="G121" i="32" s="1"/>
  <c r="C99" i="39"/>
  <c r="C99" i="12"/>
  <c r="C99" i="33"/>
  <c r="F99" i="32"/>
  <c r="C111" i="39"/>
  <c r="C111" i="12"/>
  <c r="C111" i="33"/>
  <c r="F111" i="32"/>
  <c r="G111" i="32" s="1"/>
  <c r="C107" i="39"/>
  <c r="C107" i="12"/>
  <c r="C107" i="33"/>
  <c r="F107" i="32"/>
  <c r="C224" i="39"/>
  <c r="C224" i="12"/>
  <c r="C224" i="33"/>
  <c r="F224" i="32"/>
  <c r="C49" i="39"/>
  <c r="C49" i="12"/>
  <c r="C49" i="33"/>
  <c r="F49" i="32"/>
  <c r="C56" i="39"/>
  <c r="C56" i="12"/>
  <c r="C56" i="33"/>
  <c r="F56" i="32"/>
  <c r="G56" i="32" s="1"/>
  <c r="C72" i="39"/>
  <c r="C72" i="12"/>
  <c r="C72" i="33"/>
  <c r="F72" i="32"/>
  <c r="I72" i="32" s="1"/>
  <c r="C29" i="39"/>
  <c r="C29" i="12"/>
  <c r="F29" i="32"/>
  <c r="I29" i="32" s="1"/>
  <c r="C29" i="33"/>
  <c r="C32" i="39"/>
  <c r="C32" i="12"/>
  <c r="F32" i="32"/>
  <c r="G32" i="32" s="1"/>
  <c r="C32" i="33"/>
  <c r="C38" i="39"/>
  <c r="C38" i="12"/>
  <c r="C38" i="33"/>
  <c r="F38" i="32"/>
  <c r="I38" i="32" s="1"/>
  <c r="C65" i="39"/>
  <c r="C65" i="12"/>
  <c r="C65" i="33"/>
  <c r="F65" i="32"/>
  <c r="I65" i="32" s="1"/>
  <c r="C41" i="39"/>
  <c r="C41" i="12"/>
  <c r="C41" i="33"/>
  <c r="F41" i="32"/>
  <c r="C86" i="39"/>
  <c r="C86" i="12"/>
  <c r="C86" i="33"/>
  <c r="F86" i="32"/>
  <c r="G86" i="32" s="1"/>
  <c r="E115" i="32"/>
  <c r="H115" i="32"/>
  <c r="D121" i="9" s="1"/>
  <c r="C191" i="39"/>
  <c r="C191" i="12"/>
  <c r="F191" i="32"/>
  <c r="I191" i="32" s="1"/>
  <c r="C191" i="33"/>
  <c r="C160" i="39"/>
  <c r="C160" i="12"/>
  <c r="C160" i="33"/>
  <c r="F160" i="32"/>
  <c r="I160" i="32" s="1"/>
  <c r="C109" i="39"/>
  <c r="C109" i="12"/>
  <c r="F109" i="32"/>
  <c r="G109" i="32" s="1"/>
  <c r="C109" i="33"/>
  <c r="C162" i="39"/>
  <c r="C162" i="12"/>
  <c r="C162" i="33"/>
  <c r="F162" i="32"/>
  <c r="G162" i="32" s="1"/>
  <c r="C120" i="39"/>
  <c r="C120" i="12"/>
  <c r="F120" i="32"/>
  <c r="C120" i="33"/>
  <c r="C173" i="39"/>
  <c r="C173" i="12"/>
  <c r="C173" i="33"/>
  <c r="F173" i="32"/>
  <c r="C148" i="39"/>
  <c r="C148" i="12"/>
  <c r="C148" i="33"/>
  <c r="F148" i="32"/>
  <c r="I148" i="32" s="1"/>
  <c r="C164" i="39"/>
  <c r="C164" i="12"/>
  <c r="C164" i="33"/>
  <c r="F164" i="32"/>
  <c r="I164" i="32" s="1"/>
  <c r="C181" i="39"/>
  <c r="C181" i="12"/>
  <c r="C181" i="33"/>
  <c r="F181" i="32"/>
  <c r="C219" i="39"/>
  <c r="C219" i="12"/>
  <c r="C219" i="33"/>
  <c r="F219" i="32"/>
  <c r="G219" i="32" s="1"/>
  <c r="C251" i="39"/>
  <c r="C251" i="12"/>
  <c r="C251" i="33"/>
  <c r="F251" i="32"/>
  <c r="G251" i="32" s="1"/>
  <c r="C197" i="39"/>
  <c r="C197" i="12"/>
  <c r="C197" i="33"/>
  <c r="F197" i="32"/>
  <c r="C207" i="39"/>
  <c r="C207" i="12"/>
  <c r="C207" i="33"/>
  <c r="F207" i="32"/>
  <c r="I207" i="32" s="1"/>
  <c r="C230" i="39"/>
  <c r="C230" i="12"/>
  <c r="C230" i="33"/>
  <c r="F230" i="32"/>
  <c r="G230" i="32" s="1"/>
  <c r="C217" i="39"/>
  <c r="C217" i="12"/>
  <c r="C217" i="33"/>
  <c r="F217" i="32"/>
  <c r="C288" i="39"/>
  <c r="C288" i="12"/>
  <c r="C288" i="33"/>
  <c r="F288" i="32"/>
  <c r="I288" i="32" s="1"/>
  <c r="C209" i="39"/>
  <c r="C209" i="12"/>
  <c r="F209" i="32"/>
  <c r="C209" i="33"/>
  <c r="C255" i="39"/>
  <c r="C255" i="12"/>
  <c r="F255" i="32"/>
  <c r="G255" i="32" s="1"/>
  <c r="C255" i="33"/>
  <c r="C205" i="39"/>
  <c r="C205" i="12"/>
  <c r="C205" i="33"/>
  <c r="F205" i="32"/>
  <c r="G205" i="32" s="1"/>
  <c r="C309" i="39"/>
  <c r="C309" i="12"/>
  <c r="C309" i="33"/>
  <c r="F309" i="32"/>
  <c r="I309" i="32" s="1"/>
  <c r="C278" i="39"/>
  <c r="C278" i="12"/>
  <c r="C278" i="33"/>
  <c r="F278" i="32"/>
  <c r="D40" i="9"/>
  <c r="H98" i="32"/>
  <c r="D52" i="9"/>
  <c r="I86" i="32"/>
  <c r="D92" i="9"/>
  <c r="D120" i="9"/>
  <c r="D167" i="9"/>
  <c r="G153" i="32"/>
  <c r="G206" i="32"/>
  <c r="G154" i="32"/>
  <c r="G140" i="32"/>
  <c r="D261" i="9"/>
  <c r="G187" i="32"/>
  <c r="I250" i="32"/>
  <c r="D256" i="9"/>
  <c r="G156" i="32"/>
  <c r="I233" i="32"/>
  <c r="D239" i="9"/>
  <c r="I291" i="32"/>
  <c r="D297" i="9"/>
  <c r="K31" i="36"/>
  <c r="F39" i="34" s="1"/>
  <c r="K65" i="36"/>
  <c r="F73" i="34" s="1"/>
  <c r="K119" i="36"/>
  <c r="F127" i="34" s="1"/>
  <c r="K123" i="36"/>
  <c r="F131" i="34" s="1"/>
  <c r="K58" i="36"/>
  <c r="F66" i="34" s="1"/>
  <c r="I64" i="32"/>
  <c r="D70" i="9"/>
  <c r="D204" i="9"/>
  <c r="C18" i="39"/>
  <c r="C18" i="12"/>
  <c r="C18" i="33"/>
  <c r="F18" i="32"/>
  <c r="I18" i="32" s="1"/>
  <c r="C16" i="39"/>
  <c r="C16" i="12"/>
  <c r="C16" i="33"/>
  <c r="F16" i="32"/>
  <c r="C33" i="39"/>
  <c r="C33" i="12"/>
  <c r="C33" i="33"/>
  <c r="F33" i="32"/>
  <c r="C84" i="39"/>
  <c r="C84" i="12"/>
  <c r="C84" i="33"/>
  <c r="F84" i="32"/>
  <c r="I84" i="32" s="1"/>
  <c r="C101" i="39"/>
  <c r="C101" i="12"/>
  <c r="C101" i="33"/>
  <c r="F101" i="32"/>
  <c r="I101" i="32" s="1"/>
  <c r="C192" i="39"/>
  <c r="C192" i="12"/>
  <c r="C192" i="33"/>
  <c r="F192" i="32"/>
  <c r="C129" i="39"/>
  <c r="C129" i="12"/>
  <c r="C129" i="33"/>
  <c r="F129" i="32"/>
  <c r="G129" i="32" s="1"/>
  <c r="C167" i="39"/>
  <c r="C167" i="12"/>
  <c r="C167" i="33"/>
  <c r="F167" i="32"/>
  <c r="I167" i="32" s="1"/>
  <c r="C185" i="39"/>
  <c r="C185" i="12"/>
  <c r="C185" i="33"/>
  <c r="F185" i="32"/>
  <c r="C229" i="39"/>
  <c r="C229" i="12"/>
  <c r="C229" i="33"/>
  <c r="F229" i="32"/>
  <c r="C223" i="39"/>
  <c r="C223" i="12"/>
  <c r="C223" i="33"/>
  <c r="F223" i="32"/>
  <c r="I223" i="32" s="1"/>
  <c r="E294" i="32"/>
  <c r="H294" i="32"/>
  <c r="C258" i="39"/>
  <c r="C258" i="12"/>
  <c r="C258" i="33"/>
  <c r="F258" i="32"/>
  <c r="G258" i="32" s="1"/>
  <c r="C293" i="39"/>
  <c r="C293" i="12"/>
  <c r="C293" i="33"/>
  <c r="F293" i="32"/>
  <c r="G293" i="32" s="1"/>
  <c r="I13" i="32"/>
  <c r="D19" i="9"/>
  <c r="D60" i="9"/>
  <c r="D171" i="9"/>
  <c r="D111" i="9"/>
  <c r="I130" i="32"/>
  <c r="D136" i="9"/>
  <c r="I154" i="32"/>
  <c r="D160" i="9"/>
  <c r="I263" i="32"/>
  <c r="D269" i="9"/>
  <c r="I126" i="32"/>
  <c r="D132" i="9"/>
  <c r="G226" i="32"/>
  <c r="D264" i="9"/>
  <c r="G234" i="32"/>
  <c r="I299" i="32"/>
  <c r="D305" i="9"/>
  <c r="K22" i="36"/>
  <c r="F30" i="34" s="1"/>
  <c r="K39" i="36"/>
  <c r="F47" i="34" s="1"/>
  <c r="K55" i="36"/>
  <c r="F63" i="34" s="1"/>
  <c r="K79" i="36"/>
  <c r="F87" i="34" s="1"/>
  <c r="K90" i="36"/>
  <c r="F98" i="34" s="1"/>
  <c r="K78" i="36"/>
  <c r="F86" i="34" s="1"/>
  <c r="K86" i="36"/>
  <c r="F94" i="34" s="1"/>
  <c r="K168" i="36"/>
  <c r="F176" i="34" s="1"/>
  <c r="K164" i="36"/>
  <c r="F172" i="34" s="1"/>
  <c r="K114" i="36"/>
  <c r="F122" i="34" s="1"/>
  <c r="K142" i="36"/>
  <c r="F150" i="34" s="1"/>
  <c r="K195" i="36"/>
  <c r="F203" i="34" s="1"/>
  <c r="K230" i="36"/>
  <c r="F238" i="34" s="1"/>
  <c r="K176" i="36"/>
  <c r="F184" i="34" s="1"/>
  <c r="K246" i="36"/>
  <c r="F254" i="34" s="1"/>
  <c r="K264" i="36"/>
  <c r="F272" i="34" s="1"/>
  <c r="K211" i="36"/>
  <c r="F219" i="34" s="1"/>
  <c r="K222" i="36"/>
  <c r="F230" i="34" s="1"/>
  <c r="K282" i="36"/>
  <c r="F290" i="34" s="1"/>
  <c r="K210" i="36"/>
  <c r="F218" i="34" s="1"/>
  <c r="K112" i="36"/>
  <c r="F120" i="34" s="1"/>
  <c r="K173" i="36"/>
  <c r="F181" i="34" s="1"/>
  <c r="K265" i="36"/>
  <c r="F273" i="34" s="1"/>
  <c r="H23" i="32"/>
  <c r="E23" i="32"/>
  <c r="G23" i="32" s="1"/>
  <c r="E41" i="32"/>
  <c r="G41" i="32" s="1"/>
  <c r="H41" i="32"/>
  <c r="G70" i="32"/>
  <c r="H53" i="32"/>
  <c r="G25" i="32"/>
  <c r="G52" i="32"/>
  <c r="D190" i="9"/>
  <c r="H249" i="32"/>
  <c r="H306" i="32"/>
  <c r="E117" i="32"/>
  <c r="H117" i="32"/>
  <c r="E188" i="32"/>
  <c r="H188" i="32"/>
  <c r="D216" i="9"/>
  <c r="G267" i="32"/>
  <c r="G291" i="32"/>
  <c r="D107" i="9"/>
  <c r="I77" i="32"/>
  <c r="D83" i="9"/>
  <c r="E262" i="32"/>
  <c r="H262" i="32"/>
  <c r="H232" i="32"/>
  <c r="D252" i="9"/>
  <c r="G171" i="32"/>
  <c r="G231" i="32"/>
  <c r="D259" i="9"/>
  <c r="E100" i="32"/>
  <c r="H100" i="32"/>
  <c r="H248" i="32"/>
  <c r="D254" i="9" s="1"/>
  <c r="E248" i="32"/>
  <c r="G248" i="32" s="1"/>
  <c r="E285" i="32"/>
  <c r="I151" i="32"/>
  <c r="D157" i="9"/>
  <c r="E289" i="33"/>
  <c r="D289" i="37" s="1"/>
  <c r="C300" i="34"/>
  <c r="C137" i="34"/>
  <c r="E126" i="33"/>
  <c r="D126" i="37" s="1"/>
  <c r="C59" i="39"/>
  <c r="C59" i="12"/>
  <c r="C59" i="33"/>
  <c r="F59" i="32"/>
  <c r="I59" i="32" s="1"/>
  <c r="C194" i="39"/>
  <c r="C194" i="12"/>
  <c r="C194" i="33"/>
  <c r="F194" i="32"/>
  <c r="I194" i="32" s="1"/>
  <c r="I92" i="32"/>
  <c r="D98" i="9"/>
  <c r="D234" i="9"/>
  <c r="I143" i="32"/>
  <c r="D149" i="9"/>
  <c r="G19" i="32"/>
  <c r="D21" i="9"/>
  <c r="I52" i="32"/>
  <c r="D58" i="9"/>
  <c r="E229" i="32"/>
  <c r="H229" i="32"/>
  <c r="E58" i="33"/>
  <c r="D58" i="37" s="1"/>
  <c r="C69" i="34"/>
  <c r="G101" i="32"/>
  <c r="I131" i="32"/>
  <c r="D137" i="9"/>
  <c r="D46" i="9"/>
  <c r="H284" i="32"/>
  <c r="I305" i="32"/>
  <c r="D311" i="9"/>
  <c r="H27" i="32"/>
  <c r="D117" i="9"/>
  <c r="I111" i="32"/>
  <c r="H197" i="32"/>
  <c r="E197" i="32"/>
  <c r="I234" i="32"/>
  <c r="D240" i="9"/>
  <c r="D23" i="9"/>
  <c r="T99" i="19"/>
  <c r="R99" i="19"/>
  <c r="U99" i="19" s="1"/>
  <c r="I276" i="32"/>
  <c r="D282" i="9"/>
  <c r="C34" i="39"/>
  <c r="C34" i="12"/>
  <c r="C34" i="33"/>
  <c r="F34" i="32"/>
  <c r="G34" i="32" s="1"/>
  <c r="D65" i="9"/>
  <c r="D153" i="9"/>
  <c r="G189" i="32"/>
  <c r="D237" i="9"/>
  <c r="I231" i="32"/>
  <c r="H297" i="32"/>
  <c r="E200" i="32"/>
  <c r="G151" i="32"/>
  <c r="C294" i="39"/>
  <c r="C294" i="12"/>
  <c r="C294" i="33"/>
  <c r="F294" i="32"/>
  <c r="G92" i="32"/>
  <c r="C67" i="39"/>
  <c r="C67" i="12"/>
  <c r="C67" i="33"/>
  <c r="F67" i="32"/>
  <c r="I67" i="32" s="1"/>
  <c r="C150" i="39"/>
  <c r="C150" i="12"/>
  <c r="C150" i="33"/>
  <c r="F150" i="32"/>
  <c r="G150" i="32" s="1"/>
  <c r="G35" i="32"/>
  <c r="E43" i="32"/>
  <c r="G43" i="32" s="1"/>
  <c r="H43" i="32"/>
  <c r="D49" i="9" s="1"/>
  <c r="G22" i="32"/>
  <c r="C18" i="34"/>
  <c r="E7" i="33"/>
  <c r="D7" i="37" s="1"/>
  <c r="E26" i="33"/>
  <c r="D26" i="37" s="1"/>
  <c r="C37" i="34"/>
  <c r="H217" i="32"/>
  <c r="E217" i="32"/>
  <c r="I103" i="32"/>
  <c r="D109" i="9"/>
  <c r="E139" i="32"/>
  <c r="G139" i="32" s="1"/>
  <c r="H139" i="32"/>
  <c r="I230" i="32"/>
  <c r="D236" i="9"/>
  <c r="I252" i="32"/>
  <c r="D258" i="9"/>
  <c r="E270" i="32"/>
  <c r="H270" i="32"/>
  <c r="D14" i="9"/>
  <c r="I8" i="32"/>
  <c r="H19" i="32"/>
  <c r="G47" i="32"/>
  <c r="D86" i="9"/>
  <c r="G307" i="32"/>
  <c r="D38" i="9"/>
  <c r="I32" i="32"/>
  <c r="I73" i="32"/>
  <c r="D79" i="9"/>
  <c r="D241" i="9"/>
  <c r="I235" i="32"/>
  <c r="C54" i="34"/>
  <c r="E43" i="33"/>
  <c r="D43" i="37" s="1"/>
  <c r="E124" i="32"/>
  <c r="G124" i="32" s="1"/>
  <c r="H124" i="32"/>
  <c r="I227" i="32"/>
  <c r="D233" i="9"/>
  <c r="G282" i="32"/>
  <c r="D195" i="9"/>
  <c r="I189" i="32"/>
  <c r="G256" i="32"/>
  <c r="H300" i="32"/>
  <c r="G233" i="32"/>
  <c r="C66" i="39"/>
  <c r="C66" i="12"/>
  <c r="C66" i="33"/>
  <c r="F66" i="32"/>
  <c r="G66" i="32" s="1"/>
  <c r="D90" i="9"/>
  <c r="C165" i="39"/>
  <c r="C165" i="12"/>
  <c r="C165" i="33"/>
  <c r="F165" i="32"/>
  <c r="I165" i="32" s="1"/>
  <c r="C237" i="39"/>
  <c r="C237" i="12"/>
  <c r="F237" i="32"/>
  <c r="C237" i="33"/>
  <c r="G296" i="32"/>
  <c r="G6" i="32"/>
  <c r="G10" i="32"/>
  <c r="G27" i="32"/>
  <c r="I81" i="32"/>
  <c r="D87" i="9"/>
  <c r="E104" i="32"/>
  <c r="H104" i="32"/>
  <c r="G30" i="32"/>
  <c r="H55" i="32"/>
  <c r="I218" i="32"/>
  <c r="D224" i="9"/>
  <c r="G232" i="32"/>
  <c r="G8" i="32"/>
  <c r="E44" i="32"/>
  <c r="G44" i="32" s="1"/>
  <c r="H44" i="32"/>
  <c r="G112" i="32"/>
  <c r="H201" i="32"/>
  <c r="E201" i="32"/>
  <c r="G201" i="32" s="1"/>
  <c r="D314" i="9"/>
  <c r="D206" i="9"/>
  <c r="I236" i="32"/>
  <c r="D242" i="9"/>
  <c r="D73" i="9"/>
  <c r="D189" i="9"/>
  <c r="G260" i="32"/>
  <c r="I60" i="32"/>
  <c r="D66" i="9"/>
  <c r="I116" i="32"/>
  <c r="D122" i="9"/>
  <c r="G155" i="32"/>
  <c r="I204" i="32"/>
  <c r="D210" i="9"/>
  <c r="H20" i="32"/>
  <c r="H257" i="32"/>
  <c r="H289" i="32"/>
  <c r="G305" i="32"/>
  <c r="E245" i="33"/>
  <c r="D245" i="37" s="1"/>
  <c r="C256" i="34"/>
  <c r="G304" i="32"/>
  <c r="G213" i="32"/>
  <c r="D299" i="9"/>
  <c r="C149" i="39"/>
  <c r="C149" i="12"/>
  <c r="C149" i="33"/>
  <c r="F149" i="32"/>
  <c r="I149" i="32" s="1"/>
  <c r="C134" i="39"/>
  <c r="C134" i="12"/>
  <c r="C134" i="33"/>
  <c r="F134" i="32"/>
  <c r="G134" i="32" s="1"/>
  <c r="C75" i="39"/>
  <c r="C75" i="12"/>
  <c r="C75" i="33"/>
  <c r="F75" i="32"/>
  <c r="C253" i="39"/>
  <c r="C253" i="12"/>
  <c r="C253" i="33"/>
  <c r="F253" i="32"/>
  <c r="I253" i="32" s="1"/>
  <c r="K121" i="36"/>
  <c r="F129" i="34" s="1"/>
  <c r="K147" i="36"/>
  <c r="F155" i="34" s="1"/>
  <c r="K235" i="36"/>
  <c r="F243" i="34" s="1"/>
  <c r="K286" i="36"/>
  <c r="F294" i="34" s="1"/>
  <c r="C15" i="39"/>
  <c r="C15" i="12"/>
  <c r="C15" i="33"/>
  <c r="F15" i="32"/>
  <c r="G15" i="32" s="1"/>
  <c r="E7" i="32"/>
  <c r="G7" i="32" s="1"/>
  <c r="H7" i="32"/>
  <c r="E120" i="32"/>
  <c r="G120" i="32" s="1"/>
  <c r="H120" i="32"/>
  <c r="G287" i="32"/>
  <c r="E172" i="32"/>
  <c r="H172" i="32"/>
  <c r="D15" i="9"/>
  <c r="G71" i="32"/>
  <c r="I123" i="32"/>
  <c r="D129" i="9"/>
  <c r="H69" i="32"/>
  <c r="E184" i="32"/>
  <c r="E310" i="32"/>
  <c r="G310" i="32" s="1"/>
  <c r="H310" i="32"/>
  <c r="H290" i="32"/>
  <c r="E75" i="32"/>
  <c r="H75" i="32"/>
  <c r="E158" i="33"/>
  <c r="D158" i="37" s="1"/>
  <c r="R264" i="19"/>
  <c r="U264" i="19" s="1"/>
  <c r="T264" i="19"/>
  <c r="C34" i="34"/>
  <c r="E23" i="33"/>
  <c r="D23" i="37" s="1"/>
  <c r="I187" i="32"/>
  <c r="D193" i="9"/>
  <c r="E261" i="32"/>
  <c r="H261" i="32"/>
  <c r="G283" i="32"/>
  <c r="H47" i="32"/>
  <c r="G60" i="32"/>
  <c r="G116" i="32"/>
  <c r="I155" i="32"/>
  <c r="D161" i="9"/>
  <c r="G204" i="32"/>
  <c r="G239" i="32"/>
  <c r="I33" i="32"/>
  <c r="D39" i="9"/>
  <c r="H292" i="32"/>
  <c r="H313" i="32"/>
  <c r="C74" i="39"/>
  <c r="C74" i="12"/>
  <c r="C74" i="33"/>
  <c r="F74" i="32"/>
  <c r="G74" i="32" s="1"/>
  <c r="D219" i="9"/>
  <c r="I213" i="32"/>
  <c r="D211" i="9"/>
  <c r="I205" i="32"/>
  <c r="C144" i="34"/>
  <c r="E133" i="33"/>
  <c r="D133" i="37" s="1"/>
  <c r="C157" i="39"/>
  <c r="C157" i="12"/>
  <c r="C157" i="33"/>
  <c r="F157" i="32"/>
  <c r="G157" i="32" s="1"/>
  <c r="C125" i="39"/>
  <c r="C125" i="12"/>
  <c r="F125" i="32"/>
  <c r="I125" i="32" s="1"/>
  <c r="C125" i="33"/>
  <c r="I36" i="32"/>
  <c r="D42" i="9"/>
  <c r="D183" i="9"/>
  <c r="I177" i="32"/>
  <c r="H225" i="32"/>
  <c r="E225" i="32"/>
  <c r="G225" i="32" s="1"/>
  <c r="G295" i="32"/>
  <c r="I286" i="32"/>
  <c r="D292" i="9"/>
  <c r="E237" i="32"/>
  <c r="H237" i="32"/>
  <c r="G259" i="32"/>
  <c r="G9" i="32"/>
  <c r="G123" i="32"/>
  <c r="I212" i="32"/>
  <c r="D218" i="9"/>
  <c r="I85" i="32"/>
  <c r="D91" i="9"/>
  <c r="E254" i="32"/>
  <c r="G254" i="32" s="1"/>
  <c r="H254" i="32"/>
  <c r="G297" i="32"/>
  <c r="G79" i="32"/>
  <c r="E240" i="32"/>
  <c r="C50" i="39"/>
  <c r="C50" i="12"/>
  <c r="C50" i="33"/>
  <c r="F50" i="32"/>
  <c r="I50" i="32" s="1"/>
  <c r="I68" i="32"/>
  <c r="D74" i="9"/>
  <c r="I49" i="32"/>
  <c r="D55" i="9"/>
  <c r="I63" i="32"/>
  <c r="D69" i="9"/>
  <c r="H119" i="32"/>
  <c r="D169" i="9"/>
  <c r="E208" i="32"/>
  <c r="G208" i="32" s="1"/>
  <c r="D245" i="9"/>
  <c r="I239" i="32"/>
  <c r="G33" i="32"/>
  <c r="E242" i="32"/>
  <c r="G242" i="32" s="1"/>
  <c r="I76" i="32"/>
  <c r="D82" i="9"/>
  <c r="G221" i="32"/>
  <c r="C82" i="39"/>
  <c r="C82" i="12"/>
  <c r="C82" i="33"/>
  <c r="F82" i="32"/>
  <c r="I82" i="32" s="1"/>
  <c r="I159" i="32"/>
  <c r="D165" i="9"/>
  <c r="D315" i="9"/>
  <c r="C261" i="39"/>
  <c r="C261" i="12"/>
  <c r="C261" i="33"/>
  <c r="F261" i="32"/>
  <c r="G13" i="32"/>
  <c r="G55" i="32"/>
  <c r="G20" i="32"/>
  <c r="G38" i="32"/>
  <c r="E57" i="32"/>
  <c r="G57" i="32" s="1"/>
  <c r="H57" i="32"/>
  <c r="D131" i="9"/>
  <c r="I226" i="32"/>
  <c r="D232" i="9"/>
  <c r="G286" i="32"/>
  <c r="G61" i="32"/>
  <c r="G238" i="32"/>
  <c r="C266" i="39"/>
  <c r="C266" i="12"/>
  <c r="C266" i="33"/>
  <c r="F266" i="32"/>
  <c r="I266" i="32" s="1"/>
  <c r="C46" i="39"/>
  <c r="C46" i="12"/>
  <c r="C46" i="33"/>
  <c r="F46" i="32"/>
  <c r="G46" i="32" s="1"/>
  <c r="G128" i="32"/>
  <c r="G212" i="32"/>
  <c r="G241" i="32"/>
  <c r="G53" i="32"/>
  <c r="H298" i="32"/>
  <c r="D54" i="9"/>
  <c r="E83" i="32"/>
  <c r="H83" i="32"/>
  <c r="I242" i="32"/>
  <c r="D248" i="9"/>
  <c r="E269" i="32"/>
  <c r="G269" i="32" s="1"/>
  <c r="H269" i="32"/>
  <c r="I56" i="32"/>
  <c r="D62" i="9"/>
  <c r="G68" i="32"/>
  <c r="G132" i="32"/>
  <c r="D225" i="9"/>
  <c r="D291" i="9"/>
  <c r="I285" i="32"/>
  <c r="G49" i="32"/>
  <c r="I243" i="32"/>
  <c r="D249" i="9"/>
  <c r="T44" i="19"/>
  <c r="R44" i="19"/>
  <c r="U44" i="19" s="1"/>
  <c r="E170" i="32"/>
  <c r="G170" i="32" s="1"/>
  <c r="H170" i="32"/>
  <c r="E245" i="32"/>
  <c r="G245" i="32" s="1"/>
  <c r="H245" i="32"/>
  <c r="H265" i="32"/>
  <c r="I260" i="32"/>
  <c r="D266" i="9"/>
  <c r="I135" i="32"/>
  <c r="D141" i="9"/>
  <c r="G76" i="32"/>
  <c r="D227" i="9"/>
  <c r="I221" i="32"/>
  <c r="G159" i="32"/>
  <c r="D173" i="9"/>
  <c r="I220" i="32"/>
  <c r="D226" i="9"/>
  <c r="C141" i="39"/>
  <c r="C141" i="12"/>
  <c r="C141" i="33"/>
  <c r="F141" i="32"/>
  <c r="G141" i="32" s="1"/>
  <c r="D283" i="9"/>
  <c r="I277" i="32"/>
  <c r="G312" i="32"/>
  <c r="H39" i="32"/>
  <c r="G62" i="32"/>
  <c r="D95" i="9"/>
  <c r="I25" i="32"/>
  <c r="D31" i="9"/>
  <c r="E51" i="32"/>
  <c r="G51" i="32" s="1"/>
  <c r="H51" i="32"/>
  <c r="D57" i="9" s="1"/>
  <c r="G69" i="32"/>
  <c r="I132" i="32"/>
  <c r="D138" i="9"/>
  <c r="E180" i="32"/>
  <c r="H180" i="32"/>
  <c r="E301" i="32"/>
  <c r="G301" i="32" s="1"/>
  <c r="H301" i="32"/>
  <c r="H209" i="32"/>
  <c r="E209" i="32"/>
  <c r="I240" i="32"/>
  <c r="D246" i="9"/>
  <c r="C54" i="39"/>
  <c r="C54" i="12"/>
  <c r="C54" i="33"/>
  <c r="F54" i="32"/>
  <c r="G54" i="32" s="1"/>
  <c r="I128" i="32"/>
  <c r="D134" i="9"/>
  <c r="G24" i="32"/>
  <c r="I88" i="32"/>
  <c r="D94" i="9"/>
  <c r="I208" i="32"/>
  <c r="D214" i="9"/>
  <c r="H272" i="32"/>
  <c r="D278" i="9" s="1"/>
  <c r="E272" i="32"/>
  <c r="G303" i="32"/>
  <c r="H61" i="32"/>
  <c r="G243" i="32"/>
  <c r="G306" i="32"/>
  <c r="G249" i="32"/>
  <c r="I273" i="32"/>
  <c r="D279" i="9"/>
  <c r="I129" i="32"/>
  <c r="D135" i="9"/>
  <c r="D177" i="9"/>
  <c r="I171" i="32"/>
  <c r="D202" i="9"/>
  <c r="G45" i="32"/>
  <c r="G246" i="32"/>
  <c r="H268" i="32"/>
  <c r="G290" i="32"/>
  <c r="G135" i="32"/>
  <c r="C166" i="39"/>
  <c r="C166" i="12"/>
  <c r="C166" i="33"/>
  <c r="F166" i="32"/>
  <c r="I166" i="32" s="1"/>
  <c r="G167" i="32"/>
  <c r="G220" i="32"/>
  <c r="G143" i="32"/>
  <c r="K284" i="36"/>
  <c r="F292" i="34" s="1"/>
  <c r="K50" i="36"/>
  <c r="F58" i="34" s="1"/>
  <c r="K37" i="36"/>
  <c r="F45" i="34" s="1"/>
  <c r="K122" i="36"/>
  <c r="F130" i="34" s="1"/>
  <c r="K162" i="36"/>
  <c r="F170" i="34" s="1"/>
  <c r="K166" i="36"/>
  <c r="F174" i="34" s="1"/>
  <c r="K187" i="36"/>
  <c r="F195" i="34" s="1"/>
  <c r="K167" i="36"/>
  <c r="F175" i="34" s="1"/>
  <c r="K212" i="36"/>
  <c r="F220" i="34" s="1"/>
  <c r="K299" i="36"/>
  <c r="F307" i="34" s="1"/>
  <c r="K178" i="36"/>
  <c r="F186" i="34" s="1"/>
  <c r="K226" i="36"/>
  <c r="F234" i="34" s="1"/>
  <c r="K171" i="36"/>
  <c r="F179" i="34" s="1"/>
  <c r="K273" i="36"/>
  <c r="F281" i="34" s="1"/>
  <c r="K17" i="36"/>
  <c r="F25" i="34" s="1"/>
  <c r="K73" i="36"/>
  <c r="F81" i="34" s="1"/>
  <c r="K242" i="36"/>
  <c r="F250" i="34" s="1"/>
  <c r="K170" i="36"/>
  <c r="F178" i="34" s="1"/>
  <c r="K254" i="36"/>
  <c r="F262" i="34" s="1"/>
  <c r="K308" i="36"/>
  <c r="F316" i="34" s="1"/>
  <c r="K9" i="36"/>
  <c r="F17" i="34" s="1"/>
  <c r="K70" i="36"/>
  <c r="F78" i="34" s="1"/>
  <c r="K61" i="36"/>
  <c r="F69" i="34" s="1"/>
  <c r="K145" i="36"/>
  <c r="F153" i="34" s="1"/>
  <c r="K138" i="36"/>
  <c r="F146" i="34" s="1"/>
  <c r="K238" i="36"/>
  <c r="F246" i="34" s="1"/>
  <c r="K218" i="36"/>
  <c r="F226" i="34" s="1"/>
  <c r="K315" i="36"/>
  <c r="F323" i="34" s="1"/>
  <c r="K247" i="36"/>
  <c r="F255" i="34" s="1"/>
  <c r="K13" i="36"/>
  <c r="F21" i="34" s="1"/>
  <c r="K57" i="36"/>
  <c r="F65" i="34" s="1"/>
  <c r="K21" i="36"/>
  <c r="F29" i="34" s="1"/>
  <c r="K25" i="36"/>
  <c r="F33" i="34" s="1"/>
  <c r="K77" i="36"/>
  <c r="F85" i="34" s="1"/>
  <c r="K137" i="36"/>
  <c r="F145" i="34" s="1"/>
  <c r="K113" i="36"/>
  <c r="F121" i="34" s="1"/>
  <c r="K107" i="36"/>
  <c r="F115" i="34" s="1"/>
  <c r="K175" i="36"/>
  <c r="F183" i="34" s="1"/>
  <c r="K202" i="36"/>
  <c r="F210" i="34" s="1"/>
  <c r="K251" i="36"/>
  <c r="F259" i="34" s="1"/>
  <c r="K276" i="36"/>
  <c r="F284" i="34" s="1"/>
  <c r="K293" i="36"/>
  <c r="F301" i="34" s="1"/>
  <c r="K309" i="36"/>
  <c r="F317" i="34" s="1"/>
  <c r="K219" i="36"/>
  <c r="F227" i="34" s="1"/>
  <c r="K194" i="36"/>
  <c r="F202" i="34" s="1"/>
  <c r="K291" i="36"/>
  <c r="F299" i="34" s="1"/>
  <c r="K300" i="36"/>
  <c r="F308" i="34" s="1"/>
  <c r="K62" i="36"/>
  <c r="F70" i="34" s="1"/>
  <c r="K89" i="36"/>
  <c r="F97" i="34" s="1"/>
  <c r="K85" i="36"/>
  <c r="F93" i="34" s="1"/>
  <c r="K59" i="36"/>
  <c r="F67" i="34" s="1"/>
  <c r="K69" i="36"/>
  <c r="F77" i="34" s="1"/>
  <c r="K155" i="36"/>
  <c r="F163" i="34" s="1"/>
  <c r="K134" i="36"/>
  <c r="F142" i="34" s="1"/>
  <c r="K158" i="36"/>
  <c r="F166" i="34" s="1"/>
  <c r="K192" i="36"/>
  <c r="F200" i="34" s="1"/>
  <c r="K240" i="36"/>
  <c r="F248" i="34" s="1"/>
  <c r="K133" i="36"/>
  <c r="F141" i="34" s="1"/>
  <c r="K29" i="36"/>
  <c r="F37" i="34" s="1"/>
  <c r="K49" i="36"/>
  <c r="F57" i="34" s="1"/>
  <c r="K131" i="36"/>
  <c r="F139" i="34" s="1"/>
  <c r="K150" i="36"/>
  <c r="F158" i="34" s="1"/>
  <c r="K186" i="36"/>
  <c r="F194" i="34" s="1"/>
  <c r="K236" i="36"/>
  <c r="F244" i="34" s="1"/>
  <c r="K277" i="36"/>
  <c r="F285" i="34" s="1"/>
  <c r="K307" i="36"/>
  <c r="F315" i="34" s="1"/>
  <c r="K248" i="36"/>
  <c r="F256" i="34" s="1"/>
  <c r="K255" i="36"/>
  <c r="F263" i="34" s="1"/>
  <c r="K292" i="36"/>
  <c r="F300" i="34" s="1"/>
  <c r="K43" i="36"/>
  <c r="F51" i="34" s="1"/>
  <c r="K33" i="36"/>
  <c r="F41" i="34" s="1"/>
  <c r="K41" i="36"/>
  <c r="F49" i="34" s="1"/>
  <c r="K129" i="36"/>
  <c r="F137" i="34" s="1"/>
  <c r="K87" i="36"/>
  <c r="F95" i="34" s="1"/>
  <c r="K125" i="36"/>
  <c r="F133" i="34" s="1"/>
  <c r="K66" i="36"/>
  <c r="F74" i="34" s="1"/>
  <c r="K127" i="36"/>
  <c r="F135" i="34" s="1"/>
  <c r="K154" i="36"/>
  <c r="F162" i="34" s="1"/>
  <c r="K188" i="36"/>
  <c r="F196" i="34" s="1"/>
  <c r="K258" i="36"/>
  <c r="F266" i="34" s="1"/>
  <c r="K267" i="36"/>
  <c r="F275" i="34" s="1"/>
  <c r="K207" i="36"/>
  <c r="F215" i="34" s="1"/>
  <c r="K283" i="36"/>
  <c r="F291" i="34" s="1"/>
  <c r="K190" i="36"/>
  <c r="F198" i="34" s="1"/>
  <c r="R110" i="19"/>
  <c r="U110" i="19" s="1"/>
  <c r="T110" i="19"/>
  <c r="R115" i="19"/>
  <c r="U115" i="19" s="1"/>
  <c r="T115" i="19"/>
  <c r="R102" i="19"/>
  <c r="U102" i="19" s="1"/>
  <c r="T102" i="19"/>
  <c r="T91" i="19"/>
  <c r="R91" i="19"/>
  <c r="U91" i="19" s="1"/>
  <c r="R202" i="19"/>
  <c r="U202" i="19" s="1"/>
  <c r="T202" i="19"/>
  <c r="T198" i="19"/>
  <c r="R198" i="19"/>
  <c r="U198" i="19" s="1"/>
  <c r="T178" i="19"/>
  <c r="R178" i="19"/>
  <c r="U178" i="19" s="1"/>
  <c r="R281" i="19"/>
  <c r="U281" i="19" s="1"/>
  <c r="T281" i="19"/>
  <c r="R294" i="19"/>
  <c r="U294" i="19" s="1"/>
  <c r="T294" i="19"/>
  <c r="R97" i="19"/>
  <c r="U97" i="19" s="1"/>
  <c r="T97" i="19"/>
  <c r="T186" i="19"/>
  <c r="R186" i="19"/>
  <c r="U186" i="19" s="1"/>
  <c r="T181" i="19"/>
  <c r="R181" i="19"/>
  <c r="U181" i="19" s="1"/>
  <c r="R190" i="19"/>
  <c r="U190" i="19" s="1"/>
  <c r="T190" i="19"/>
  <c r="T302" i="19"/>
  <c r="R302" i="19"/>
  <c r="U302" i="19" s="1"/>
  <c r="R180" i="19"/>
  <c r="U180" i="19" s="1"/>
  <c r="T180" i="19"/>
  <c r="T266" i="19"/>
  <c r="R266" i="19"/>
  <c r="U266" i="19" s="1"/>
  <c r="R310" i="19"/>
  <c r="U310" i="19" s="1"/>
  <c r="T310" i="19"/>
  <c r="R106" i="19"/>
  <c r="U106" i="19" s="1"/>
  <c r="T106" i="19"/>
  <c r="T98" i="19"/>
  <c r="R98" i="19"/>
  <c r="U98" i="19" s="1"/>
  <c r="T182" i="19"/>
  <c r="R182" i="19"/>
  <c r="U182" i="19" s="1"/>
  <c r="R273" i="19"/>
  <c r="U273" i="19" s="1"/>
  <c r="T273" i="19"/>
  <c r="R185" i="19"/>
  <c r="U185" i="19" s="1"/>
  <c r="T185" i="19"/>
  <c r="R267" i="19"/>
  <c r="U267" i="19" s="1"/>
  <c r="T267" i="19"/>
  <c r="T274" i="19"/>
  <c r="R274" i="19"/>
  <c r="U274" i="19" s="1"/>
  <c r="R270" i="19"/>
  <c r="U270" i="19" s="1"/>
  <c r="T270" i="19"/>
  <c r="T174" i="19"/>
  <c r="R174" i="19"/>
  <c r="U174" i="19" s="1"/>
  <c r="T107" i="19"/>
  <c r="R107" i="19"/>
  <c r="U107" i="19" s="1"/>
  <c r="T95" i="19"/>
  <c r="R95" i="19"/>
  <c r="U95" i="19" s="1"/>
  <c r="R276" i="19"/>
  <c r="U276" i="19" s="1"/>
  <c r="T276" i="19"/>
  <c r="T282" i="19"/>
  <c r="R282" i="19"/>
  <c r="U282" i="19" s="1"/>
  <c r="R286" i="19"/>
  <c r="U286" i="19" s="1"/>
  <c r="T286" i="19"/>
  <c r="I4" i="12"/>
  <c r="G31" i="32" l="1"/>
  <c r="G17" i="32"/>
  <c r="G270" i="32"/>
  <c r="G228" i="32"/>
  <c r="I114" i="32"/>
  <c r="I80" i="32"/>
  <c r="G11" i="32"/>
  <c r="G117" i="32"/>
  <c r="I163" i="32"/>
  <c r="I40" i="32"/>
  <c r="I161" i="32"/>
  <c r="I48" i="32"/>
  <c r="G147" i="32"/>
  <c r="G240" i="32"/>
  <c r="G309" i="32"/>
  <c r="I293" i="32"/>
  <c r="G288" i="32"/>
  <c r="I190" i="32"/>
  <c r="G197" i="32"/>
  <c r="G29" i="32"/>
  <c r="I219" i="32"/>
  <c r="G285" i="32"/>
  <c r="G275" i="32"/>
  <c r="I258" i="32"/>
  <c r="I90" i="32"/>
  <c r="G211" i="32"/>
  <c r="G160" i="32"/>
  <c r="G244" i="32"/>
  <c r="G266" i="32"/>
  <c r="G59" i="32"/>
  <c r="G18" i="32"/>
  <c r="G84" i="32"/>
  <c r="I107" i="32"/>
  <c r="G145" i="32"/>
  <c r="I78" i="32"/>
  <c r="I138" i="32"/>
  <c r="G229" i="32"/>
  <c r="C83" i="39"/>
  <c r="C83" i="12"/>
  <c r="F83" i="32"/>
  <c r="G83" i="32" s="1"/>
  <c r="C83" i="33"/>
  <c r="G82" i="32"/>
  <c r="G102" i="32"/>
  <c r="I15" i="32"/>
  <c r="G28" i="32"/>
  <c r="G148" i="32"/>
  <c r="G72" i="32"/>
  <c r="G115" i="32"/>
  <c r="I150" i="32"/>
  <c r="G50" i="32"/>
  <c r="I248" i="32"/>
  <c r="G194" i="32"/>
  <c r="G294" i="32"/>
  <c r="G87" i="32"/>
  <c r="G203" i="32"/>
  <c r="C184" i="39"/>
  <c r="C184" i="12"/>
  <c r="C184" i="33"/>
  <c r="F184" i="32"/>
  <c r="I184" i="32" s="1"/>
  <c r="C284" i="39"/>
  <c r="C284" i="12"/>
  <c r="C284" i="33"/>
  <c r="F284" i="32"/>
  <c r="G284" i="32" s="1"/>
  <c r="C178" i="39"/>
  <c r="C178" i="12"/>
  <c r="F178" i="32"/>
  <c r="I178" i="32" s="1"/>
  <c r="C178" i="33"/>
  <c r="C280" i="39"/>
  <c r="C280" i="12"/>
  <c r="C280" i="33"/>
  <c r="F280" i="32"/>
  <c r="C172" i="39"/>
  <c r="C172" i="12"/>
  <c r="C172" i="33"/>
  <c r="F172" i="32"/>
  <c r="I172" i="32" s="1"/>
  <c r="C300" i="39"/>
  <c r="C300" i="12"/>
  <c r="C300" i="33"/>
  <c r="F300" i="32"/>
  <c r="G300" i="32" s="1"/>
  <c r="C196" i="39"/>
  <c r="C196" i="12"/>
  <c r="C196" i="33"/>
  <c r="F196" i="32"/>
  <c r="D274" i="9"/>
  <c r="D186" i="9"/>
  <c r="C42" i="39"/>
  <c r="C42" i="12"/>
  <c r="C42" i="33"/>
  <c r="F42" i="32"/>
  <c r="I119" i="32"/>
  <c r="D125" i="9"/>
  <c r="D267" i="9"/>
  <c r="I261" i="32"/>
  <c r="I20" i="32"/>
  <c r="D26" i="9"/>
  <c r="D207" i="9"/>
  <c r="I201" i="32"/>
  <c r="E165" i="33"/>
  <c r="D165" i="37" s="1"/>
  <c r="C176" i="34"/>
  <c r="G253" i="32"/>
  <c r="I43" i="32"/>
  <c r="I210" i="32"/>
  <c r="D29" i="9"/>
  <c r="I23" i="32"/>
  <c r="G207" i="32"/>
  <c r="E223" i="33"/>
  <c r="D223" i="37" s="1"/>
  <c r="C234" i="34"/>
  <c r="C196" i="34"/>
  <c r="E185" i="33"/>
  <c r="D185" i="37" s="1"/>
  <c r="C140" i="34"/>
  <c r="E129" i="33"/>
  <c r="D129" i="37" s="1"/>
  <c r="C112" i="34"/>
  <c r="E101" i="33"/>
  <c r="D101" i="37" s="1"/>
  <c r="E33" i="33"/>
  <c r="D33" i="37" s="1"/>
  <c r="C44" i="34"/>
  <c r="E18" i="33"/>
  <c r="D18" i="37" s="1"/>
  <c r="C29" i="34"/>
  <c r="I46" i="32"/>
  <c r="E41" i="33"/>
  <c r="D41" i="37" s="1"/>
  <c r="C52" i="34"/>
  <c r="E38" i="33"/>
  <c r="D38" i="37" s="1"/>
  <c r="C49" i="34"/>
  <c r="C67" i="34"/>
  <c r="E56" i="33"/>
  <c r="D56" i="37" s="1"/>
  <c r="C235" i="34"/>
  <c r="E224" i="33"/>
  <c r="D224" i="37" s="1"/>
  <c r="C122" i="34"/>
  <c r="E111" i="33"/>
  <c r="D111" i="37" s="1"/>
  <c r="E121" i="33"/>
  <c r="D121" i="37" s="1"/>
  <c r="C132" i="34"/>
  <c r="E25" i="33"/>
  <c r="D25" i="37" s="1"/>
  <c r="C36" i="34"/>
  <c r="G149" i="32"/>
  <c r="C265" i="34"/>
  <c r="E254" i="33"/>
  <c r="D254" i="37" s="1"/>
  <c r="I152" i="32"/>
  <c r="C281" i="34"/>
  <c r="E270" i="33"/>
  <c r="D270" i="37" s="1"/>
  <c r="G302" i="32"/>
  <c r="C172" i="34"/>
  <c r="E161" i="33"/>
  <c r="D161" i="37" s="1"/>
  <c r="E127" i="33"/>
  <c r="D127" i="37" s="1"/>
  <c r="C138" i="34"/>
  <c r="C128" i="34"/>
  <c r="E117" i="33"/>
  <c r="D117" i="37" s="1"/>
  <c r="E94" i="33"/>
  <c r="D94" i="37" s="1"/>
  <c r="C105" i="34"/>
  <c r="C174" i="34"/>
  <c r="E163" i="33"/>
  <c r="D163" i="37" s="1"/>
  <c r="D187" i="9"/>
  <c r="I181" i="32"/>
  <c r="C59" i="34"/>
  <c r="E48" i="33"/>
  <c r="D48" i="37" s="1"/>
  <c r="C91" i="34"/>
  <c r="E80" i="33"/>
  <c r="D80" i="37" s="1"/>
  <c r="C42" i="34"/>
  <c r="E31" i="33"/>
  <c r="D31" i="37" s="1"/>
  <c r="C250" i="34"/>
  <c r="E239" i="33"/>
  <c r="D239" i="37" s="1"/>
  <c r="I127" i="32"/>
  <c r="E298" i="33"/>
  <c r="D298" i="37" s="1"/>
  <c r="C309" i="34"/>
  <c r="C206" i="34"/>
  <c r="E195" i="33"/>
  <c r="D195" i="37" s="1"/>
  <c r="I14" i="32"/>
  <c r="E13" i="33"/>
  <c r="D13" i="37" s="1"/>
  <c r="C24" i="34"/>
  <c r="C88" i="34"/>
  <c r="E77" i="33"/>
  <c r="D77" i="37" s="1"/>
  <c r="E21" i="33"/>
  <c r="D21" i="37" s="1"/>
  <c r="C32" i="34"/>
  <c r="I141" i="32"/>
  <c r="E212" i="33"/>
  <c r="D212" i="37" s="1"/>
  <c r="C223" i="34"/>
  <c r="I281" i="32"/>
  <c r="D287" i="9"/>
  <c r="C297" i="34"/>
  <c r="E286" i="33"/>
  <c r="D286" i="37" s="1"/>
  <c r="E282" i="33"/>
  <c r="D282" i="37" s="1"/>
  <c r="C293" i="34"/>
  <c r="C233" i="34"/>
  <c r="E222" i="33"/>
  <c r="D222" i="37" s="1"/>
  <c r="E250" i="33"/>
  <c r="D250" i="37" s="1"/>
  <c r="C261" i="34"/>
  <c r="C130" i="34"/>
  <c r="E119" i="33"/>
  <c r="D119" i="37" s="1"/>
  <c r="E151" i="33"/>
  <c r="D151" i="37" s="1"/>
  <c r="C162" i="34"/>
  <c r="C71" i="34"/>
  <c r="E60" i="33"/>
  <c r="D60" i="37" s="1"/>
  <c r="E296" i="33"/>
  <c r="D296" i="37" s="1"/>
  <c r="C307" i="34"/>
  <c r="C183" i="39"/>
  <c r="C183" i="12"/>
  <c r="C183" i="33"/>
  <c r="F183" i="32"/>
  <c r="C104" i="39"/>
  <c r="C104" i="12"/>
  <c r="C104" i="33"/>
  <c r="F104" i="32"/>
  <c r="G104" i="32" s="1"/>
  <c r="C95" i="39"/>
  <c r="C95" i="12"/>
  <c r="C95" i="33"/>
  <c r="F95" i="32"/>
  <c r="C113" i="39"/>
  <c r="C113" i="12"/>
  <c r="C113" i="33"/>
  <c r="F113" i="32"/>
  <c r="I61" i="32"/>
  <c r="D67" i="9"/>
  <c r="E266" i="33"/>
  <c r="D266" i="37" s="1"/>
  <c r="C277" i="34"/>
  <c r="E82" i="33"/>
  <c r="D82" i="37" s="1"/>
  <c r="C93" i="34"/>
  <c r="E50" i="33"/>
  <c r="D50" i="37" s="1"/>
  <c r="C61" i="34"/>
  <c r="D231" i="9"/>
  <c r="I225" i="32"/>
  <c r="G261" i="32"/>
  <c r="C262" i="39"/>
  <c r="C262" i="12"/>
  <c r="F262" i="32"/>
  <c r="G262" i="32" s="1"/>
  <c r="C262" i="33"/>
  <c r="I69" i="32"/>
  <c r="D75" i="9"/>
  <c r="D13" i="9"/>
  <c r="I7" i="32"/>
  <c r="E237" i="33"/>
  <c r="D237" i="37" s="1"/>
  <c r="C248" i="34"/>
  <c r="I270" i="32"/>
  <c r="D276" i="9"/>
  <c r="E34" i="33"/>
  <c r="D34" i="37" s="1"/>
  <c r="C45" i="34"/>
  <c r="I27" i="32"/>
  <c r="D33" i="9"/>
  <c r="C70" i="34"/>
  <c r="E59" i="33"/>
  <c r="D59" i="37" s="1"/>
  <c r="D194" i="9"/>
  <c r="I255" i="32"/>
  <c r="C266" i="34"/>
  <c r="E255" i="33"/>
  <c r="D255" i="37" s="1"/>
  <c r="E240" i="33"/>
  <c r="D240" i="37" s="1"/>
  <c r="C251" i="34"/>
  <c r="E152" i="33"/>
  <c r="D152" i="37" s="1"/>
  <c r="C163" i="34"/>
  <c r="G12" i="32"/>
  <c r="I12" i="32"/>
  <c r="I74" i="32"/>
  <c r="E201" i="33"/>
  <c r="D201" i="37" s="1"/>
  <c r="C212" i="34"/>
  <c r="E159" i="33"/>
  <c r="D159" i="37" s="1"/>
  <c r="C170" i="34"/>
  <c r="C114" i="34"/>
  <c r="E103" i="33"/>
  <c r="D103" i="37" s="1"/>
  <c r="I162" i="32"/>
  <c r="E269" i="33"/>
  <c r="D269" i="37" s="1"/>
  <c r="C280" i="34"/>
  <c r="C141" i="34"/>
  <c r="E130" i="33"/>
  <c r="D130" i="37" s="1"/>
  <c r="C55" i="34"/>
  <c r="E44" i="33"/>
  <c r="D44" i="37" s="1"/>
  <c r="E290" i="33"/>
  <c r="D290" i="37" s="1"/>
  <c r="C301" i="34"/>
  <c r="G193" i="32"/>
  <c r="G168" i="32"/>
  <c r="C324" i="34"/>
  <c r="E313" i="33"/>
  <c r="D313" i="37" s="1"/>
  <c r="G281" i="32"/>
  <c r="G195" i="32"/>
  <c r="I21" i="32"/>
  <c r="E233" i="33"/>
  <c r="D233" i="37" s="1"/>
  <c r="C244" i="34"/>
  <c r="C229" i="34"/>
  <c r="E218" i="33"/>
  <c r="D218" i="37" s="1"/>
  <c r="C274" i="34"/>
  <c r="E263" i="33"/>
  <c r="D263" i="37" s="1"/>
  <c r="C238" i="34"/>
  <c r="E227" i="33"/>
  <c r="D227" i="37" s="1"/>
  <c r="C180" i="34"/>
  <c r="E169" i="33"/>
  <c r="D169" i="37" s="1"/>
  <c r="C146" i="34"/>
  <c r="E135" i="33"/>
  <c r="D135" i="37" s="1"/>
  <c r="E128" i="33"/>
  <c r="D128" i="37" s="1"/>
  <c r="C139" i="34"/>
  <c r="E171" i="33"/>
  <c r="D171" i="37" s="1"/>
  <c r="C182" i="34"/>
  <c r="C96" i="34"/>
  <c r="E85" i="33"/>
  <c r="D85" i="37" s="1"/>
  <c r="C72" i="34"/>
  <c r="E61" i="33"/>
  <c r="D61" i="37" s="1"/>
  <c r="C19" i="34"/>
  <c r="E8" i="33"/>
  <c r="D8" i="37" s="1"/>
  <c r="C177" i="34"/>
  <c r="E166" i="33"/>
  <c r="D166" i="37" s="1"/>
  <c r="E141" i="33"/>
  <c r="D141" i="37" s="1"/>
  <c r="C152" i="34"/>
  <c r="I254" i="32"/>
  <c r="D260" i="9"/>
  <c r="C168" i="34"/>
  <c r="E157" i="33"/>
  <c r="D157" i="37" s="1"/>
  <c r="I313" i="32"/>
  <c r="D319" i="9"/>
  <c r="D178" i="9"/>
  <c r="C78" i="34"/>
  <c r="E67" i="33"/>
  <c r="D67" i="37" s="1"/>
  <c r="C305" i="34"/>
  <c r="E294" i="33"/>
  <c r="D294" i="37" s="1"/>
  <c r="I54" i="32"/>
  <c r="E258" i="33"/>
  <c r="D258" i="37" s="1"/>
  <c r="C269" i="34"/>
  <c r="G125" i="32"/>
  <c r="I98" i="32"/>
  <c r="D104" i="9"/>
  <c r="C320" i="34"/>
  <c r="E309" i="33"/>
  <c r="D309" i="37" s="1"/>
  <c r="C299" i="34"/>
  <c r="E288" i="33"/>
  <c r="D288" i="37" s="1"/>
  <c r="C241" i="34"/>
  <c r="E230" i="33"/>
  <c r="D230" i="37" s="1"/>
  <c r="C208" i="34"/>
  <c r="E197" i="33"/>
  <c r="D197" i="37" s="1"/>
  <c r="C230" i="34"/>
  <c r="E219" i="33"/>
  <c r="D219" i="37" s="1"/>
  <c r="E164" i="33"/>
  <c r="D164" i="37" s="1"/>
  <c r="C175" i="34"/>
  <c r="C184" i="34"/>
  <c r="E173" i="33"/>
  <c r="D173" i="37" s="1"/>
  <c r="E162" i="33"/>
  <c r="D162" i="37" s="1"/>
  <c r="C173" i="34"/>
  <c r="E160" i="33"/>
  <c r="D160" i="37" s="1"/>
  <c r="C171" i="34"/>
  <c r="E277" i="33"/>
  <c r="D277" i="37" s="1"/>
  <c r="C288" i="34"/>
  <c r="E102" i="33"/>
  <c r="D102" i="37" s="1"/>
  <c r="C113" i="34"/>
  <c r="C39" i="34"/>
  <c r="E28" i="33"/>
  <c r="D28" i="37" s="1"/>
  <c r="I134" i="32"/>
  <c r="E252" i="33"/>
  <c r="D252" i="37" s="1"/>
  <c r="C263" i="34"/>
  <c r="C252" i="34"/>
  <c r="E241" i="33"/>
  <c r="D241" i="37" s="1"/>
  <c r="E260" i="33"/>
  <c r="D260" i="37" s="1"/>
  <c r="C271" i="34"/>
  <c r="C204" i="34"/>
  <c r="E193" i="33"/>
  <c r="D193" i="37" s="1"/>
  <c r="C222" i="34"/>
  <c r="E211" i="33"/>
  <c r="D211" i="37" s="1"/>
  <c r="E81" i="33"/>
  <c r="D81" i="37" s="1"/>
  <c r="C92" i="34"/>
  <c r="C23" i="34"/>
  <c r="E12" i="33"/>
  <c r="D12" i="37" s="1"/>
  <c r="C46" i="34"/>
  <c r="E35" i="33"/>
  <c r="D35" i="37" s="1"/>
  <c r="I278" i="32"/>
  <c r="D284" i="9"/>
  <c r="G191" i="32"/>
  <c r="E295" i="33"/>
  <c r="D295" i="37" s="1"/>
  <c r="C306" i="34"/>
  <c r="E244" i="33"/>
  <c r="D244" i="37" s="1"/>
  <c r="C255" i="34"/>
  <c r="E276" i="33"/>
  <c r="D276" i="37" s="1"/>
  <c r="C287" i="34"/>
  <c r="C188" i="34"/>
  <c r="E177" i="33"/>
  <c r="D177" i="37" s="1"/>
  <c r="C214" i="34"/>
  <c r="E203" i="33"/>
  <c r="D203" i="37" s="1"/>
  <c r="E208" i="33"/>
  <c r="D208" i="37" s="1"/>
  <c r="C219" i="34"/>
  <c r="C246" i="34"/>
  <c r="E235" i="33"/>
  <c r="D235" i="37" s="1"/>
  <c r="E156" i="33"/>
  <c r="D156" i="37" s="1"/>
  <c r="C167" i="34"/>
  <c r="C147" i="34"/>
  <c r="E136" i="33"/>
  <c r="D136" i="37" s="1"/>
  <c r="C185" i="34"/>
  <c r="E174" i="33"/>
  <c r="D174" i="37" s="1"/>
  <c r="I51" i="32"/>
  <c r="C51" i="34"/>
  <c r="E40" i="33"/>
  <c r="D40" i="37" s="1"/>
  <c r="D199" i="9"/>
  <c r="I193" i="32"/>
  <c r="G215" i="32"/>
  <c r="I137" i="32"/>
  <c r="I95" i="32"/>
  <c r="D101" i="9"/>
  <c r="C31" i="34"/>
  <c r="E20" i="33"/>
  <c r="D20" i="37" s="1"/>
  <c r="C79" i="34"/>
  <c r="E68" i="33"/>
  <c r="D68" i="37" s="1"/>
  <c r="C64" i="34"/>
  <c r="E53" i="33"/>
  <c r="D53" i="37" s="1"/>
  <c r="C298" i="34"/>
  <c r="E287" i="33"/>
  <c r="D287" i="37" s="1"/>
  <c r="C271" i="39"/>
  <c r="C271" i="12"/>
  <c r="C271" i="33"/>
  <c r="F271" i="32"/>
  <c r="C292" i="39"/>
  <c r="C292" i="12"/>
  <c r="C292" i="33"/>
  <c r="F292" i="32"/>
  <c r="G292" i="32" s="1"/>
  <c r="C108" i="39"/>
  <c r="C108" i="12"/>
  <c r="C108" i="33"/>
  <c r="F108" i="32"/>
  <c r="D271" i="9"/>
  <c r="D89" i="9"/>
  <c r="D243" i="9"/>
  <c r="I237" i="32"/>
  <c r="D298" i="9"/>
  <c r="D81" i="9"/>
  <c r="I75" i="32"/>
  <c r="C86" i="34"/>
  <c r="E75" i="33"/>
  <c r="D75" i="37" s="1"/>
  <c r="I55" i="32"/>
  <c r="D61" i="9"/>
  <c r="D306" i="9"/>
  <c r="I232" i="32"/>
  <c r="D238" i="9"/>
  <c r="I117" i="32"/>
  <c r="D123" i="9"/>
  <c r="I53" i="32"/>
  <c r="D59" i="9"/>
  <c r="I192" i="32"/>
  <c r="G192" i="32"/>
  <c r="G16" i="32"/>
  <c r="I16" i="32"/>
  <c r="C43" i="34"/>
  <c r="E32" i="33"/>
  <c r="D32" i="37" s="1"/>
  <c r="I115" i="32"/>
  <c r="E275" i="33"/>
  <c r="D275" i="37" s="1"/>
  <c r="C286" i="34"/>
  <c r="C209" i="34"/>
  <c r="E198" i="33"/>
  <c r="D198" i="37" s="1"/>
  <c r="C200" i="34"/>
  <c r="E189" i="33"/>
  <c r="D189" i="37" s="1"/>
  <c r="E215" i="33"/>
  <c r="D215" i="37" s="1"/>
  <c r="C226" i="34"/>
  <c r="C150" i="34"/>
  <c r="E139" i="33"/>
  <c r="D139" i="37" s="1"/>
  <c r="E168" i="33"/>
  <c r="D168" i="37" s="1"/>
  <c r="C179" i="34"/>
  <c r="E297" i="33"/>
  <c r="D297" i="37" s="1"/>
  <c r="C308" i="34"/>
  <c r="E228" i="33"/>
  <c r="D228" i="37" s="1"/>
  <c r="C239" i="34"/>
  <c r="G278" i="32"/>
  <c r="E17" i="33"/>
  <c r="D17" i="37" s="1"/>
  <c r="C28" i="34"/>
  <c r="C50" i="34"/>
  <c r="E39" i="33"/>
  <c r="D39" i="37" s="1"/>
  <c r="C148" i="34"/>
  <c r="E137" i="33"/>
  <c r="D137" i="37" s="1"/>
  <c r="C87" i="34"/>
  <c r="E76" i="33"/>
  <c r="D76" i="37" s="1"/>
  <c r="E78" i="33"/>
  <c r="D78" i="37" s="1"/>
  <c r="C89" i="34"/>
  <c r="E10" i="33"/>
  <c r="D10" i="37" s="1"/>
  <c r="C21" i="34"/>
  <c r="C62" i="34"/>
  <c r="E51" i="33"/>
  <c r="D51" i="37" s="1"/>
  <c r="G202" i="32"/>
  <c r="G223" i="32"/>
  <c r="C245" i="34"/>
  <c r="E234" i="33"/>
  <c r="D234" i="37" s="1"/>
  <c r="C242" i="34"/>
  <c r="E231" i="33"/>
  <c r="D231" i="37" s="1"/>
  <c r="C143" i="34"/>
  <c r="E132" i="33"/>
  <c r="D132" i="37" s="1"/>
  <c r="E6" i="33"/>
  <c r="D6" i="37" s="1"/>
  <c r="C17" i="34"/>
  <c r="I144" i="32"/>
  <c r="G182" i="32"/>
  <c r="C30" i="34"/>
  <c r="E19" i="33"/>
  <c r="D19" i="37" s="1"/>
  <c r="E22" i="33"/>
  <c r="D22" i="37" s="1"/>
  <c r="C33" i="34"/>
  <c r="E70" i="33"/>
  <c r="D70" i="37" s="1"/>
  <c r="C81" i="34"/>
  <c r="G95" i="32"/>
  <c r="E283" i="33"/>
  <c r="D283" i="37" s="1"/>
  <c r="C294" i="34"/>
  <c r="G185" i="32"/>
  <c r="E175" i="33"/>
  <c r="D175" i="37" s="1"/>
  <c r="C186" i="34"/>
  <c r="G94" i="32"/>
  <c r="C274" i="39"/>
  <c r="C274" i="12"/>
  <c r="F274" i="32"/>
  <c r="G274" i="32" s="1"/>
  <c r="C274" i="33"/>
  <c r="C268" i="39"/>
  <c r="C268" i="12"/>
  <c r="C268" i="33"/>
  <c r="F268" i="32"/>
  <c r="G268" i="32" s="1"/>
  <c r="C308" i="39"/>
  <c r="C308" i="12"/>
  <c r="C308" i="33"/>
  <c r="F308" i="32"/>
  <c r="C188" i="39"/>
  <c r="C188" i="12"/>
  <c r="C188" i="33"/>
  <c r="F188" i="32"/>
  <c r="I188" i="32" s="1"/>
  <c r="C200" i="39"/>
  <c r="C200" i="12"/>
  <c r="C200" i="33"/>
  <c r="F200" i="32"/>
  <c r="I200" i="32" s="1"/>
  <c r="C93" i="39"/>
  <c r="C93" i="12"/>
  <c r="C93" i="33"/>
  <c r="F93" i="32"/>
  <c r="C272" i="39"/>
  <c r="C272" i="12"/>
  <c r="F272" i="32"/>
  <c r="I272" i="32" s="1"/>
  <c r="C272" i="33"/>
  <c r="C180" i="39"/>
  <c r="C180" i="12"/>
  <c r="C180" i="33"/>
  <c r="F180" i="32"/>
  <c r="G180" i="32" s="1"/>
  <c r="C264" i="39"/>
  <c r="C264" i="12"/>
  <c r="C264" i="33"/>
  <c r="F264" i="32"/>
  <c r="C179" i="39"/>
  <c r="C179" i="12"/>
  <c r="C179" i="33"/>
  <c r="F179" i="32"/>
  <c r="C89" i="39"/>
  <c r="C89" i="12"/>
  <c r="C89" i="33"/>
  <c r="F89" i="32"/>
  <c r="G209" i="32"/>
  <c r="D251" i="9"/>
  <c r="I245" i="32"/>
  <c r="G237" i="32"/>
  <c r="G67" i="32"/>
  <c r="G75" i="32"/>
  <c r="C160" i="34"/>
  <c r="E149" i="33"/>
  <c r="D149" i="37" s="1"/>
  <c r="I44" i="32"/>
  <c r="D50" i="9"/>
  <c r="D130" i="9"/>
  <c r="I124" i="32"/>
  <c r="G217" i="32"/>
  <c r="D290" i="9"/>
  <c r="D268" i="9"/>
  <c r="C240" i="34"/>
  <c r="E229" i="33"/>
  <c r="D229" i="37" s="1"/>
  <c r="E167" i="33"/>
  <c r="D167" i="37" s="1"/>
  <c r="C178" i="34"/>
  <c r="E192" i="33"/>
  <c r="D192" i="37" s="1"/>
  <c r="C203" i="34"/>
  <c r="C95" i="34"/>
  <c r="E84" i="33"/>
  <c r="D84" i="37" s="1"/>
  <c r="C27" i="34"/>
  <c r="E16" i="33"/>
  <c r="D16" i="37" s="1"/>
  <c r="I198" i="32"/>
  <c r="G164" i="32"/>
  <c r="I34" i="32"/>
  <c r="E86" i="33"/>
  <c r="D86" i="37" s="1"/>
  <c r="C97" i="34"/>
  <c r="C76" i="34"/>
  <c r="E65" i="33"/>
  <c r="D65" i="37" s="1"/>
  <c r="C83" i="34"/>
  <c r="E72" i="33"/>
  <c r="D72" i="37" s="1"/>
  <c r="E49" i="33"/>
  <c r="D49" i="37" s="1"/>
  <c r="C60" i="34"/>
  <c r="E107" i="33"/>
  <c r="D107" i="37" s="1"/>
  <c r="C118" i="34"/>
  <c r="E99" i="33"/>
  <c r="D99" i="37" s="1"/>
  <c r="C110" i="34"/>
  <c r="E115" i="33"/>
  <c r="D115" i="37" s="1"/>
  <c r="C126" i="34"/>
  <c r="I157" i="32"/>
  <c r="C142" i="34"/>
  <c r="E131" i="33"/>
  <c r="D131" i="37" s="1"/>
  <c r="E306" i="33"/>
  <c r="D306" i="37" s="1"/>
  <c r="C317" i="34"/>
  <c r="C296" i="34"/>
  <c r="E285" i="33"/>
  <c r="D285" i="37" s="1"/>
  <c r="C156" i="34"/>
  <c r="E145" i="33"/>
  <c r="D145" i="37" s="1"/>
  <c r="E154" i="33"/>
  <c r="D154" i="37" s="1"/>
  <c r="C165" i="34"/>
  <c r="C158" i="34"/>
  <c r="E147" i="33"/>
  <c r="D147" i="37" s="1"/>
  <c r="E91" i="33"/>
  <c r="D91" i="37" s="1"/>
  <c r="C102" i="34"/>
  <c r="C80" i="34"/>
  <c r="E69" i="33"/>
  <c r="D69" i="37" s="1"/>
  <c r="G91" i="32"/>
  <c r="G173" i="32"/>
  <c r="D105" i="9"/>
  <c r="I99" i="32"/>
  <c r="I109" i="32"/>
  <c r="I66" i="32"/>
  <c r="E123" i="33"/>
  <c r="D123" i="37" s="1"/>
  <c r="C134" i="34"/>
  <c r="I121" i="32"/>
  <c r="C318" i="34"/>
  <c r="E307" i="33"/>
  <c r="D307" i="37" s="1"/>
  <c r="C302" i="34"/>
  <c r="E291" i="33"/>
  <c r="D291" i="37" s="1"/>
  <c r="E259" i="33"/>
  <c r="D259" i="37" s="1"/>
  <c r="C270" i="34"/>
  <c r="C260" i="34"/>
  <c r="E249" i="33"/>
  <c r="D249" i="37" s="1"/>
  <c r="C268" i="34"/>
  <c r="E257" i="33"/>
  <c r="D257" i="37" s="1"/>
  <c r="C125" i="34"/>
  <c r="E114" i="33"/>
  <c r="D114" i="37" s="1"/>
  <c r="D191" i="9"/>
  <c r="I185" i="32"/>
  <c r="C63" i="34"/>
  <c r="E52" i="33"/>
  <c r="D52" i="37" s="1"/>
  <c r="C279" i="39"/>
  <c r="C279" i="12"/>
  <c r="F279" i="32"/>
  <c r="C279" i="33"/>
  <c r="D215" i="9"/>
  <c r="I209" i="32"/>
  <c r="I39" i="32"/>
  <c r="D45" i="9"/>
  <c r="E46" i="33"/>
  <c r="D46" i="37" s="1"/>
  <c r="C57" i="34"/>
  <c r="I57" i="32"/>
  <c r="D63" i="9"/>
  <c r="E125" i="33"/>
  <c r="D125" i="37" s="1"/>
  <c r="C136" i="34"/>
  <c r="I290" i="32"/>
  <c r="D296" i="9"/>
  <c r="I120" i="32"/>
  <c r="D126" i="9"/>
  <c r="C26" i="34"/>
  <c r="E15" i="33"/>
  <c r="D15" i="37" s="1"/>
  <c r="D223" i="9"/>
  <c r="I217" i="32"/>
  <c r="C161" i="34"/>
  <c r="E150" i="33"/>
  <c r="D150" i="37" s="1"/>
  <c r="I229" i="32"/>
  <c r="D235" i="9"/>
  <c r="E194" i="33"/>
  <c r="D194" i="37" s="1"/>
  <c r="C205" i="34"/>
  <c r="D106" i="9"/>
  <c r="I306" i="32"/>
  <c r="D312" i="9"/>
  <c r="I41" i="32"/>
  <c r="D47" i="9"/>
  <c r="I294" i="32"/>
  <c r="D300" i="9"/>
  <c r="E209" i="33"/>
  <c r="D209" i="37" s="1"/>
  <c r="C220" i="34"/>
  <c r="E120" i="33"/>
  <c r="D120" i="37" s="1"/>
  <c r="C131" i="34"/>
  <c r="C120" i="34"/>
  <c r="E109" i="33"/>
  <c r="D109" i="37" s="1"/>
  <c r="E191" i="33"/>
  <c r="D191" i="37" s="1"/>
  <c r="C202" i="34"/>
  <c r="C217" i="34"/>
  <c r="E206" i="33"/>
  <c r="D206" i="37" s="1"/>
  <c r="E210" i="33"/>
  <c r="D210" i="37" s="1"/>
  <c r="C221" i="34"/>
  <c r="E243" i="33"/>
  <c r="D243" i="37" s="1"/>
  <c r="C254" i="34"/>
  <c r="I87" i="32"/>
  <c r="D93" i="9"/>
  <c r="C284" i="34"/>
  <c r="E273" i="33"/>
  <c r="D273" i="37" s="1"/>
  <c r="C201" i="34"/>
  <c r="E190" i="33"/>
  <c r="D190" i="37" s="1"/>
  <c r="E143" i="33"/>
  <c r="D143" i="37" s="1"/>
  <c r="C154" i="34"/>
  <c r="E112" i="33"/>
  <c r="D112" i="37" s="1"/>
  <c r="C123" i="34"/>
  <c r="D97" i="9"/>
  <c r="I91" i="32"/>
  <c r="I214" i="32"/>
  <c r="C321" i="34"/>
  <c r="E310" i="33"/>
  <c r="D310" i="37" s="1"/>
  <c r="E242" i="33"/>
  <c r="D242" i="37" s="1"/>
  <c r="C253" i="34"/>
  <c r="I173" i="32"/>
  <c r="D179" i="9"/>
  <c r="E140" i="33"/>
  <c r="D140" i="37" s="1"/>
  <c r="C151" i="34"/>
  <c r="C90" i="34"/>
  <c r="E79" i="33"/>
  <c r="D79" i="37" s="1"/>
  <c r="G99" i="32"/>
  <c r="C313" i="34"/>
  <c r="E302" i="33"/>
  <c r="D302" i="37" s="1"/>
  <c r="E311" i="33"/>
  <c r="D311" i="37" s="1"/>
  <c r="C322" i="34"/>
  <c r="I216" i="32"/>
  <c r="G216" i="32"/>
  <c r="C99" i="34"/>
  <c r="E88" i="33"/>
  <c r="D88" i="37" s="1"/>
  <c r="E45" i="33"/>
  <c r="D45" i="37" s="1"/>
  <c r="C56" i="34"/>
  <c r="C224" i="34"/>
  <c r="E213" i="33"/>
  <c r="D213" i="37" s="1"/>
  <c r="G165" i="32"/>
  <c r="G65" i="32"/>
  <c r="E312" i="33"/>
  <c r="D312" i="37" s="1"/>
  <c r="C323" i="34"/>
  <c r="E303" i="33"/>
  <c r="D303" i="37" s="1"/>
  <c r="C314" i="34"/>
  <c r="E220" i="33"/>
  <c r="D220" i="37" s="1"/>
  <c r="C231" i="34"/>
  <c r="E236" i="33"/>
  <c r="D236" i="37" s="1"/>
  <c r="C247" i="34"/>
  <c r="E304" i="33"/>
  <c r="D304" i="37" s="1"/>
  <c r="C315" i="34"/>
  <c r="E199" i="33"/>
  <c r="D199" i="37" s="1"/>
  <c r="C210" i="34"/>
  <c r="E267" i="33"/>
  <c r="D267" i="37" s="1"/>
  <c r="C278" i="34"/>
  <c r="E186" i="33"/>
  <c r="D186" i="37" s="1"/>
  <c r="C197" i="34"/>
  <c r="C164" i="34"/>
  <c r="E153" i="33"/>
  <c r="D153" i="37" s="1"/>
  <c r="E110" i="33"/>
  <c r="D110" i="37" s="1"/>
  <c r="C121" i="34"/>
  <c r="C181" i="34"/>
  <c r="E170" i="33"/>
  <c r="D170" i="37" s="1"/>
  <c r="E155" i="33"/>
  <c r="D155" i="37" s="1"/>
  <c r="C166" i="34"/>
  <c r="C35" i="34"/>
  <c r="E24" i="33"/>
  <c r="D24" i="37" s="1"/>
  <c r="C103" i="34"/>
  <c r="E92" i="33"/>
  <c r="D92" i="37" s="1"/>
  <c r="E37" i="33"/>
  <c r="D37" i="37" s="1"/>
  <c r="C48" i="34"/>
  <c r="C127" i="34"/>
  <c r="E116" i="33"/>
  <c r="D116" i="37" s="1"/>
  <c r="C96" i="39"/>
  <c r="C96" i="12"/>
  <c r="C96" i="33"/>
  <c r="F96" i="32"/>
  <c r="E54" i="33"/>
  <c r="D54" i="37" s="1"/>
  <c r="C65" i="34"/>
  <c r="D307" i="9"/>
  <c r="I301" i="32"/>
  <c r="D176" i="9"/>
  <c r="I170" i="32"/>
  <c r="E74" i="33"/>
  <c r="D74" i="37" s="1"/>
  <c r="C85" i="34"/>
  <c r="I47" i="32"/>
  <c r="D53" i="9"/>
  <c r="I310" i="32"/>
  <c r="D316" i="9"/>
  <c r="I289" i="32"/>
  <c r="D295" i="9"/>
  <c r="I19" i="32"/>
  <c r="D25" i="9"/>
  <c r="G200" i="32"/>
  <c r="C97" i="39"/>
  <c r="C97" i="12"/>
  <c r="C97" i="33"/>
  <c r="F97" i="32"/>
  <c r="D203" i="9"/>
  <c r="I197" i="32"/>
  <c r="I249" i="32"/>
  <c r="D255" i="9"/>
  <c r="C304" i="34"/>
  <c r="E293" i="33"/>
  <c r="D293" i="37" s="1"/>
  <c r="C289" i="34"/>
  <c r="E278" i="33"/>
  <c r="D278" i="37" s="1"/>
  <c r="C216" i="34"/>
  <c r="E205" i="33"/>
  <c r="D205" i="37" s="1"/>
  <c r="E217" i="33"/>
  <c r="D217" i="37" s="1"/>
  <c r="C228" i="34"/>
  <c r="E207" i="33"/>
  <c r="D207" i="37" s="1"/>
  <c r="C218" i="34"/>
  <c r="E251" i="33"/>
  <c r="D251" i="37" s="1"/>
  <c r="C262" i="34"/>
  <c r="C192" i="34"/>
  <c r="E181" i="33"/>
  <c r="D181" i="37" s="1"/>
  <c r="E148" i="33"/>
  <c r="D148" i="37" s="1"/>
  <c r="C159" i="34"/>
  <c r="E256" i="33"/>
  <c r="D256" i="37" s="1"/>
  <c r="C267" i="34"/>
  <c r="C257" i="34"/>
  <c r="E246" i="33"/>
  <c r="D246" i="37" s="1"/>
  <c r="C98" i="34"/>
  <c r="E87" i="33"/>
  <c r="D87" i="37" s="1"/>
  <c r="C22" i="34"/>
  <c r="E11" i="33"/>
  <c r="D11" i="37" s="1"/>
  <c r="C225" i="34"/>
  <c r="E214" i="33"/>
  <c r="D214" i="37" s="1"/>
  <c r="C232" i="34"/>
  <c r="E221" i="33"/>
  <c r="D221" i="37" s="1"/>
  <c r="I174" i="32"/>
  <c r="D180" i="9"/>
  <c r="E98" i="33"/>
  <c r="D98" i="37" s="1"/>
  <c r="C109" i="34"/>
  <c r="E30" i="33"/>
  <c r="D30" i="37" s="1"/>
  <c r="C41" i="34"/>
  <c r="E62" i="33"/>
  <c r="D62" i="37" s="1"/>
  <c r="C73" i="34"/>
  <c r="E90" i="33"/>
  <c r="D90" i="37" s="1"/>
  <c r="C101" i="34"/>
  <c r="E232" i="33"/>
  <c r="D232" i="37" s="1"/>
  <c r="C243" i="34"/>
  <c r="E202" i="33"/>
  <c r="D202" i="37" s="1"/>
  <c r="C213" i="34"/>
  <c r="E225" i="33"/>
  <c r="D225" i="37" s="1"/>
  <c r="C236" i="34"/>
  <c r="C249" i="34"/>
  <c r="E238" i="33"/>
  <c r="D238" i="37" s="1"/>
  <c r="C237" i="34"/>
  <c r="E226" i="33"/>
  <c r="D226" i="37" s="1"/>
  <c r="E216" i="33"/>
  <c r="D216" i="37" s="1"/>
  <c r="C227" i="34"/>
  <c r="E106" i="33"/>
  <c r="D106" i="37" s="1"/>
  <c r="C117" i="34"/>
  <c r="C153" i="34"/>
  <c r="E142" i="33"/>
  <c r="D142" i="37" s="1"/>
  <c r="E146" i="33"/>
  <c r="D146" i="37" s="1"/>
  <c r="C157" i="34"/>
  <c r="E144" i="33"/>
  <c r="D144" i="37" s="1"/>
  <c r="C155" i="34"/>
  <c r="C75" i="34"/>
  <c r="E64" i="33"/>
  <c r="D64" i="37" s="1"/>
  <c r="I251" i="32"/>
  <c r="I110" i="32"/>
  <c r="D116" i="9"/>
  <c r="E9" i="33"/>
  <c r="D9" i="37" s="1"/>
  <c r="C20" i="34"/>
  <c r="C129" i="34"/>
  <c r="E118" i="33"/>
  <c r="D118" i="37" s="1"/>
  <c r="C66" i="34"/>
  <c r="E55" i="33"/>
  <c r="D55" i="37" s="1"/>
  <c r="C105" i="39"/>
  <c r="C105" i="12"/>
  <c r="C105" i="33"/>
  <c r="F105" i="32"/>
  <c r="C176" i="39"/>
  <c r="C176" i="12"/>
  <c r="C176" i="33"/>
  <c r="F176" i="32"/>
  <c r="C265" i="39"/>
  <c r="C265" i="12"/>
  <c r="C265" i="33"/>
  <c r="F265" i="32"/>
  <c r="G265" i="32" s="1"/>
  <c r="C100" i="39"/>
  <c r="C100" i="12"/>
  <c r="C100" i="33"/>
  <c r="F100" i="32"/>
  <c r="I100" i="32" s="1"/>
  <c r="D275" i="9"/>
  <c r="I269" i="32"/>
  <c r="I298" i="32"/>
  <c r="D304" i="9"/>
  <c r="E261" i="33"/>
  <c r="D261" i="37" s="1"/>
  <c r="C272" i="34"/>
  <c r="E253" i="33"/>
  <c r="D253" i="37" s="1"/>
  <c r="C264" i="34"/>
  <c r="C145" i="34"/>
  <c r="E134" i="33"/>
  <c r="D134" i="37" s="1"/>
  <c r="I257" i="32"/>
  <c r="D263" i="9"/>
  <c r="I104" i="32"/>
  <c r="D110" i="9"/>
  <c r="E66" i="33"/>
  <c r="D66" i="37" s="1"/>
  <c r="C77" i="34"/>
  <c r="I139" i="32"/>
  <c r="D145" i="9"/>
  <c r="I297" i="32"/>
  <c r="D303" i="9"/>
  <c r="G166" i="32"/>
  <c r="E29" i="33"/>
  <c r="D29" i="37" s="1"/>
  <c r="C40" i="34"/>
  <c r="I224" i="32"/>
  <c r="G224" i="32"/>
  <c r="I247" i="32"/>
  <c r="C312" i="34"/>
  <c r="E301" i="33"/>
  <c r="D301" i="37" s="1"/>
  <c r="C292" i="34"/>
  <c r="E281" i="33"/>
  <c r="D281" i="37" s="1"/>
  <c r="C258" i="34"/>
  <c r="E247" i="33"/>
  <c r="D247" i="37" s="1"/>
  <c r="I302" i="32"/>
  <c r="D308" i="9"/>
  <c r="G181" i="32"/>
  <c r="C310" i="34"/>
  <c r="E299" i="33"/>
  <c r="D299" i="37" s="1"/>
  <c r="E248" i="33"/>
  <c r="D248" i="37" s="1"/>
  <c r="C259" i="34"/>
  <c r="C82" i="34"/>
  <c r="E71" i="33"/>
  <c r="D71" i="37" s="1"/>
  <c r="C47" i="34"/>
  <c r="E36" i="33"/>
  <c r="D36" i="37" s="1"/>
  <c r="C193" i="34"/>
  <c r="E182" i="33"/>
  <c r="D182" i="37" s="1"/>
  <c r="E14" i="33"/>
  <c r="D14" i="37" s="1"/>
  <c r="C25" i="34"/>
  <c r="C74" i="34"/>
  <c r="E63" i="33"/>
  <c r="D63" i="37" s="1"/>
  <c r="C38" i="34"/>
  <c r="E27" i="33"/>
  <c r="D27" i="37" s="1"/>
  <c r="E73" i="33"/>
  <c r="D73" i="37" s="1"/>
  <c r="C84" i="34"/>
  <c r="G107" i="32"/>
  <c r="C135" i="34"/>
  <c r="E124" i="33"/>
  <c r="D124" i="37" s="1"/>
  <c r="D280" i="9"/>
  <c r="C198" i="34"/>
  <c r="E187" i="33"/>
  <c r="D187" i="37" s="1"/>
  <c r="E138" i="33"/>
  <c r="D138" i="37" s="1"/>
  <c r="C149" i="34"/>
  <c r="C133" i="34"/>
  <c r="E122" i="33"/>
  <c r="D122" i="37" s="1"/>
  <c r="E57" i="33"/>
  <c r="D57" i="37" s="1"/>
  <c r="C68" i="34"/>
  <c r="C58" i="34"/>
  <c r="E47" i="33"/>
  <c r="D47" i="37" s="1"/>
  <c r="C316" i="34"/>
  <c r="E305" i="33"/>
  <c r="D305" i="37" s="1"/>
  <c r="E204" i="33"/>
  <c r="D204" i="37" s="1"/>
  <c r="C215" i="34"/>
  <c r="B59" i="40"/>
  <c r="I284" i="32" l="1"/>
  <c r="I300" i="32"/>
  <c r="G100" i="32"/>
  <c r="I83" i="32"/>
  <c r="G172" i="32"/>
  <c r="I262" i="32"/>
  <c r="G272" i="32"/>
  <c r="E83" i="33"/>
  <c r="D83" i="37" s="1"/>
  <c r="C94" i="34"/>
  <c r="G184" i="32"/>
  <c r="E179" i="33"/>
  <c r="D179" i="37" s="1"/>
  <c r="C190" i="34"/>
  <c r="E180" i="33"/>
  <c r="D180" i="37" s="1"/>
  <c r="C191" i="34"/>
  <c r="C104" i="34"/>
  <c r="E93" i="33"/>
  <c r="D93" i="37" s="1"/>
  <c r="I308" i="32"/>
  <c r="G308" i="32"/>
  <c r="E274" i="33"/>
  <c r="D274" i="37" s="1"/>
  <c r="C285" i="34"/>
  <c r="G108" i="32"/>
  <c r="I108" i="32"/>
  <c r="G271" i="32"/>
  <c r="I271" i="32"/>
  <c r="G188" i="32"/>
  <c r="C106" i="34"/>
  <c r="E95" i="33"/>
  <c r="D95" i="37" s="1"/>
  <c r="E183" i="33"/>
  <c r="D183" i="37" s="1"/>
  <c r="C194" i="34"/>
  <c r="G42" i="32"/>
  <c r="I42" i="32"/>
  <c r="C311" i="34"/>
  <c r="E300" i="33"/>
  <c r="D300" i="37" s="1"/>
  <c r="E280" i="33"/>
  <c r="D280" i="37" s="1"/>
  <c r="C291" i="34"/>
  <c r="C189" i="34"/>
  <c r="E178" i="33"/>
  <c r="D178" i="37" s="1"/>
  <c r="E200" i="33"/>
  <c r="D200" i="37" s="1"/>
  <c r="C211" i="34"/>
  <c r="C319" i="34"/>
  <c r="E308" i="33"/>
  <c r="D308" i="37" s="1"/>
  <c r="C119" i="34"/>
  <c r="E108" i="33"/>
  <c r="D108" i="37" s="1"/>
  <c r="C282" i="34"/>
  <c r="E271" i="33"/>
  <c r="D271" i="37" s="1"/>
  <c r="E42" i="33"/>
  <c r="D42" i="37" s="1"/>
  <c r="C53" i="34"/>
  <c r="E176" i="33"/>
  <c r="D176" i="37" s="1"/>
  <c r="C187" i="34"/>
  <c r="I268" i="32"/>
  <c r="G176" i="32"/>
  <c r="I176" i="32"/>
  <c r="C276" i="34"/>
  <c r="E265" i="33"/>
  <c r="D265" i="37" s="1"/>
  <c r="I97" i="32"/>
  <c r="G97" i="32"/>
  <c r="G96" i="32"/>
  <c r="I96" i="32"/>
  <c r="G89" i="32"/>
  <c r="I89" i="32"/>
  <c r="I264" i="32"/>
  <c r="G264" i="32"/>
  <c r="E272" i="33"/>
  <c r="D272" i="37" s="1"/>
  <c r="C283" i="34"/>
  <c r="I292" i="32"/>
  <c r="I113" i="32"/>
  <c r="G113" i="32"/>
  <c r="G178" i="32"/>
  <c r="I196" i="32"/>
  <c r="G196" i="32"/>
  <c r="I274" i="32"/>
  <c r="E97" i="33"/>
  <c r="D97" i="37" s="1"/>
  <c r="C108" i="34"/>
  <c r="E96" i="33"/>
  <c r="D96" i="37" s="1"/>
  <c r="C107" i="34"/>
  <c r="C290" i="34"/>
  <c r="E279" i="33"/>
  <c r="D279" i="37" s="1"/>
  <c r="E89" i="33"/>
  <c r="D89" i="37" s="1"/>
  <c r="C100" i="34"/>
  <c r="E264" i="33"/>
  <c r="D264" i="37" s="1"/>
  <c r="C275" i="34"/>
  <c r="C124" i="34"/>
  <c r="E113" i="33"/>
  <c r="D113" i="37" s="1"/>
  <c r="E104" i="33"/>
  <c r="D104" i="37" s="1"/>
  <c r="C115" i="34"/>
  <c r="E196" i="33"/>
  <c r="D196" i="37" s="1"/>
  <c r="C207" i="34"/>
  <c r="E172" i="33"/>
  <c r="D172" i="37" s="1"/>
  <c r="C183" i="34"/>
  <c r="G279" i="32"/>
  <c r="I279" i="32"/>
  <c r="E188" i="33"/>
  <c r="D188" i="37" s="1"/>
  <c r="C199" i="34"/>
  <c r="C279" i="34"/>
  <c r="E268" i="33"/>
  <c r="D268" i="37" s="1"/>
  <c r="C303" i="34"/>
  <c r="E292" i="33"/>
  <c r="D292" i="37" s="1"/>
  <c r="E284" i="33"/>
  <c r="D284" i="37" s="1"/>
  <c r="C295" i="34"/>
  <c r="E184" i="33"/>
  <c r="D184" i="37" s="1"/>
  <c r="C195" i="34"/>
  <c r="I105" i="32"/>
  <c r="G105" i="32"/>
  <c r="C116" i="34"/>
  <c r="E105" i="33"/>
  <c r="D105" i="37" s="1"/>
  <c r="I265" i="32"/>
  <c r="I180" i="32"/>
  <c r="C111" i="34"/>
  <c r="E100" i="33"/>
  <c r="D100" i="37" s="1"/>
  <c r="G179" i="32"/>
  <c r="I179" i="32"/>
  <c r="C273" i="34"/>
  <c r="E262" i="33"/>
  <c r="D262" i="37" s="1"/>
  <c r="G183" i="32"/>
  <c r="I183" i="32"/>
  <c r="I280" i="32"/>
  <c r="G280" i="32"/>
  <c r="P95" i="42"/>
  <c r="V95" i="19" s="1"/>
  <c r="Y95" i="19" s="1"/>
  <c r="C93" i="32" s="1"/>
  <c r="H93" i="32" l="1"/>
  <c r="E93" i="32"/>
  <c r="G93" i="32" s="1"/>
  <c r="C3" i="13"/>
  <c r="I93" i="32" l="1"/>
  <c r="D99" i="9"/>
  <c r="H7" i="13"/>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177" i="13"/>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6" i="13" l="1"/>
  <c r="G316" i="42" l="1"/>
  <c r="H316" i="42"/>
  <c r="J316" i="42"/>
  <c r="K316" i="42"/>
  <c r="L316" i="42"/>
  <c r="M316" i="42"/>
  <c r="D316" i="42"/>
  <c r="E316" i="42"/>
  <c r="F316" i="42"/>
  <c r="C316" i="42"/>
  <c r="B67" i="40" l="1"/>
  <c r="H67" i="40"/>
  <c r="G6" i="11" l="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62" i="11"/>
  <c r="G263" i="11"/>
  <c r="G264" i="11"/>
  <c r="G265" i="11"/>
  <c r="G266" i="11"/>
  <c r="G267" i="11"/>
  <c r="G268" i="11"/>
  <c r="G269" i="11"/>
  <c r="G270" i="11"/>
  <c r="G271" i="11"/>
  <c r="G272" i="11"/>
  <c r="G273" i="11"/>
  <c r="G274" i="11"/>
  <c r="G275" i="11"/>
  <c r="G276" i="11"/>
  <c r="G277" i="11"/>
  <c r="G278" i="11"/>
  <c r="G279" i="11"/>
  <c r="G280" i="11"/>
  <c r="G281" i="11"/>
  <c r="G282" i="11"/>
  <c r="G283" i="11"/>
  <c r="G284" i="11"/>
  <c r="G285" i="11"/>
  <c r="G286" i="11"/>
  <c r="G287" i="11"/>
  <c r="G288" i="11"/>
  <c r="G289" i="11"/>
  <c r="G290" i="11"/>
  <c r="G291" i="11"/>
  <c r="G292" i="11"/>
  <c r="G293" i="11"/>
  <c r="G294" i="11"/>
  <c r="G295" i="11"/>
  <c r="G296" i="11"/>
  <c r="G297" i="11"/>
  <c r="G298" i="11"/>
  <c r="G299" i="11"/>
  <c r="G300" i="11"/>
  <c r="G301" i="11"/>
  <c r="G302" i="11"/>
  <c r="G303" i="11"/>
  <c r="G304" i="11"/>
  <c r="G305" i="11"/>
  <c r="G306" i="11"/>
  <c r="G307" i="11"/>
  <c r="G308" i="11"/>
  <c r="G309" i="11"/>
  <c r="G310" i="11"/>
  <c r="G311" i="11"/>
  <c r="G312" i="11"/>
  <c r="G313" i="11"/>
  <c r="H66" i="40" l="1"/>
  <c r="J7" i="19" l="1"/>
  <c r="H4" i="33"/>
  <c r="I4" i="33"/>
  <c r="J4" i="33"/>
  <c r="K4" i="33"/>
  <c r="H3" i="33"/>
  <c r="I3" i="33"/>
  <c r="J3" i="33"/>
  <c r="K3" i="33"/>
  <c r="C315" i="13" l="1"/>
  <c r="T170" i="13" l="1"/>
  <c r="T219" i="13"/>
  <c r="T244" i="13"/>
  <c r="N170" i="42" l="1"/>
  <c r="G5" i="37" l="1"/>
  <c r="S7" i="19"/>
  <c r="U6" i="42" l="1"/>
  <c r="V6" i="42"/>
  <c r="W316" i="42" l="1"/>
  <c r="X316" i="42"/>
  <c r="Y316" i="42"/>
  <c r="A243" i="49" l="1"/>
  <c r="A244" i="49"/>
  <c r="A245" i="49"/>
  <c r="A246" i="49"/>
  <c r="A247" i="49"/>
  <c r="A244" i="13" l="1"/>
  <c r="B244" i="13"/>
  <c r="B244" i="49"/>
  <c r="G5" i="11" l="1"/>
  <c r="A6" i="11"/>
  <c r="B6" i="11"/>
  <c r="A7" i="11"/>
  <c r="B7" i="11"/>
  <c r="A8" i="11"/>
  <c r="B8" i="11"/>
  <c r="A9" i="11"/>
  <c r="B9" i="11"/>
  <c r="A10" i="11"/>
  <c r="B10" i="11"/>
  <c r="A11" i="11"/>
  <c r="B11" i="11"/>
  <c r="A12" i="11"/>
  <c r="B12" i="11"/>
  <c r="A13" i="11"/>
  <c r="B13" i="11"/>
  <c r="A14" i="11"/>
  <c r="B14" i="11"/>
  <c r="A15" i="11"/>
  <c r="B15" i="11"/>
  <c r="A16" i="11"/>
  <c r="B16" i="11"/>
  <c r="A17" i="11"/>
  <c r="B17" i="11"/>
  <c r="A18" i="11"/>
  <c r="B18" i="11"/>
  <c r="A19" i="11"/>
  <c r="B19" i="11"/>
  <c r="A20" i="11"/>
  <c r="B20" i="11"/>
  <c r="A21" i="11"/>
  <c r="B21" i="11"/>
  <c r="A22" i="11"/>
  <c r="B22" i="11"/>
  <c r="A23" i="11"/>
  <c r="B23" i="11"/>
  <c r="A24" i="11"/>
  <c r="B24" i="11"/>
  <c r="A25" i="11"/>
  <c r="B25" i="11"/>
  <c r="A26" i="11"/>
  <c r="B26" i="11"/>
  <c r="A27" i="11"/>
  <c r="B27" i="11"/>
  <c r="A28" i="11"/>
  <c r="B28" i="11"/>
  <c r="A29" i="11"/>
  <c r="B29" i="11"/>
  <c r="A30" i="11"/>
  <c r="B30" i="11"/>
  <c r="A31" i="11"/>
  <c r="B31" i="11"/>
  <c r="A32" i="11"/>
  <c r="B32" i="11"/>
  <c r="A33" i="11"/>
  <c r="B33" i="11"/>
  <c r="A34" i="11"/>
  <c r="B34" i="11"/>
  <c r="A35" i="11"/>
  <c r="B35" i="11"/>
  <c r="A36" i="11"/>
  <c r="B36" i="11"/>
  <c r="A37" i="11"/>
  <c r="B37" i="11"/>
  <c r="A38" i="11"/>
  <c r="B38" i="11"/>
  <c r="A39" i="11"/>
  <c r="B39" i="11"/>
  <c r="A40" i="11"/>
  <c r="B40" i="11"/>
  <c r="A41" i="11"/>
  <c r="B41" i="11"/>
  <c r="A42" i="11"/>
  <c r="B42" i="11"/>
  <c r="A43" i="11"/>
  <c r="B43" i="11"/>
  <c r="A44" i="11"/>
  <c r="B44" i="11"/>
  <c r="A45" i="11"/>
  <c r="B45" i="11"/>
  <c r="A46" i="11"/>
  <c r="B46" i="11"/>
  <c r="A47" i="11"/>
  <c r="B47" i="11"/>
  <c r="A48" i="11"/>
  <c r="B48" i="11"/>
  <c r="A49" i="11"/>
  <c r="B49" i="11"/>
  <c r="A50" i="11"/>
  <c r="B50" i="11"/>
  <c r="A51" i="11"/>
  <c r="B51" i="11"/>
  <c r="A52" i="11"/>
  <c r="B52" i="11"/>
  <c r="A53" i="11"/>
  <c r="B53" i="11"/>
  <c r="A54" i="11"/>
  <c r="B54" i="11"/>
  <c r="A55" i="11"/>
  <c r="B55" i="11"/>
  <c r="A56" i="11"/>
  <c r="B56" i="11"/>
  <c r="A57" i="11"/>
  <c r="B57" i="11"/>
  <c r="A58" i="11"/>
  <c r="B58" i="11"/>
  <c r="A59" i="11"/>
  <c r="B59" i="11"/>
  <c r="A60" i="11"/>
  <c r="B60" i="11"/>
  <c r="A61" i="11"/>
  <c r="B61" i="11"/>
  <c r="A62" i="11"/>
  <c r="B62" i="11"/>
  <c r="A63" i="11"/>
  <c r="B63" i="11"/>
  <c r="A64" i="11"/>
  <c r="B64" i="11"/>
  <c r="A65" i="11"/>
  <c r="B65" i="11"/>
  <c r="A66" i="11"/>
  <c r="B66" i="11"/>
  <c r="A67" i="11"/>
  <c r="B67" i="11"/>
  <c r="A68" i="11"/>
  <c r="B68" i="11"/>
  <c r="A69" i="11"/>
  <c r="B69" i="11"/>
  <c r="A70" i="11"/>
  <c r="B70" i="11"/>
  <c r="A71" i="11"/>
  <c r="B71" i="11"/>
  <c r="A72" i="11"/>
  <c r="B72" i="11"/>
  <c r="A73" i="11"/>
  <c r="B73" i="11"/>
  <c r="A74" i="11"/>
  <c r="B74" i="11"/>
  <c r="A75" i="11"/>
  <c r="B75" i="11"/>
  <c r="A76" i="11"/>
  <c r="B76" i="11"/>
  <c r="A77" i="11"/>
  <c r="B77" i="11"/>
  <c r="A78" i="11"/>
  <c r="B78" i="11"/>
  <c r="A79" i="11"/>
  <c r="B79" i="11"/>
  <c r="A80" i="11"/>
  <c r="B80" i="11"/>
  <c r="A81" i="11"/>
  <c r="B81" i="11"/>
  <c r="A82" i="11"/>
  <c r="B82" i="11"/>
  <c r="A83" i="11"/>
  <c r="B83" i="11"/>
  <c r="A84" i="11"/>
  <c r="B84" i="11"/>
  <c r="A85" i="11"/>
  <c r="B85" i="11"/>
  <c r="A86" i="11"/>
  <c r="B86" i="11"/>
  <c r="A87" i="11"/>
  <c r="B87" i="11"/>
  <c r="A88" i="11"/>
  <c r="B88" i="11"/>
  <c r="A89" i="11"/>
  <c r="B89" i="11"/>
  <c r="A90" i="11"/>
  <c r="B90" i="11"/>
  <c r="A91" i="11"/>
  <c r="B91" i="11"/>
  <c r="A92" i="11"/>
  <c r="B92" i="11"/>
  <c r="A93" i="11"/>
  <c r="B93" i="11"/>
  <c r="A94" i="11"/>
  <c r="B94" i="11"/>
  <c r="A95" i="11"/>
  <c r="B95" i="11"/>
  <c r="A96" i="11"/>
  <c r="B96" i="11"/>
  <c r="A97" i="11"/>
  <c r="B97" i="11"/>
  <c r="A98" i="11"/>
  <c r="B98" i="11"/>
  <c r="A99" i="11"/>
  <c r="B99" i="11"/>
  <c r="A100" i="11"/>
  <c r="B100" i="11"/>
  <c r="A101" i="11"/>
  <c r="B101" i="11"/>
  <c r="A102" i="11"/>
  <c r="B102" i="11"/>
  <c r="A103" i="11"/>
  <c r="B103" i="11"/>
  <c r="A104" i="11"/>
  <c r="B104" i="11"/>
  <c r="A105" i="11"/>
  <c r="B105" i="11"/>
  <c r="A106" i="11"/>
  <c r="B106" i="11"/>
  <c r="A107" i="11"/>
  <c r="B107" i="11"/>
  <c r="A108" i="11"/>
  <c r="B108" i="11"/>
  <c r="A109" i="11"/>
  <c r="B109" i="11"/>
  <c r="A110" i="11"/>
  <c r="B110" i="11"/>
  <c r="A111" i="11"/>
  <c r="B111" i="11"/>
  <c r="A112" i="11"/>
  <c r="B112" i="11"/>
  <c r="A113" i="11"/>
  <c r="B113" i="11"/>
  <c r="A114" i="11"/>
  <c r="B114" i="11"/>
  <c r="A115" i="11"/>
  <c r="B115" i="11"/>
  <c r="A116" i="11"/>
  <c r="B116" i="11"/>
  <c r="A117" i="11"/>
  <c r="B117" i="11"/>
  <c r="A118" i="11"/>
  <c r="B118" i="11"/>
  <c r="A119" i="11"/>
  <c r="B119" i="11"/>
  <c r="A120" i="11"/>
  <c r="B120" i="11"/>
  <c r="A121" i="11"/>
  <c r="B121" i="11"/>
  <c r="A122" i="11"/>
  <c r="B122" i="11"/>
  <c r="A123" i="11"/>
  <c r="B123" i="11"/>
  <c r="A124" i="11"/>
  <c r="B124" i="11"/>
  <c r="A125" i="11"/>
  <c r="B125" i="11"/>
  <c r="A126" i="11"/>
  <c r="B126" i="11"/>
  <c r="A127" i="11"/>
  <c r="B127" i="11"/>
  <c r="A128" i="11"/>
  <c r="B128" i="11"/>
  <c r="A129" i="11"/>
  <c r="B129" i="11"/>
  <c r="A130" i="11"/>
  <c r="B130" i="11"/>
  <c r="A131" i="11"/>
  <c r="B131" i="11"/>
  <c r="A132" i="11"/>
  <c r="B132" i="11"/>
  <c r="A133" i="11"/>
  <c r="B133" i="11"/>
  <c r="A134" i="11"/>
  <c r="B134" i="11"/>
  <c r="A135" i="11"/>
  <c r="B135" i="11"/>
  <c r="A136" i="11"/>
  <c r="B136" i="11"/>
  <c r="A137" i="11"/>
  <c r="B137" i="11"/>
  <c r="A138" i="11"/>
  <c r="B138" i="11"/>
  <c r="A139" i="11"/>
  <c r="B139" i="11"/>
  <c r="A140" i="11"/>
  <c r="B140" i="11"/>
  <c r="A141" i="11"/>
  <c r="B141" i="11"/>
  <c r="A142" i="11"/>
  <c r="B142" i="11"/>
  <c r="A143" i="11"/>
  <c r="B143" i="11"/>
  <c r="A144" i="11"/>
  <c r="B144" i="11"/>
  <c r="A145" i="11"/>
  <c r="B145" i="11"/>
  <c r="A146" i="11"/>
  <c r="B146" i="11"/>
  <c r="A147" i="11"/>
  <c r="B147" i="11"/>
  <c r="A148" i="11"/>
  <c r="B148" i="11"/>
  <c r="A149" i="11"/>
  <c r="B149" i="11"/>
  <c r="A150" i="11"/>
  <c r="B150" i="11"/>
  <c r="A151" i="11"/>
  <c r="B151" i="11"/>
  <c r="A152" i="11"/>
  <c r="B152" i="11"/>
  <c r="A153" i="11"/>
  <c r="B153" i="11"/>
  <c r="A154" i="11"/>
  <c r="B154" i="11"/>
  <c r="A155" i="11"/>
  <c r="B155" i="11"/>
  <c r="A156" i="11"/>
  <c r="B156" i="11"/>
  <c r="A157" i="11"/>
  <c r="B157" i="11"/>
  <c r="A158" i="11"/>
  <c r="B158" i="11"/>
  <c r="A159" i="11"/>
  <c r="B159" i="11"/>
  <c r="A160" i="11"/>
  <c r="B160" i="11"/>
  <c r="A161" i="11"/>
  <c r="B161" i="11"/>
  <c r="A162" i="11"/>
  <c r="B162" i="11"/>
  <c r="A163" i="11"/>
  <c r="B163" i="11"/>
  <c r="A164" i="11"/>
  <c r="B164" i="11"/>
  <c r="A165" i="11"/>
  <c r="B165" i="11"/>
  <c r="A166" i="11"/>
  <c r="B166" i="11"/>
  <c r="A167" i="11"/>
  <c r="B167" i="11"/>
  <c r="A168" i="11"/>
  <c r="B168" i="11"/>
  <c r="A169" i="11"/>
  <c r="B169" i="11"/>
  <c r="A170" i="11"/>
  <c r="B170" i="11"/>
  <c r="A171" i="11"/>
  <c r="B171" i="11"/>
  <c r="A172" i="11"/>
  <c r="B172" i="11"/>
  <c r="A173" i="11"/>
  <c r="B173" i="11"/>
  <c r="A174" i="11"/>
  <c r="B174" i="11"/>
  <c r="A175" i="11"/>
  <c r="B175" i="11"/>
  <c r="A176" i="11"/>
  <c r="B176" i="11"/>
  <c r="A177" i="11"/>
  <c r="B177" i="11"/>
  <c r="A178" i="11"/>
  <c r="B178" i="11"/>
  <c r="A179" i="11"/>
  <c r="B179" i="11"/>
  <c r="A180" i="11"/>
  <c r="B180" i="11"/>
  <c r="A181" i="11"/>
  <c r="B181" i="11"/>
  <c r="A182" i="11"/>
  <c r="B182" i="11"/>
  <c r="A183" i="11"/>
  <c r="B183" i="11"/>
  <c r="A184" i="11"/>
  <c r="B184" i="11"/>
  <c r="A185" i="11"/>
  <c r="B185" i="11"/>
  <c r="A186" i="11"/>
  <c r="B186" i="11"/>
  <c r="A187" i="11"/>
  <c r="B187" i="11"/>
  <c r="A188" i="11"/>
  <c r="B188" i="11"/>
  <c r="A189" i="11"/>
  <c r="B189" i="11"/>
  <c r="A190" i="11"/>
  <c r="B190" i="11"/>
  <c r="A191" i="11"/>
  <c r="B191" i="11"/>
  <c r="A192" i="11"/>
  <c r="B192" i="11"/>
  <c r="A193" i="11"/>
  <c r="B193" i="11"/>
  <c r="A194" i="11"/>
  <c r="B194" i="11"/>
  <c r="A195" i="11"/>
  <c r="B195" i="11"/>
  <c r="A196" i="11"/>
  <c r="B196" i="11"/>
  <c r="A197" i="11"/>
  <c r="B197" i="11"/>
  <c r="A198" i="11"/>
  <c r="B198" i="11"/>
  <c r="A199" i="11"/>
  <c r="B199" i="11"/>
  <c r="A200" i="11"/>
  <c r="B200" i="11"/>
  <c r="A201" i="11"/>
  <c r="B201" i="11"/>
  <c r="A202" i="11"/>
  <c r="B202" i="11"/>
  <c r="A203" i="11"/>
  <c r="B203" i="11"/>
  <c r="A204" i="11"/>
  <c r="B204" i="11"/>
  <c r="A205" i="11"/>
  <c r="B205" i="11"/>
  <c r="A206" i="11"/>
  <c r="B206" i="11"/>
  <c r="A207" i="11"/>
  <c r="B207" i="11"/>
  <c r="A208" i="11"/>
  <c r="B208" i="11"/>
  <c r="A209" i="11"/>
  <c r="B209" i="11"/>
  <c r="A210" i="11"/>
  <c r="B210" i="11"/>
  <c r="A211" i="11"/>
  <c r="B211" i="11"/>
  <c r="A212" i="11"/>
  <c r="B212" i="11"/>
  <c r="A213" i="11"/>
  <c r="B213" i="11"/>
  <c r="A214" i="11"/>
  <c r="B214" i="11"/>
  <c r="A215" i="11"/>
  <c r="B215" i="11"/>
  <c r="A216" i="11"/>
  <c r="B216" i="11"/>
  <c r="A217" i="11"/>
  <c r="B217" i="11"/>
  <c r="A218" i="11"/>
  <c r="B218" i="11"/>
  <c r="A219" i="11"/>
  <c r="B219" i="11"/>
  <c r="A220" i="11"/>
  <c r="B220" i="11"/>
  <c r="A221" i="11"/>
  <c r="B221" i="11"/>
  <c r="A222" i="11"/>
  <c r="B222" i="11"/>
  <c r="A223" i="11"/>
  <c r="B223" i="11"/>
  <c r="A224" i="11"/>
  <c r="B224" i="11"/>
  <c r="A225" i="11"/>
  <c r="B225" i="11"/>
  <c r="A226" i="11"/>
  <c r="B226" i="11"/>
  <c r="A227" i="11"/>
  <c r="B227" i="11"/>
  <c r="A228" i="11"/>
  <c r="B228" i="11"/>
  <c r="A229" i="11"/>
  <c r="B229" i="11"/>
  <c r="A230" i="11"/>
  <c r="B230" i="11"/>
  <c r="A231" i="11"/>
  <c r="B231" i="11"/>
  <c r="A232" i="11"/>
  <c r="B232" i="11"/>
  <c r="A233" i="11"/>
  <c r="B233" i="11"/>
  <c r="A234" i="11"/>
  <c r="B234" i="11"/>
  <c r="A235" i="11"/>
  <c r="B235" i="11"/>
  <c r="A236" i="11"/>
  <c r="B236" i="11"/>
  <c r="A237" i="11"/>
  <c r="B237" i="11"/>
  <c r="A238" i="11"/>
  <c r="B238" i="11"/>
  <c r="A239" i="11"/>
  <c r="B239" i="11"/>
  <c r="A240" i="11"/>
  <c r="B240" i="11"/>
  <c r="A241" i="11"/>
  <c r="B241" i="11"/>
  <c r="A242" i="11"/>
  <c r="B242" i="11"/>
  <c r="A243" i="11"/>
  <c r="B243" i="11"/>
  <c r="A244" i="11"/>
  <c r="B244" i="11"/>
  <c r="A245" i="11"/>
  <c r="B245" i="11"/>
  <c r="A246" i="11"/>
  <c r="B246" i="11"/>
  <c r="A247" i="11"/>
  <c r="B247" i="11"/>
  <c r="A248" i="11"/>
  <c r="B248" i="11"/>
  <c r="A249" i="11"/>
  <c r="B249" i="11"/>
  <c r="A250" i="11"/>
  <c r="B250" i="11"/>
  <c r="A251" i="11"/>
  <c r="B251" i="11"/>
  <c r="A252" i="11"/>
  <c r="B252" i="11"/>
  <c r="A253" i="11"/>
  <c r="B253" i="11"/>
  <c r="A254" i="11"/>
  <c r="B254" i="11"/>
  <c r="A255" i="11"/>
  <c r="B255" i="11"/>
  <c r="A256" i="11"/>
  <c r="B256" i="11"/>
  <c r="A257" i="11"/>
  <c r="B257" i="11"/>
  <c r="A258" i="11"/>
  <c r="B258" i="11"/>
  <c r="A259" i="11"/>
  <c r="B259" i="11"/>
  <c r="A260" i="11"/>
  <c r="B260" i="11"/>
  <c r="A261" i="11"/>
  <c r="B261" i="11"/>
  <c r="A262" i="11"/>
  <c r="B262" i="11"/>
  <c r="A263" i="11"/>
  <c r="B263" i="11"/>
  <c r="A264" i="11"/>
  <c r="B264" i="11"/>
  <c r="A265" i="11"/>
  <c r="B265" i="11"/>
  <c r="A266" i="11"/>
  <c r="B266" i="11"/>
  <c r="A267" i="11"/>
  <c r="B267" i="11"/>
  <c r="A268" i="11"/>
  <c r="B268" i="11"/>
  <c r="A269" i="11"/>
  <c r="B269" i="11"/>
  <c r="A270" i="11"/>
  <c r="B270" i="11"/>
  <c r="A271" i="11"/>
  <c r="B271" i="11"/>
  <c r="A272" i="11"/>
  <c r="B272" i="11"/>
  <c r="A273" i="11"/>
  <c r="B273" i="11"/>
  <c r="A274" i="11"/>
  <c r="B274" i="11"/>
  <c r="A275" i="11"/>
  <c r="B275" i="11"/>
  <c r="A276" i="11"/>
  <c r="B276" i="11"/>
  <c r="A277" i="11"/>
  <c r="B277" i="11"/>
  <c r="A278" i="11"/>
  <c r="B278" i="11"/>
  <c r="A279" i="11"/>
  <c r="B279" i="11"/>
  <c r="A280" i="11"/>
  <c r="B280" i="11"/>
  <c r="A281" i="11"/>
  <c r="B281" i="11"/>
  <c r="A282" i="11"/>
  <c r="B282" i="11"/>
  <c r="A283" i="11"/>
  <c r="B283" i="11"/>
  <c r="A284" i="11"/>
  <c r="B284" i="11"/>
  <c r="A285" i="11"/>
  <c r="B285" i="11"/>
  <c r="A286" i="11"/>
  <c r="B286" i="11"/>
  <c r="A287" i="11"/>
  <c r="B287" i="11"/>
  <c r="A288" i="11"/>
  <c r="B288" i="11"/>
  <c r="A289" i="11"/>
  <c r="B289" i="11"/>
  <c r="A290" i="11"/>
  <c r="B290" i="11"/>
  <c r="A291" i="11"/>
  <c r="B291" i="11"/>
  <c r="A292" i="11"/>
  <c r="B292" i="11"/>
  <c r="A293" i="11"/>
  <c r="B293" i="11"/>
  <c r="A294" i="11"/>
  <c r="B294" i="11"/>
  <c r="A295" i="11"/>
  <c r="B295" i="11"/>
  <c r="A296" i="11"/>
  <c r="B296" i="11"/>
  <c r="A297" i="11"/>
  <c r="B297" i="11"/>
  <c r="A298" i="11"/>
  <c r="B298" i="11"/>
  <c r="A299" i="11"/>
  <c r="B299" i="11"/>
  <c r="A300" i="11"/>
  <c r="B300" i="11"/>
  <c r="A301" i="11"/>
  <c r="B301" i="11"/>
  <c r="A302" i="11"/>
  <c r="B302" i="11"/>
  <c r="A303" i="11"/>
  <c r="B303" i="11"/>
  <c r="A304" i="11"/>
  <c r="B304" i="11"/>
  <c r="A305" i="11"/>
  <c r="B305" i="11"/>
  <c r="A306" i="11"/>
  <c r="B306" i="11"/>
  <c r="A307" i="11"/>
  <c r="B307" i="11"/>
  <c r="A308" i="11"/>
  <c r="B308" i="11"/>
  <c r="A309" i="11"/>
  <c r="B309" i="11"/>
  <c r="A310" i="11"/>
  <c r="B310" i="11"/>
  <c r="A311" i="11"/>
  <c r="B311" i="11"/>
  <c r="A312" i="11"/>
  <c r="B312" i="11"/>
  <c r="A313" i="11"/>
  <c r="B313" i="11"/>
  <c r="B5" i="11"/>
  <c r="A5" i="11"/>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D314" i="25" l="1"/>
  <c r="D308" i="25"/>
  <c r="D306" i="25"/>
  <c r="D302" i="25"/>
  <c r="D300" i="25"/>
  <c r="D298" i="25"/>
  <c r="D294" i="25"/>
  <c r="D292" i="25"/>
  <c r="D290" i="25"/>
  <c r="D286" i="25"/>
  <c r="D284" i="25"/>
  <c r="D282" i="25"/>
  <c r="D278" i="25"/>
  <c r="D276" i="25"/>
  <c r="D274" i="25"/>
  <c r="D270" i="25"/>
  <c r="D268" i="25"/>
  <c r="D266" i="25"/>
  <c r="D262" i="25"/>
  <c r="D260" i="25"/>
  <c r="D258" i="25"/>
  <c r="D254" i="25"/>
  <c r="D252" i="25"/>
  <c r="D250" i="25"/>
  <c r="D246" i="25"/>
  <c r="D244" i="25"/>
  <c r="D242" i="25"/>
  <c r="D238" i="25"/>
  <c r="D236" i="25"/>
  <c r="D234" i="25"/>
  <c r="D230" i="25"/>
  <c r="D228" i="25"/>
  <c r="D226" i="25"/>
  <c r="D222" i="25"/>
  <c r="D220" i="25"/>
  <c r="D218" i="25"/>
  <c r="D214" i="25"/>
  <c r="D212" i="25"/>
  <c r="D210" i="25"/>
  <c r="D206" i="25"/>
  <c r="D204" i="25"/>
  <c r="D202" i="25"/>
  <c r="D198" i="25"/>
  <c r="D196" i="25"/>
  <c r="D194" i="25"/>
  <c r="D190" i="25"/>
  <c r="D188" i="25"/>
  <c r="D186" i="25"/>
  <c r="D182" i="25"/>
  <c r="D180" i="25"/>
  <c r="D178" i="25"/>
  <c r="D174" i="25"/>
  <c r="D172" i="25"/>
  <c r="D170" i="25"/>
  <c r="D166" i="25"/>
  <c r="D164" i="25"/>
  <c r="D162" i="25"/>
  <c r="D158" i="25"/>
  <c r="D156" i="25"/>
  <c r="D154" i="25"/>
  <c r="D150" i="25"/>
  <c r="D142" i="25"/>
  <c r="D140" i="25"/>
  <c r="D138" i="25"/>
  <c r="D132" i="25"/>
  <c r="D130" i="25"/>
  <c r="D126" i="25"/>
  <c r="D124" i="25"/>
  <c r="D116" i="25"/>
  <c r="D112" i="25"/>
  <c r="D106" i="25"/>
  <c r="D104" i="25"/>
  <c r="D100" i="25"/>
  <c r="D98" i="25"/>
  <c r="D96" i="25"/>
  <c r="D90" i="25"/>
  <c r="D84" i="25"/>
  <c r="D80" i="25"/>
  <c r="D74" i="25"/>
  <c r="D72" i="25"/>
  <c r="D68" i="25"/>
  <c r="D66" i="25"/>
  <c r="D64" i="25"/>
  <c r="D60" i="25"/>
  <c r="D52" i="25"/>
  <c r="D48" i="25"/>
  <c r="D42" i="25"/>
  <c r="D36" i="25"/>
  <c r="D34" i="25"/>
  <c r="D32" i="25"/>
  <c r="D28" i="25"/>
  <c r="D26" i="25"/>
  <c r="D20" i="25"/>
  <c r="D16" i="25"/>
  <c r="D10" i="25"/>
  <c r="D8" i="25"/>
  <c r="D299" i="25"/>
  <c r="D283" i="25"/>
  <c r="D267" i="25"/>
  <c r="D251" i="25"/>
  <c r="D243" i="25"/>
  <c r="D235" i="25"/>
  <c r="D219" i="25"/>
  <c r="D203" i="25"/>
  <c r="D195" i="25"/>
  <c r="D187" i="25"/>
  <c r="D171" i="25"/>
  <c r="D155" i="25"/>
  <c r="D139" i="25"/>
  <c r="D123" i="25"/>
  <c r="D103" i="25"/>
  <c r="D97" i="25"/>
  <c r="D71" i="25"/>
  <c r="D63" i="25"/>
  <c r="D59" i="25"/>
  <c r="D55" i="25"/>
  <c r="D51" i="25"/>
  <c r="D47" i="25"/>
  <c r="D43" i="25"/>
  <c r="D35" i="25"/>
  <c r="D31" i="25"/>
  <c r="D23" i="25"/>
  <c r="D19" i="25"/>
  <c r="D15" i="25"/>
  <c r="D11" i="25"/>
  <c r="A313" i="25"/>
  <c r="A307" i="25"/>
  <c r="A301" i="25"/>
  <c r="A297" i="25"/>
  <c r="A293" i="25"/>
  <c r="A289" i="25"/>
  <c r="A287" i="25"/>
  <c r="A283" i="25"/>
  <c r="A277" i="25"/>
  <c r="A273" i="25"/>
  <c r="A265" i="25"/>
  <c r="A261" i="25"/>
  <c r="A257" i="25"/>
  <c r="A253" i="25"/>
  <c r="A251" i="25"/>
  <c r="A245" i="25"/>
  <c r="A241" i="25"/>
  <c r="A237" i="25"/>
  <c r="A233" i="25"/>
  <c r="A229" i="25"/>
  <c r="A225" i="25"/>
  <c r="A221" i="25"/>
  <c r="A215" i="25"/>
  <c r="A211" i="25"/>
  <c r="A207" i="25"/>
  <c r="A203" i="25"/>
  <c r="A201" i="25"/>
  <c r="A197" i="25"/>
  <c r="A193" i="25"/>
  <c r="A191" i="25"/>
  <c r="A187" i="25"/>
  <c r="A183" i="25"/>
  <c r="A179" i="25"/>
  <c r="A175" i="25"/>
  <c r="A171" i="25"/>
  <c r="A167" i="25"/>
  <c r="A163" i="25"/>
  <c r="A157" i="25"/>
  <c r="A153" i="25"/>
  <c r="A149" i="25"/>
  <c r="A145" i="25"/>
  <c r="A141" i="25"/>
  <c r="A137" i="25"/>
  <c r="A133" i="25"/>
  <c r="A129" i="25"/>
  <c r="A125" i="25"/>
  <c r="A123" i="25"/>
  <c r="A119" i="25"/>
  <c r="A115" i="25"/>
  <c r="A111" i="25"/>
  <c r="A105" i="25"/>
  <c r="A101" i="25"/>
  <c r="A97" i="25"/>
  <c r="A93" i="25"/>
  <c r="A87" i="25"/>
  <c r="A83" i="25"/>
  <c r="A79" i="25"/>
  <c r="A75" i="25"/>
  <c r="A71" i="25"/>
  <c r="A69" i="25"/>
  <c r="A65" i="25"/>
  <c r="A61" i="25"/>
  <c r="A57" i="25"/>
  <c r="A53" i="25"/>
  <c r="A49" i="25"/>
  <c r="A43" i="25"/>
  <c r="A39" i="25"/>
  <c r="A35" i="25"/>
  <c r="A31" i="25"/>
  <c r="A27" i="25"/>
  <c r="A23" i="25"/>
  <c r="A19" i="25"/>
  <c r="A15" i="25"/>
  <c r="A11" i="25"/>
  <c r="B312" i="25"/>
  <c r="B308" i="25"/>
  <c r="B302" i="25"/>
  <c r="B298" i="25"/>
  <c r="B294" i="25"/>
  <c r="B292" i="25"/>
  <c r="B288" i="25"/>
  <c r="B282" i="25"/>
  <c r="B280" i="25"/>
  <c r="B276" i="25"/>
  <c r="B272" i="25"/>
  <c r="B268" i="25"/>
  <c r="B264" i="25"/>
  <c r="B260" i="25"/>
  <c r="B256" i="25"/>
  <c r="B252" i="25"/>
  <c r="B246" i="25"/>
  <c r="B242" i="25"/>
  <c r="B238" i="25"/>
  <c r="B234" i="25"/>
  <c r="B230" i="25"/>
  <c r="B226" i="25"/>
  <c r="B222" i="25"/>
  <c r="B218" i="25"/>
  <c r="B214" i="25"/>
  <c r="B212" i="25"/>
  <c r="B208" i="25"/>
  <c r="A312" i="25"/>
  <c r="A310" i="25"/>
  <c r="A306" i="25"/>
  <c r="A302" i="25"/>
  <c r="A300" i="25"/>
  <c r="A296" i="25"/>
  <c r="A294" i="25"/>
  <c r="A290" i="25"/>
  <c r="A288" i="25"/>
  <c r="A284" i="25"/>
  <c r="A282" i="25"/>
  <c r="A278" i="25"/>
  <c r="A276" i="25"/>
  <c r="A274" i="25"/>
  <c r="A270" i="25"/>
  <c r="A268" i="25"/>
  <c r="A264" i="25"/>
  <c r="A262" i="25"/>
  <c r="A258" i="25"/>
  <c r="A252" i="25"/>
  <c r="A248" i="25"/>
  <c r="A244" i="25"/>
  <c r="A242" i="25"/>
  <c r="A238" i="25"/>
  <c r="A232" i="25"/>
  <c r="A226" i="25"/>
  <c r="A222" i="25"/>
  <c r="A218" i="25"/>
  <c r="A214" i="25"/>
  <c r="A210" i="25"/>
  <c r="A206" i="25"/>
  <c r="A202" i="25"/>
  <c r="A200" i="25"/>
  <c r="A196" i="25"/>
  <c r="A190" i="25"/>
  <c r="A186" i="25"/>
  <c r="A182" i="25"/>
  <c r="A178" i="25"/>
  <c r="A174" i="25"/>
  <c r="A170" i="25"/>
  <c r="A166" i="25"/>
  <c r="A162" i="25"/>
  <c r="A158" i="25"/>
  <c r="A154" i="25"/>
  <c r="A150" i="25"/>
  <c r="A146" i="25"/>
  <c r="A144" i="25"/>
  <c r="A140" i="25"/>
  <c r="A136" i="25"/>
  <c r="A132" i="25"/>
  <c r="A128" i="25"/>
  <c r="A124" i="25"/>
  <c r="A120" i="25"/>
  <c r="A116" i="25"/>
  <c r="A112" i="25"/>
  <c r="A108" i="25"/>
  <c r="A104" i="25"/>
  <c r="A100" i="25"/>
  <c r="A96" i="25"/>
  <c r="A92" i="25"/>
  <c r="A88" i="25"/>
  <c r="A84" i="25"/>
  <c r="A80" i="25"/>
  <c r="A76" i="25"/>
  <c r="A72" i="25"/>
  <c r="A68" i="25"/>
  <c r="A64" i="25"/>
  <c r="A60" i="25"/>
  <c r="A56" i="25"/>
  <c r="A52" i="25"/>
  <c r="A50" i="25"/>
  <c r="A46" i="25"/>
  <c r="A44" i="25"/>
  <c r="A40" i="25"/>
  <c r="A36" i="25"/>
  <c r="A32" i="25"/>
  <c r="A30" i="25"/>
  <c r="A26" i="25"/>
  <c r="A24" i="25"/>
  <c r="A20" i="25"/>
  <c r="A18" i="25"/>
  <c r="A14" i="25"/>
  <c r="A12" i="25"/>
  <c r="A8" i="25"/>
  <c r="B313" i="25"/>
  <c r="B311" i="25"/>
  <c r="B309" i="25"/>
  <c r="B307" i="25"/>
  <c r="B305" i="25"/>
  <c r="B303" i="25"/>
  <c r="B301" i="25"/>
  <c r="B299" i="25"/>
  <c r="B297" i="25"/>
  <c r="B295" i="25"/>
  <c r="B293" i="25"/>
  <c r="B291" i="25"/>
  <c r="B289" i="25"/>
  <c r="B287" i="25"/>
  <c r="B285" i="25"/>
  <c r="B283" i="25"/>
  <c r="B281" i="25"/>
  <c r="B279" i="25"/>
  <c r="B277" i="25"/>
  <c r="B275" i="25"/>
  <c r="B273" i="25"/>
  <c r="B271" i="25"/>
  <c r="B269" i="25"/>
  <c r="B267" i="25"/>
  <c r="B265" i="25"/>
  <c r="B263" i="25"/>
  <c r="B261" i="25"/>
  <c r="B259" i="25"/>
  <c r="B257" i="25"/>
  <c r="B255" i="25"/>
  <c r="B253" i="25"/>
  <c r="B251" i="25"/>
  <c r="B249" i="25"/>
  <c r="B247" i="25"/>
  <c r="B245" i="25"/>
  <c r="B243" i="25"/>
  <c r="B241" i="25"/>
  <c r="B239" i="25"/>
  <c r="B237" i="25"/>
  <c r="B235" i="25"/>
  <c r="B233" i="25"/>
  <c r="B231" i="25"/>
  <c r="B229" i="25"/>
  <c r="B227" i="25"/>
  <c r="B225" i="25"/>
  <c r="B223" i="25"/>
  <c r="B221" i="25"/>
  <c r="B219" i="25"/>
  <c r="B217" i="25"/>
  <c r="B215" i="25"/>
  <c r="B213" i="25"/>
  <c r="B211" i="25"/>
  <c r="B209" i="25"/>
  <c r="B207" i="25"/>
  <c r="B205" i="25"/>
  <c r="B203" i="25"/>
  <c r="B201" i="25"/>
  <c r="B199" i="25"/>
  <c r="B197" i="25"/>
  <c r="B195" i="25"/>
  <c r="B193" i="25"/>
  <c r="B191" i="25"/>
  <c r="B189" i="25"/>
  <c r="B187" i="25"/>
  <c r="B185" i="25"/>
  <c r="B183" i="25"/>
  <c r="B181" i="25"/>
  <c r="B179" i="25"/>
  <c r="B177" i="25"/>
  <c r="B175" i="25"/>
  <c r="B173" i="25"/>
  <c r="B171" i="25"/>
  <c r="B169" i="25"/>
  <c r="B167" i="25"/>
  <c r="B165" i="25"/>
  <c r="B163" i="25"/>
  <c r="B161" i="25"/>
  <c r="B159" i="25"/>
  <c r="B157" i="25"/>
  <c r="B155" i="25"/>
  <c r="B153" i="25"/>
  <c r="B151" i="25"/>
  <c r="B149" i="25"/>
  <c r="B147" i="25"/>
  <c r="B145" i="25"/>
  <c r="B143" i="25"/>
  <c r="B141" i="25"/>
  <c r="B139" i="25"/>
  <c r="B137" i="25"/>
  <c r="B135" i="25"/>
  <c r="B133" i="25"/>
  <c r="B131" i="25"/>
  <c r="B129" i="25"/>
  <c r="B127" i="25"/>
  <c r="B125" i="25"/>
  <c r="B123" i="25"/>
  <c r="B121" i="25"/>
  <c r="B119" i="25"/>
  <c r="B117" i="25"/>
  <c r="B115" i="25"/>
  <c r="B113" i="25"/>
  <c r="B111" i="25"/>
  <c r="B109" i="25"/>
  <c r="B107" i="25"/>
  <c r="B105" i="25"/>
  <c r="B103" i="25"/>
  <c r="B101" i="25"/>
  <c r="B99" i="25"/>
  <c r="B97" i="25"/>
  <c r="B95" i="25"/>
  <c r="B93" i="25"/>
  <c r="B91" i="25"/>
  <c r="B89" i="25"/>
  <c r="B87" i="25"/>
  <c r="B85" i="25"/>
  <c r="B83" i="25"/>
  <c r="B81" i="25"/>
  <c r="B79" i="25"/>
  <c r="B77" i="25"/>
  <c r="B75" i="25"/>
  <c r="B73" i="25"/>
  <c r="B71" i="25"/>
  <c r="B69" i="25"/>
  <c r="B67" i="25"/>
  <c r="B65" i="25"/>
  <c r="B63" i="25"/>
  <c r="B61" i="25"/>
  <c r="B59" i="25"/>
  <c r="B57" i="25"/>
  <c r="B55" i="25"/>
  <c r="B53" i="25"/>
  <c r="B51" i="25"/>
  <c r="B49" i="25"/>
  <c r="B47" i="25"/>
  <c r="B45" i="25"/>
  <c r="B43" i="25"/>
  <c r="B41" i="25"/>
  <c r="B39" i="25"/>
  <c r="B37" i="25"/>
  <c r="B35" i="25"/>
  <c r="B33" i="25"/>
  <c r="B31" i="25"/>
  <c r="B29" i="25"/>
  <c r="B27" i="25"/>
  <c r="B25" i="25"/>
  <c r="B23" i="25"/>
  <c r="B21" i="25"/>
  <c r="B19" i="25"/>
  <c r="B17" i="25"/>
  <c r="B15" i="25"/>
  <c r="B13" i="25"/>
  <c r="B11" i="25"/>
  <c r="B9" i="25"/>
  <c r="B7" i="25"/>
  <c r="A269" i="25"/>
  <c r="A89" i="25"/>
  <c r="B206" i="25"/>
  <c r="B204" i="25"/>
  <c r="B202" i="25"/>
  <c r="B200" i="25"/>
  <c r="B198" i="25"/>
  <c r="B196" i="25"/>
  <c r="B194" i="25"/>
  <c r="B192" i="25"/>
  <c r="B190" i="25"/>
  <c r="B188" i="25"/>
  <c r="B186" i="25"/>
  <c r="B184" i="25"/>
  <c r="B182" i="25"/>
  <c r="B180" i="25"/>
  <c r="B178" i="25"/>
  <c r="B176" i="25"/>
  <c r="B174" i="25"/>
  <c r="B172" i="25"/>
  <c r="B170" i="25"/>
  <c r="B168" i="25"/>
  <c r="B166" i="25"/>
  <c r="B164" i="25"/>
  <c r="B162" i="25"/>
  <c r="B160" i="25"/>
  <c r="B158" i="25"/>
  <c r="B156" i="25"/>
  <c r="B154" i="25"/>
  <c r="B152" i="25"/>
  <c r="B150" i="25"/>
  <c r="B148" i="25"/>
  <c r="B146" i="25"/>
  <c r="B144" i="25"/>
  <c r="B142" i="25"/>
  <c r="B140" i="25"/>
  <c r="B138" i="25"/>
  <c r="B136" i="25"/>
  <c r="B134" i="25"/>
  <c r="B132" i="25"/>
  <c r="B130" i="25"/>
  <c r="B128" i="25"/>
  <c r="B126" i="25"/>
  <c r="B124" i="25"/>
  <c r="B122" i="25"/>
  <c r="B120" i="25"/>
  <c r="B118" i="25"/>
  <c r="B116" i="25"/>
  <c r="B114" i="25"/>
  <c r="B112" i="25"/>
  <c r="B110" i="25"/>
  <c r="B108" i="25"/>
  <c r="B106" i="25"/>
  <c r="B104" i="25"/>
  <c r="B102" i="25"/>
  <c r="B100" i="25"/>
  <c r="B98" i="25"/>
  <c r="B96" i="25"/>
  <c r="B94" i="25"/>
  <c r="B92" i="25"/>
  <c r="B90" i="25"/>
  <c r="B88" i="25"/>
  <c r="B86" i="25"/>
  <c r="B84" i="25"/>
  <c r="B82" i="25"/>
  <c r="B80" i="25"/>
  <c r="B78" i="25"/>
  <c r="B76" i="25"/>
  <c r="B74" i="25"/>
  <c r="B72" i="25"/>
  <c r="B70" i="25"/>
  <c r="B68" i="25"/>
  <c r="B66" i="25"/>
  <c r="B64" i="25"/>
  <c r="B62" i="25"/>
  <c r="B60" i="25"/>
  <c r="B58" i="25"/>
  <c r="B56" i="25"/>
  <c r="B54" i="25"/>
  <c r="B52" i="25"/>
  <c r="B50" i="25"/>
  <c r="B48" i="25"/>
  <c r="B46" i="25"/>
  <c r="B44" i="25"/>
  <c r="B42" i="25"/>
  <c r="B40" i="25"/>
  <c r="B38" i="25"/>
  <c r="B36" i="25"/>
  <c r="B34" i="25"/>
  <c r="B32" i="25"/>
  <c r="B30" i="25"/>
  <c r="B28" i="25"/>
  <c r="B26" i="25"/>
  <c r="B24" i="25"/>
  <c r="B22" i="25"/>
  <c r="B20" i="25"/>
  <c r="B18" i="25"/>
  <c r="B16" i="25"/>
  <c r="B14" i="25"/>
  <c r="B12" i="25"/>
  <c r="B10" i="25"/>
  <c r="B8" i="25"/>
  <c r="A311" i="25"/>
  <c r="A309" i="25"/>
  <c r="A305" i="25"/>
  <c r="A303" i="25"/>
  <c r="A299" i="25"/>
  <c r="A295" i="25"/>
  <c r="A291" i="25"/>
  <c r="A285" i="25"/>
  <c r="A281" i="25"/>
  <c r="A279" i="25"/>
  <c r="A275" i="25"/>
  <c r="A271" i="25"/>
  <c r="A267" i="25"/>
  <c r="A263" i="25"/>
  <c r="A259" i="25"/>
  <c r="A255" i="25"/>
  <c r="A249" i="25"/>
  <c r="A247" i="25"/>
  <c r="A243" i="25"/>
  <c r="A239" i="25"/>
  <c r="A235" i="25"/>
  <c r="A231" i="25"/>
  <c r="A227" i="25"/>
  <c r="A223" i="25"/>
  <c r="A219" i="25"/>
  <c r="A217" i="25"/>
  <c r="A213" i="25"/>
  <c r="A209" i="25"/>
  <c r="A205" i="25"/>
  <c r="A199" i="25"/>
  <c r="A195" i="25"/>
  <c r="A189" i="25"/>
  <c r="A185" i="25"/>
  <c r="A181" i="25"/>
  <c r="A177" i="25"/>
  <c r="A173" i="25"/>
  <c r="A169" i="25"/>
  <c r="A165" i="25"/>
  <c r="A161" i="25"/>
  <c r="A159" i="25"/>
  <c r="A155" i="25"/>
  <c r="A151" i="25"/>
  <c r="A147" i="25"/>
  <c r="A143" i="25"/>
  <c r="A139" i="25"/>
  <c r="A135" i="25"/>
  <c r="A131" i="25"/>
  <c r="A127" i="25"/>
  <c r="A121" i="25"/>
  <c r="A117" i="25"/>
  <c r="A113" i="25"/>
  <c r="A109" i="25"/>
  <c r="A107" i="25"/>
  <c r="A103" i="25"/>
  <c r="A99" i="25"/>
  <c r="A95" i="25"/>
  <c r="A91" i="25"/>
  <c r="A85" i="25"/>
  <c r="A81" i="25"/>
  <c r="A77" i="25"/>
  <c r="A73" i="25"/>
  <c r="A67" i="25"/>
  <c r="A63" i="25"/>
  <c r="A59" i="25"/>
  <c r="A55" i="25"/>
  <c r="A51" i="25"/>
  <c r="A47" i="25"/>
  <c r="A45" i="25"/>
  <c r="A41" i="25"/>
  <c r="A37" i="25"/>
  <c r="A33" i="25"/>
  <c r="A29" i="25"/>
  <c r="A25" i="25"/>
  <c r="A21" i="25"/>
  <c r="A17" i="25"/>
  <c r="A13" i="25"/>
  <c r="A9" i="25"/>
  <c r="A7" i="25"/>
  <c r="B314" i="25"/>
  <c r="B310" i="25"/>
  <c r="B306" i="25"/>
  <c r="B304" i="25"/>
  <c r="B300" i="25"/>
  <c r="B296" i="25"/>
  <c r="B290" i="25"/>
  <c r="B286" i="25"/>
  <c r="B284" i="25"/>
  <c r="B278" i="25"/>
  <c r="B274" i="25"/>
  <c r="B270" i="25"/>
  <c r="B266" i="25"/>
  <c r="B262" i="25"/>
  <c r="B258" i="25"/>
  <c r="B254" i="25"/>
  <c r="B250" i="25"/>
  <c r="B248" i="25"/>
  <c r="B244" i="25"/>
  <c r="B240" i="25"/>
  <c r="B236" i="25"/>
  <c r="B232" i="25"/>
  <c r="B228" i="25"/>
  <c r="B224" i="25"/>
  <c r="B220" i="25"/>
  <c r="B216" i="25"/>
  <c r="B210" i="25"/>
  <c r="A314" i="25"/>
  <c r="A308" i="25"/>
  <c r="A304" i="25"/>
  <c r="A298" i="25"/>
  <c r="A292" i="25"/>
  <c r="A286" i="25"/>
  <c r="A280" i="25"/>
  <c r="A272" i="25"/>
  <c r="A266" i="25"/>
  <c r="A260" i="25"/>
  <c r="A256" i="25"/>
  <c r="A254" i="25"/>
  <c r="A250" i="25"/>
  <c r="A246" i="25"/>
  <c r="A240" i="25"/>
  <c r="A236" i="25"/>
  <c r="A234" i="25"/>
  <c r="A230" i="25"/>
  <c r="A228" i="25"/>
  <c r="A224" i="25"/>
  <c r="A220" i="25"/>
  <c r="A216" i="25"/>
  <c r="A212" i="25"/>
  <c r="A208" i="25"/>
  <c r="A204" i="25"/>
  <c r="A198" i="25"/>
  <c r="A194" i="25"/>
  <c r="A192" i="25"/>
  <c r="A188" i="25"/>
  <c r="A184" i="25"/>
  <c r="A180" i="25"/>
  <c r="A176" i="25"/>
  <c r="A172" i="25"/>
  <c r="A168" i="25"/>
  <c r="A164" i="25"/>
  <c r="A160" i="25"/>
  <c r="A156" i="25"/>
  <c r="A152" i="25"/>
  <c r="A148" i="25"/>
  <c r="A142" i="25"/>
  <c r="A138" i="25"/>
  <c r="A134" i="25"/>
  <c r="A130" i="25"/>
  <c r="A126" i="25"/>
  <c r="A122" i="25"/>
  <c r="A118" i="25"/>
  <c r="A114" i="25"/>
  <c r="A110" i="25"/>
  <c r="A106" i="25"/>
  <c r="A102" i="25"/>
  <c r="A98" i="25"/>
  <c r="A94" i="25"/>
  <c r="A90" i="25"/>
  <c r="A86" i="25"/>
  <c r="A82" i="25"/>
  <c r="A78" i="25"/>
  <c r="A74" i="25"/>
  <c r="A70" i="25"/>
  <c r="A66" i="25"/>
  <c r="A62" i="25"/>
  <c r="A58" i="25"/>
  <c r="A54" i="25"/>
  <c r="A48" i="25"/>
  <c r="A42" i="25"/>
  <c r="A38" i="25"/>
  <c r="A34" i="25"/>
  <c r="A28" i="25"/>
  <c r="A22" i="25"/>
  <c r="A16" i="25"/>
  <c r="A10" i="25"/>
  <c r="D39" i="25"/>
  <c r="D27" i="25"/>
  <c r="D7" i="25"/>
  <c r="D307" i="25"/>
  <c r="D291" i="25"/>
  <c r="D275" i="25"/>
  <c r="D259" i="25"/>
  <c r="D227" i="25"/>
  <c r="D211" i="25"/>
  <c r="D179" i="25"/>
  <c r="D163" i="25"/>
  <c r="D147" i="25"/>
  <c r="D131" i="25"/>
  <c r="D91" i="25"/>
  <c r="D65" i="25"/>
  <c r="D33" i="25"/>
  <c r="D310" i="25"/>
  <c r="D148" i="25"/>
  <c r="D40" i="25"/>
  <c r="D92" i="25"/>
  <c r="D146" i="25"/>
  <c r="D134" i="25"/>
  <c r="D122" i="25"/>
  <c r="D58" i="25"/>
  <c r="D118" i="25"/>
  <c r="D114" i="25"/>
  <c r="D110" i="25"/>
  <c r="D102" i="25"/>
  <c r="D94" i="25"/>
  <c r="D86" i="25"/>
  <c r="D82" i="25"/>
  <c r="D78" i="25"/>
  <c r="D70" i="25"/>
  <c r="D62" i="25"/>
  <c r="D54" i="25"/>
  <c r="D50" i="25"/>
  <c r="D46" i="25"/>
  <c r="D38" i="25"/>
  <c r="D30" i="25"/>
  <c r="D22" i="25"/>
  <c r="D18" i="25"/>
  <c r="D14" i="25"/>
  <c r="D313" i="25"/>
  <c r="D309" i="25"/>
  <c r="D305" i="25"/>
  <c r="D301" i="25"/>
  <c r="D297" i="25"/>
  <c r="D293" i="25"/>
  <c r="D289" i="25"/>
  <c r="D285" i="25"/>
  <c r="D281" i="25"/>
  <c r="D277" i="25"/>
  <c r="D273" i="25"/>
  <c r="D269" i="25"/>
  <c r="D265" i="25"/>
  <c r="D261" i="25"/>
  <c r="D257" i="25"/>
  <c r="D253" i="25"/>
  <c r="D249" i="25"/>
  <c r="D245" i="25"/>
  <c r="D241" i="25"/>
  <c r="D237" i="25"/>
  <c r="D233" i="25"/>
  <c r="D229" i="25"/>
  <c r="D225" i="25"/>
  <c r="D221" i="25"/>
  <c r="D217" i="25"/>
  <c r="D213" i="25"/>
  <c r="D209" i="25"/>
  <c r="D205" i="25"/>
  <c r="D201" i="25"/>
  <c r="D197" i="25"/>
  <c r="D193" i="25"/>
  <c r="D189" i="25"/>
  <c r="D185" i="25"/>
  <c r="D181" i="25"/>
  <c r="D173" i="25"/>
  <c r="D169" i="25"/>
  <c r="D165" i="25"/>
  <c r="D161" i="25"/>
  <c r="D157" i="25"/>
  <c r="D153" i="25"/>
  <c r="D149" i="25"/>
  <c r="D145" i="25"/>
  <c r="D141" i="25"/>
  <c r="D137" i="25"/>
  <c r="D133" i="25"/>
  <c r="D129" i="25"/>
  <c r="D125" i="25"/>
  <c r="D121" i="25"/>
  <c r="D117" i="25"/>
  <c r="D113" i="25"/>
  <c r="D109" i="25"/>
  <c r="D105" i="25"/>
  <c r="D101" i="25"/>
  <c r="D93" i="25"/>
  <c r="D89" i="25"/>
  <c r="D85" i="25"/>
  <c r="D81" i="25"/>
  <c r="D77" i="25"/>
  <c r="D73" i="25"/>
  <c r="D69" i="25"/>
  <c r="D61" i="25"/>
  <c r="D57" i="25"/>
  <c r="D53" i="25"/>
  <c r="D49" i="25"/>
  <c r="D45" i="25"/>
  <c r="D41" i="25"/>
  <c r="D37" i="25"/>
  <c r="D29" i="25"/>
  <c r="D25" i="25"/>
  <c r="D21" i="25"/>
  <c r="D17" i="25"/>
  <c r="D13" i="25"/>
  <c r="D9" i="25"/>
  <c r="D312" i="25"/>
  <c r="D304" i="25"/>
  <c r="D296" i="25"/>
  <c r="D288" i="25"/>
  <c r="D280" i="25"/>
  <c r="D272" i="25"/>
  <c r="D264" i="25"/>
  <c r="D256" i="25"/>
  <c r="D248" i="25"/>
  <c r="D240" i="25"/>
  <c r="D232" i="25"/>
  <c r="D224" i="25"/>
  <c r="D216" i="25"/>
  <c r="D208" i="25"/>
  <c r="D200" i="25"/>
  <c r="D192" i="25"/>
  <c r="D184" i="25"/>
  <c r="D176" i="25"/>
  <c r="D168" i="25"/>
  <c r="D160" i="25"/>
  <c r="D152" i="25"/>
  <c r="D144" i="25"/>
  <c r="D136" i="25"/>
  <c r="D128" i="25"/>
  <c r="D120" i="25"/>
  <c r="D108" i="25"/>
  <c r="D88" i="25"/>
  <c r="D76" i="25"/>
  <c r="D56" i="25"/>
  <c r="D44" i="25"/>
  <c r="D24" i="25"/>
  <c r="D12" i="25"/>
  <c r="D311" i="25"/>
  <c r="D303" i="25"/>
  <c r="D295" i="25"/>
  <c r="D287" i="25"/>
  <c r="D279" i="25"/>
  <c r="D271" i="25"/>
  <c r="D263" i="25"/>
  <c r="D255" i="25"/>
  <c r="D247" i="25"/>
  <c r="D239" i="25"/>
  <c r="D231" i="25"/>
  <c r="D223" i="25"/>
  <c r="D215" i="25"/>
  <c r="D207" i="25"/>
  <c r="D199" i="25"/>
  <c r="D191" i="25"/>
  <c r="D183" i="25"/>
  <c r="D175" i="25"/>
  <c r="D167" i="25"/>
  <c r="D159" i="25"/>
  <c r="D151" i="25"/>
  <c r="D143" i="25"/>
  <c r="D135" i="25"/>
  <c r="D127" i="25"/>
  <c r="D119" i="25"/>
  <c r="D115" i="25"/>
  <c r="D111" i="25"/>
  <c r="D107" i="25"/>
  <c r="D99" i="25"/>
  <c r="D95" i="25"/>
  <c r="D87" i="25"/>
  <c r="D83" i="25"/>
  <c r="D79" i="25"/>
  <c r="D75" i="25"/>
  <c r="D67" i="25"/>
  <c r="D177" i="25"/>
  <c r="N245" i="42"/>
  <c r="T245" i="42" s="1"/>
  <c r="Z7" i="19" l="1"/>
  <c r="X7" i="19"/>
  <c r="W7" i="19"/>
  <c r="V7" i="19"/>
  <c r="P7" i="19"/>
  <c r="N7" i="19"/>
  <c r="M7" i="19"/>
  <c r="L7" i="19"/>
  <c r="K7" i="19"/>
  <c r="I7" i="19"/>
  <c r="H7" i="19"/>
  <c r="N239" i="42"/>
  <c r="T239" i="42" s="1"/>
  <c r="K303" i="49" l="1"/>
  <c r="K244" i="13" l="1"/>
  <c r="K170" i="13"/>
  <c r="K219" i="13"/>
  <c r="N246" i="42" l="1"/>
  <c r="T246" i="42" s="1"/>
  <c r="N220" i="42"/>
  <c r="T220" i="42" s="1"/>
  <c r="N171" i="42"/>
  <c r="T171" i="42" s="1"/>
  <c r="L170" i="13" l="1"/>
  <c r="M170" i="13" s="1"/>
  <c r="E170" i="49"/>
  <c r="L219" i="13"/>
  <c r="M219" i="13" s="1"/>
  <c r="E219" i="49"/>
  <c r="E244" i="49"/>
  <c r="L244" i="13"/>
  <c r="M244" i="13" s="1"/>
  <c r="H170" i="49"/>
  <c r="D170" i="49"/>
  <c r="H219" i="49"/>
  <c r="D219" i="49"/>
  <c r="H244" i="49"/>
  <c r="D244" i="49"/>
  <c r="F170" i="49" l="1"/>
  <c r="F244" i="49"/>
  <c r="G219" i="49" l="1"/>
  <c r="F219" i="49"/>
  <c r="J219" i="13"/>
  <c r="A219" i="49"/>
  <c r="B219" i="49"/>
  <c r="A170" i="49"/>
  <c r="B170" i="49"/>
  <c r="A219" i="13"/>
  <c r="B219" i="13"/>
  <c r="A170" i="13"/>
  <c r="B170" i="13"/>
  <c r="E126" i="25" l="1"/>
  <c r="M126" i="49"/>
  <c r="C125" i="11"/>
  <c r="E113" i="25"/>
  <c r="M113" i="49"/>
  <c r="C112" i="11"/>
  <c r="E172" i="25"/>
  <c r="C171" i="11"/>
  <c r="M172" i="49"/>
  <c r="E211" i="25"/>
  <c r="M211" i="49"/>
  <c r="C210" i="11"/>
  <c r="E181" i="25"/>
  <c r="C180" i="11"/>
  <c r="M181" i="49"/>
  <c r="E196" i="25"/>
  <c r="M196" i="49"/>
  <c r="C195" i="11"/>
  <c r="E33" i="25"/>
  <c r="M33" i="49"/>
  <c r="C32" i="11"/>
  <c r="E64" i="25"/>
  <c r="C63" i="11"/>
  <c r="M64" i="49"/>
  <c r="E242" i="25"/>
  <c r="M242" i="49"/>
  <c r="C241" i="11"/>
  <c r="E301" i="25"/>
  <c r="M301" i="49"/>
  <c r="C300" i="11"/>
  <c r="E271" i="25"/>
  <c r="M271" i="49"/>
  <c r="C270" i="11"/>
  <c r="E311" i="25"/>
  <c r="M311" i="49"/>
  <c r="C310" i="11"/>
  <c r="E41" i="25"/>
  <c r="M41" i="49"/>
  <c r="C40" i="11"/>
  <c r="E130" i="25"/>
  <c r="M130" i="49"/>
  <c r="C129" i="11"/>
  <c r="E91" i="25"/>
  <c r="C90" i="11"/>
  <c r="M91" i="49"/>
  <c r="E218" i="25"/>
  <c r="M218" i="49"/>
  <c r="C217" i="11"/>
  <c r="E57" i="25"/>
  <c r="M57" i="49"/>
  <c r="C56" i="11"/>
  <c r="M60" i="49"/>
  <c r="E60" i="25"/>
  <c r="C59" i="11"/>
  <c r="M216" i="49"/>
  <c r="E216" i="25"/>
  <c r="C215" i="11"/>
  <c r="M169" i="49"/>
  <c r="E169" i="25"/>
  <c r="C168" i="11"/>
  <c r="C68" i="11"/>
  <c r="M69" i="49"/>
  <c r="E69" i="25"/>
  <c r="E240" i="25"/>
  <c r="M240" i="49"/>
  <c r="C239" i="11"/>
  <c r="M141" i="49"/>
  <c r="E141" i="25"/>
  <c r="C140" i="11"/>
  <c r="E285" i="25"/>
  <c r="C284" i="11"/>
  <c r="M285" i="49"/>
  <c r="M116" i="49"/>
  <c r="E116" i="25"/>
  <c r="C115" i="11"/>
  <c r="M254" i="49"/>
  <c r="E254" i="25"/>
  <c r="C253" i="11"/>
  <c r="C27" i="11"/>
  <c r="M28" i="49"/>
  <c r="E28" i="25"/>
  <c r="E154" i="25"/>
  <c r="M154" i="49"/>
  <c r="C153" i="11"/>
  <c r="C26" i="11"/>
  <c r="M27" i="49"/>
  <c r="E27" i="25"/>
  <c r="E234" i="25"/>
  <c r="M234" i="49"/>
  <c r="C233" i="11"/>
  <c r="M159" i="49"/>
  <c r="C158" i="11"/>
  <c r="E159" i="25"/>
  <c r="C186" i="11"/>
  <c r="M187" i="49"/>
  <c r="E187" i="25"/>
  <c r="C257" i="11"/>
  <c r="E258" i="25"/>
  <c r="M258" i="49"/>
  <c r="E131" i="25"/>
  <c r="M131" i="49"/>
  <c r="C130" i="11"/>
  <c r="M24" i="49"/>
  <c r="E24" i="25"/>
  <c r="C23" i="11"/>
  <c r="E85" i="25"/>
  <c r="C84" i="11"/>
  <c r="M85" i="49"/>
  <c r="E239" i="25"/>
  <c r="M239" i="49"/>
  <c r="C238" i="11"/>
  <c r="E29" i="25"/>
  <c r="M29" i="49"/>
  <c r="C28" i="11"/>
  <c r="E142" i="25"/>
  <c r="M142" i="49"/>
  <c r="C141" i="11"/>
  <c r="C36" i="11"/>
  <c r="E37" i="25"/>
  <c r="M37" i="49"/>
  <c r="M108" i="49"/>
  <c r="E108" i="25"/>
  <c r="C107" i="11"/>
  <c r="M100" i="49"/>
  <c r="E100" i="25"/>
  <c r="C99" i="11"/>
  <c r="E88" i="25"/>
  <c r="C87" i="11"/>
  <c r="M88" i="49"/>
  <c r="E273" i="25"/>
  <c r="M273" i="49"/>
  <c r="C272" i="11"/>
  <c r="M303" i="49"/>
  <c r="E303" i="25"/>
  <c r="C302" i="11"/>
  <c r="M223" i="49"/>
  <c r="C222" i="11"/>
  <c r="E223" i="25"/>
  <c r="C135" i="11"/>
  <c r="E136" i="25"/>
  <c r="M136" i="49"/>
  <c r="M36" i="49"/>
  <c r="E36" i="25"/>
  <c r="C35" i="11"/>
  <c r="E250" i="25"/>
  <c r="M250" i="49"/>
  <c r="C249" i="11"/>
  <c r="E77" i="25"/>
  <c r="C76" i="11"/>
  <c r="M77" i="49"/>
  <c r="C101" i="11"/>
  <c r="E102" i="25"/>
  <c r="M102" i="49"/>
  <c r="M276" i="49"/>
  <c r="E276" i="25"/>
  <c r="C275" i="11"/>
  <c r="C147" i="11"/>
  <c r="M148" i="49"/>
  <c r="E148" i="25"/>
  <c r="E111" i="25"/>
  <c r="M111" i="49"/>
  <c r="C110" i="11"/>
  <c r="C126" i="11"/>
  <c r="E127" i="25"/>
  <c r="M127" i="49"/>
  <c r="E81" i="25"/>
  <c r="M81" i="49"/>
  <c r="C80" i="11"/>
  <c r="M164" i="49"/>
  <c r="E164" i="25"/>
  <c r="C163" i="11"/>
  <c r="M205" i="49"/>
  <c r="E205" i="25"/>
  <c r="C204" i="11"/>
  <c r="E34" i="25"/>
  <c r="M34" i="49"/>
  <c r="C33" i="11"/>
  <c r="E298" i="25"/>
  <c r="M298" i="49"/>
  <c r="C297" i="11"/>
  <c r="M32" i="49"/>
  <c r="C31" i="11"/>
  <c r="E32" i="25"/>
  <c r="E210" i="25"/>
  <c r="M210" i="49"/>
  <c r="C209" i="11"/>
  <c r="E179" i="25"/>
  <c r="M179" i="49"/>
  <c r="C178" i="11"/>
  <c r="M290" i="49"/>
  <c r="E290" i="25"/>
  <c r="C289" i="11"/>
  <c r="C97" i="11"/>
  <c r="E98" i="25"/>
  <c r="M98" i="49"/>
  <c r="C34" i="11"/>
  <c r="E35" i="25"/>
  <c r="M35" i="49"/>
  <c r="M277" i="49"/>
  <c r="E277" i="25"/>
  <c r="C276" i="11"/>
  <c r="E265" i="25"/>
  <c r="M265" i="49"/>
  <c r="C264" i="11"/>
  <c r="E122" i="25"/>
  <c r="M122" i="49"/>
  <c r="C121" i="11"/>
  <c r="C14" i="11"/>
  <c r="E15" i="25"/>
  <c r="M15" i="49"/>
  <c r="E129" i="25"/>
  <c r="M129" i="49"/>
  <c r="C128" i="11"/>
  <c r="M123" i="49"/>
  <c r="E123" i="25"/>
  <c r="C122" i="11"/>
  <c r="C55" i="11"/>
  <c r="M56" i="49"/>
  <c r="E56" i="25"/>
  <c r="C191" i="11"/>
  <c r="E192" i="25"/>
  <c r="M192" i="49"/>
  <c r="M184" i="49"/>
  <c r="E184" i="25"/>
  <c r="C183" i="11"/>
  <c r="E233" i="25"/>
  <c r="M233" i="49"/>
  <c r="C232" i="11"/>
  <c r="E275" i="25"/>
  <c r="C274" i="11"/>
  <c r="M275" i="49"/>
  <c r="M294" i="49"/>
  <c r="E294" i="25"/>
  <c r="C293" i="11"/>
  <c r="C176" i="11"/>
  <c r="M177" i="49"/>
  <c r="E177" i="25"/>
  <c r="E115" i="25"/>
  <c r="M115" i="49"/>
  <c r="C114" i="11"/>
  <c r="E106" i="25"/>
  <c r="M106" i="49"/>
  <c r="C105" i="11"/>
  <c r="M44" i="49"/>
  <c r="E44" i="25"/>
  <c r="C43" i="11"/>
  <c r="M225" i="49"/>
  <c r="E225" i="25"/>
  <c r="C224" i="11"/>
  <c r="M281" i="49"/>
  <c r="E281" i="25"/>
  <c r="C280" i="11"/>
  <c r="C259" i="11"/>
  <c r="E260" i="25"/>
  <c r="M260" i="49"/>
  <c r="M92" i="49"/>
  <c r="E92" i="25"/>
  <c r="C91" i="11"/>
  <c r="E21" i="25"/>
  <c r="M21" i="49"/>
  <c r="C20" i="11"/>
  <c r="C58" i="11"/>
  <c r="M59" i="49"/>
  <c r="E59" i="25"/>
  <c r="C62" i="11"/>
  <c r="E63" i="25"/>
  <c r="M63" i="49"/>
  <c r="C235" i="11"/>
  <c r="M236" i="49"/>
  <c r="E236" i="25"/>
  <c r="M287" i="49"/>
  <c r="C286" i="11"/>
  <c r="E287" i="25"/>
  <c r="E135" i="25"/>
  <c r="M135" i="49"/>
  <c r="C134" i="11"/>
  <c r="M310" i="49"/>
  <c r="C309" i="11"/>
  <c r="E310" i="25"/>
  <c r="M209" i="49"/>
  <c r="C208" i="11"/>
  <c r="E209" i="25"/>
  <c r="M203" i="49"/>
  <c r="E203" i="25"/>
  <c r="C202" i="11"/>
  <c r="C18" i="11"/>
  <c r="E19" i="25"/>
  <c r="M19" i="49"/>
  <c r="M292" i="49"/>
  <c r="E292" i="25"/>
  <c r="C291" i="11"/>
  <c r="E259" i="25"/>
  <c r="M259" i="49"/>
  <c r="C258" i="11"/>
  <c r="E11" i="25"/>
  <c r="C10" i="11"/>
  <c r="M11" i="49"/>
  <c r="M20" i="49"/>
  <c r="E20" i="25"/>
  <c r="C19" i="11"/>
  <c r="E47" i="25"/>
  <c r="M47" i="49"/>
  <c r="C46" i="11"/>
  <c r="E73" i="25"/>
  <c r="M73" i="49"/>
  <c r="C72" i="11"/>
  <c r="E31" i="25"/>
  <c r="M31" i="49"/>
  <c r="C30" i="11"/>
  <c r="E22" i="25"/>
  <c r="M22" i="49"/>
  <c r="C21" i="11"/>
  <c r="E246" i="25"/>
  <c r="M246" i="49"/>
  <c r="C245" i="11"/>
  <c r="M308" i="49"/>
  <c r="E308" i="25"/>
  <c r="C307" i="11"/>
  <c r="M13" i="49"/>
  <c r="C12" i="11"/>
  <c r="E13" i="25"/>
  <c r="M297" i="49"/>
  <c r="E297" i="25"/>
  <c r="C296" i="11"/>
  <c r="E305" i="25"/>
  <c r="M305" i="49"/>
  <c r="C304" i="11"/>
  <c r="C103" i="11"/>
  <c r="E104" i="25"/>
  <c r="M104" i="49"/>
  <c r="E157" i="25"/>
  <c r="C156" i="11"/>
  <c r="M157" i="49"/>
  <c r="M208" i="49"/>
  <c r="E208" i="25"/>
  <c r="C207" i="11"/>
  <c r="M16" i="49"/>
  <c r="E16" i="25"/>
  <c r="C15" i="11"/>
  <c r="E151" i="25"/>
  <c r="M151" i="49"/>
  <c r="C150" i="11"/>
  <c r="E279" i="25"/>
  <c r="M279" i="49"/>
  <c r="C278" i="11"/>
  <c r="E61" i="25"/>
  <c r="M61" i="49"/>
  <c r="C60" i="11"/>
  <c r="M152" i="49"/>
  <c r="E152" i="25"/>
  <c r="C151" i="11"/>
  <c r="C182" i="11"/>
  <c r="E183" i="25"/>
  <c r="M183" i="49"/>
  <c r="E261" i="25"/>
  <c r="C260" i="11"/>
  <c r="M261" i="49"/>
  <c r="M257" i="49"/>
  <c r="C256" i="11"/>
  <c r="E257" i="25"/>
  <c r="C187" i="11"/>
  <c r="M188" i="49"/>
  <c r="E188" i="25"/>
  <c r="E243" i="25"/>
  <c r="M243" i="49"/>
  <c r="C242" i="11"/>
  <c r="E314" i="25"/>
  <c r="M314" i="49"/>
  <c r="C313" i="11"/>
  <c r="E162" i="25"/>
  <c r="M162" i="49"/>
  <c r="C161" i="11"/>
  <c r="E166" i="25"/>
  <c r="M166" i="49"/>
  <c r="C165" i="11"/>
  <c r="C149" i="11"/>
  <c r="E150" i="25"/>
  <c r="M150" i="49"/>
  <c r="M222" i="49"/>
  <c r="C221" i="11"/>
  <c r="E222" i="25"/>
  <c r="E302" i="25"/>
  <c r="C301" i="11"/>
  <c r="M302" i="49"/>
  <c r="E178" i="25"/>
  <c r="M178" i="49"/>
  <c r="C177" i="11"/>
  <c r="C173" i="11"/>
  <c r="E174" i="25"/>
  <c r="M174" i="49"/>
  <c r="E238" i="25"/>
  <c r="M238" i="49"/>
  <c r="C237" i="11"/>
  <c r="C213" i="11"/>
  <c r="E214" i="25"/>
  <c r="M214" i="49"/>
  <c r="E198" i="25"/>
  <c r="M198" i="49"/>
  <c r="C197" i="11"/>
  <c r="E62" i="25"/>
  <c r="M62" i="49"/>
  <c r="C61" i="11"/>
  <c r="E262" i="25"/>
  <c r="M262" i="49"/>
  <c r="C261" i="11"/>
  <c r="E134" i="25"/>
  <c r="M134" i="49"/>
  <c r="C133" i="11"/>
  <c r="E87" i="25"/>
  <c r="M87" i="49"/>
  <c r="C86" i="11"/>
  <c r="C244" i="11"/>
  <c r="M245" i="49"/>
  <c r="E245" i="25"/>
  <c r="M121" i="49"/>
  <c r="C120" i="11"/>
  <c r="E121" i="25"/>
  <c r="C240" i="11"/>
  <c r="E241" i="25"/>
  <c r="M241" i="49"/>
  <c r="E295" i="25"/>
  <c r="M295" i="49"/>
  <c r="C294" i="11"/>
  <c r="E110" i="25"/>
  <c r="M110" i="49"/>
  <c r="C109" i="11"/>
  <c r="E251" i="25"/>
  <c r="M251" i="49"/>
  <c r="C250" i="11"/>
  <c r="E71" i="25"/>
  <c r="M71" i="49"/>
  <c r="C70" i="11"/>
  <c r="E253" i="25"/>
  <c r="C252" i="11"/>
  <c r="M253" i="49"/>
  <c r="E14" i="25"/>
  <c r="C13" i="11"/>
  <c r="M14" i="49"/>
  <c r="C292" i="11"/>
  <c r="M293" i="49"/>
  <c r="E293" i="25"/>
  <c r="E118" i="25"/>
  <c r="M118" i="49"/>
  <c r="C117" i="11"/>
  <c r="E284" i="25"/>
  <c r="C283" i="11"/>
  <c r="M284" i="49"/>
  <c r="M76" i="49"/>
  <c r="E76" i="25"/>
  <c r="C75" i="11"/>
  <c r="E30" i="25"/>
  <c r="M30" i="49"/>
  <c r="C29" i="11"/>
  <c r="E161" i="25"/>
  <c r="M161" i="49"/>
  <c r="C160" i="11"/>
  <c r="M180" i="49"/>
  <c r="E180" i="25"/>
  <c r="C179" i="11"/>
  <c r="M307" i="49"/>
  <c r="E307" i="25"/>
  <c r="C306" i="11"/>
  <c r="C166" i="11"/>
  <c r="E167" i="25"/>
  <c r="M167" i="49"/>
  <c r="C198" i="11"/>
  <c r="E199" i="25"/>
  <c r="M199" i="49"/>
  <c r="C71" i="11"/>
  <c r="M72" i="49"/>
  <c r="E72" i="25"/>
  <c r="E272" i="25"/>
  <c r="C271" i="11"/>
  <c r="M272" i="49"/>
  <c r="M84" i="49"/>
  <c r="E84" i="25"/>
  <c r="C83" i="11"/>
  <c r="E46" i="25"/>
  <c r="M46" i="49"/>
  <c r="C45" i="11"/>
  <c r="C155" i="11"/>
  <c r="M156" i="49"/>
  <c r="E156" i="25"/>
  <c r="E95" i="25"/>
  <c r="M95" i="49"/>
  <c r="C94" i="11"/>
  <c r="E291" i="25"/>
  <c r="M291" i="49"/>
  <c r="C290" i="11"/>
  <c r="C64" i="11"/>
  <c r="E65" i="25"/>
  <c r="M65" i="49"/>
  <c r="E42" i="25"/>
  <c r="M42" i="49"/>
  <c r="C41" i="11"/>
  <c r="M255" i="49"/>
  <c r="C254" i="11"/>
  <c r="E255" i="25"/>
  <c r="M10" i="49"/>
  <c r="E10" i="25"/>
  <c r="C9" i="11"/>
  <c r="C174" i="11"/>
  <c r="E175" i="25"/>
  <c r="M175" i="49"/>
  <c r="M168" i="49"/>
  <c r="C167" i="11"/>
  <c r="E168" i="25"/>
  <c r="E282" i="25"/>
  <c r="M282" i="49"/>
  <c r="C281" i="11"/>
  <c r="E68" i="25"/>
  <c r="C67" i="11"/>
  <c r="M68" i="49"/>
  <c r="M171" i="49"/>
  <c r="E171" i="25"/>
  <c r="C170" i="11"/>
  <c r="M280" i="49"/>
  <c r="C279" i="11"/>
  <c r="E280" i="25"/>
  <c r="M120" i="49"/>
  <c r="E120" i="25"/>
  <c r="C119" i="11"/>
  <c r="E149" i="25"/>
  <c r="C148" i="11"/>
  <c r="M149" i="49"/>
  <c r="E300" i="25"/>
  <c r="M300" i="49"/>
  <c r="C299" i="11"/>
  <c r="M124" i="49"/>
  <c r="E124" i="25"/>
  <c r="C123" i="11"/>
  <c r="E249" i="25"/>
  <c r="M249" i="49"/>
  <c r="C248" i="11"/>
  <c r="E52" i="25"/>
  <c r="C51" i="11"/>
  <c r="M52" i="49"/>
  <c r="E89" i="25"/>
  <c r="M89" i="49"/>
  <c r="C88" i="11"/>
  <c r="E191" i="25"/>
  <c r="M191" i="49"/>
  <c r="C190" i="11"/>
  <c r="E38" i="25"/>
  <c r="M38" i="49"/>
  <c r="C37" i="11"/>
  <c r="M228" i="49"/>
  <c r="E228" i="25"/>
  <c r="C227" i="11"/>
  <c r="C95" i="11"/>
  <c r="E96" i="25"/>
  <c r="M96" i="49"/>
  <c r="M219" i="49"/>
  <c r="E219" i="25"/>
  <c r="C218" i="11"/>
  <c r="E99" i="25"/>
  <c r="M99" i="49"/>
  <c r="C98" i="11"/>
  <c r="E197" i="25"/>
  <c r="C196" i="11"/>
  <c r="M197" i="49"/>
  <c r="M201" i="49"/>
  <c r="C200" i="11"/>
  <c r="E201" i="25"/>
  <c r="M212" i="49"/>
  <c r="E212" i="25"/>
  <c r="C211" i="11"/>
  <c r="C145" i="11"/>
  <c r="E146" i="25"/>
  <c r="M146" i="49"/>
  <c r="E119" i="25"/>
  <c r="M119" i="49"/>
  <c r="C118" i="11"/>
  <c r="C298" i="11"/>
  <c r="E299" i="25"/>
  <c r="M299" i="49"/>
  <c r="M112" i="49"/>
  <c r="E112" i="25"/>
  <c r="C111" i="11"/>
  <c r="C199" i="11"/>
  <c r="E200" i="25"/>
  <c r="M200" i="49"/>
  <c r="E213" i="25"/>
  <c r="C212" i="11"/>
  <c r="M213" i="49"/>
  <c r="M227" i="49"/>
  <c r="C226" i="11"/>
  <c r="E227" i="25"/>
  <c r="C116" i="11"/>
  <c r="M117" i="49"/>
  <c r="E117" i="25"/>
  <c r="M313" i="49"/>
  <c r="C312" i="11"/>
  <c r="E313" i="25"/>
  <c r="E97" i="25"/>
  <c r="M97" i="49"/>
  <c r="C96" i="11"/>
  <c r="M204" i="49"/>
  <c r="E204" i="25"/>
  <c r="C203" i="11"/>
  <c r="E235" i="25"/>
  <c r="M235" i="49"/>
  <c r="C234" i="11"/>
  <c r="E268" i="25"/>
  <c r="M268" i="49"/>
  <c r="C267" i="11"/>
  <c r="C311" i="11"/>
  <c r="M312" i="49"/>
  <c r="E312" i="25"/>
  <c r="E143" i="25"/>
  <c r="M143" i="49"/>
  <c r="C142" i="11"/>
  <c r="M278" i="49"/>
  <c r="E278" i="25"/>
  <c r="C277" i="11"/>
  <c r="E9" i="25"/>
  <c r="M9" i="49"/>
  <c r="C8" i="11"/>
  <c r="M132" i="49"/>
  <c r="E132" i="25"/>
  <c r="C131" i="11"/>
  <c r="M252" i="49"/>
  <c r="E252" i="25"/>
  <c r="C251" i="11"/>
  <c r="M55" i="49"/>
  <c r="C54" i="11"/>
  <c r="E55" i="25"/>
  <c r="E194" i="25"/>
  <c r="M194" i="49"/>
  <c r="C193" i="11"/>
  <c r="C127" i="11"/>
  <c r="E128" i="25"/>
  <c r="M128" i="49"/>
  <c r="E17" i="25"/>
  <c r="M17" i="49"/>
  <c r="C16" i="11"/>
  <c r="M25" i="49"/>
  <c r="C24" i="11"/>
  <c r="E25" i="25"/>
  <c r="C50" i="11"/>
  <c r="E51" i="25"/>
  <c r="M51" i="49"/>
  <c r="C11" i="11"/>
  <c r="M12" i="49"/>
  <c r="E12" i="25"/>
  <c r="E296" i="25"/>
  <c r="C295" i="11"/>
  <c r="M296" i="49"/>
  <c r="E229" i="25"/>
  <c r="C228" i="11"/>
  <c r="M229" i="49"/>
  <c r="E189" i="25"/>
  <c r="C188" i="11"/>
  <c r="M189" i="49"/>
  <c r="E8" i="25"/>
  <c r="M8" i="49"/>
  <c r="C7" i="11"/>
  <c r="E206" i="25"/>
  <c r="M206" i="49"/>
  <c r="C205" i="11"/>
  <c r="M86" i="49"/>
  <c r="C85" i="11"/>
  <c r="E86" i="25"/>
  <c r="C44" i="11"/>
  <c r="E45" i="25"/>
  <c r="M45" i="49"/>
  <c r="M40" i="49"/>
  <c r="C39" i="11"/>
  <c r="E40" i="25"/>
  <c r="E114" i="25"/>
  <c r="M114" i="49"/>
  <c r="C113" i="11"/>
  <c r="C236" i="11"/>
  <c r="M237" i="49"/>
  <c r="E237" i="25"/>
  <c r="C269" i="11"/>
  <c r="E270" i="25"/>
  <c r="M270" i="49"/>
  <c r="M220" i="49"/>
  <c r="E220" i="25"/>
  <c r="C219" i="11"/>
  <c r="C82" i="11"/>
  <c r="E83" i="25"/>
  <c r="M83" i="49"/>
  <c r="C225" i="11"/>
  <c r="E226" i="25"/>
  <c r="M226" i="49"/>
  <c r="E26" i="25"/>
  <c r="M26" i="49"/>
  <c r="C25" i="11"/>
  <c r="E137" i="25"/>
  <c r="M137" i="49"/>
  <c r="C136" i="11"/>
  <c r="E283" i="25"/>
  <c r="M283" i="49"/>
  <c r="C282" i="11"/>
  <c r="C146" i="11"/>
  <c r="E147" i="25"/>
  <c r="M147" i="49"/>
  <c r="E193" i="25"/>
  <c r="C192" i="11"/>
  <c r="M193" i="49"/>
  <c r="C216" i="11"/>
  <c r="E217" i="25"/>
  <c r="M217" i="49"/>
  <c r="M269" i="49"/>
  <c r="E269" i="25"/>
  <c r="C268" i="11"/>
  <c r="M75" i="49"/>
  <c r="E75" i="25"/>
  <c r="C74" i="11"/>
  <c r="E50" i="25"/>
  <c r="C49" i="11"/>
  <c r="M50" i="49"/>
  <c r="M224" i="49"/>
  <c r="C223" i="11"/>
  <c r="E224" i="25"/>
  <c r="M231" i="49"/>
  <c r="E231" i="25"/>
  <c r="C230" i="11"/>
  <c r="M94" i="49"/>
  <c r="E94" i="25"/>
  <c r="C93" i="11"/>
  <c r="E49" i="25"/>
  <c r="M49" i="49"/>
  <c r="C48" i="11"/>
  <c r="M140" i="49"/>
  <c r="E140" i="25"/>
  <c r="C139" i="11"/>
  <c r="C305" i="11"/>
  <c r="M306" i="49"/>
  <c r="E306" i="25"/>
  <c r="C124" i="11"/>
  <c r="M125" i="49"/>
  <c r="E125" i="25"/>
  <c r="M160" i="49"/>
  <c r="C159" i="11"/>
  <c r="E160" i="25"/>
  <c r="E93" i="25"/>
  <c r="C92" i="11"/>
  <c r="M93" i="49"/>
  <c r="C255" i="11"/>
  <c r="E256" i="25"/>
  <c r="M256" i="49"/>
  <c r="E232" i="25"/>
  <c r="M232" i="49"/>
  <c r="C231" i="11"/>
  <c r="E163" i="25"/>
  <c r="M163" i="49"/>
  <c r="C162" i="11"/>
  <c r="M247" i="49"/>
  <c r="C246" i="11"/>
  <c r="E247" i="25"/>
  <c r="E266" i="25"/>
  <c r="M266" i="49"/>
  <c r="C265" i="11"/>
  <c r="C42" i="11"/>
  <c r="M43" i="49"/>
  <c r="E43" i="25"/>
  <c r="E53" i="25"/>
  <c r="M53" i="49"/>
  <c r="C52" i="11"/>
  <c r="M107" i="49"/>
  <c r="E107" i="25"/>
  <c r="C106" i="11"/>
  <c r="E109" i="25"/>
  <c r="C108" i="11"/>
  <c r="M109" i="49"/>
  <c r="M274" i="49"/>
  <c r="E274" i="25"/>
  <c r="C273" i="11"/>
  <c r="M264" i="49"/>
  <c r="C263" i="11"/>
  <c r="E264" i="25"/>
  <c r="E79" i="25"/>
  <c r="M79" i="49"/>
  <c r="C78" i="11"/>
  <c r="C172" i="11"/>
  <c r="M173" i="49"/>
  <c r="E173" i="25"/>
  <c r="E144" i="25"/>
  <c r="C143" i="11"/>
  <c r="M144" i="49"/>
  <c r="E145" i="25"/>
  <c r="M145" i="49"/>
  <c r="C144" i="11"/>
  <c r="C303" i="11"/>
  <c r="E304" i="25"/>
  <c r="M304" i="49"/>
  <c r="E101" i="25"/>
  <c r="C100" i="11"/>
  <c r="M101" i="49"/>
  <c r="E39" i="25"/>
  <c r="M39" i="49"/>
  <c r="C38" i="11"/>
  <c r="C66" i="11"/>
  <c r="E67" i="25"/>
  <c r="M67" i="49"/>
  <c r="E165" i="25"/>
  <c r="C164" i="11"/>
  <c r="M165" i="49"/>
  <c r="E215" i="25"/>
  <c r="M215" i="49"/>
  <c r="C214" i="11"/>
  <c r="E185" i="25"/>
  <c r="M185" i="49"/>
  <c r="C184" i="11"/>
  <c r="E207" i="25"/>
  <c r="M207" i="49"/>
  <c r="C206" i="11"/>
  <c r="C266" i="11"/>
  <c r="M267" i="49"/>
  <c r="E267" i="25"/>
  <c r="E248" i="25"/>
  <c r="C247" i="11"/>
  <c r="M248" i="49"/>
  <c r="M176" i="49"/>
  <c r="E176" i="25"/>
  <c r="C175" i="11"/>
  <c r="C285" i="11"/>
  <c r="M286" i="49"/>
  <c r="E286" i="25"/>
  <c r="M195" i="49"/>
  <c r="C194" i="11"/>
  <c r="E195" i="25"/>
  <c r="E263" i="25"/>
  <c r="M263" i="49"/>
  <c r="C262" i="11"/>
  <c r="E23" i="25"/>
  <c r="M23" i="49"/>
  <c r="C22" i="11"/>
  <c r="M80" i="49"/>
  <c r="E80" i="25"/>
  <c r="C79" i="11"/>
  <c r="E153" i="25"/>
  <c r="M153" i="49"/>
  <c r="C152" i="11"/>
  <c r="M48" i="49"/>
  <c r="E48" i="25"/>
  <c r="C47" i="11"/>
  <c r="M78" i="49"/>
  <c r="C77" i="11"/>
  <c r="E78" i="25"/>
  <c r="E309" i="25"/>
  <c r="C308" i="11"/>
  <c r="M309" i="49"/>
  <c r="C132" i="11"/>
  <c r="M133" i="49"/>
  <c r="E133" i="25"/>
  <c r="E54" i="25"/>
  <c r="C53" i="11"/>
  <c r="M54" i="49"/>
  <c r="E103" i="25"/>
  <c r="M103" i="49"/>
  <c r="C102" i="11"/>
  <c r="E105" i="25"/>
  <c r="M105" i="49"/>
  <c r="C104" i="11"/>
  <c r="E155" i="25"/>
  <c r="C154" i="11"/>
  <c r="M155" i="49"/>
  <c r="E139" i="25"/>
  <c r="C138" i="11"/>
  <c r="M139" i="49"/>
  <c r="C6" i="11"/>
  <c r="E7" i="25"/>
  <c r="M7" i="49"/>
  <c r="M288" i="49"/>
  <c r="C287" i="11"/>
  <c r="E288" i="25"/>
  <c r="C220" i="11"/>
  <c r="M221" i="49"/>
  <c r="E221" i="25"/>
  <c r="M90" i="49"/>
  <c r="C89" i="11"/>
  <c r="E90" i="25"/>
  <c r="C189" i="11"/>
  <c r="E190" i="25"/>
  <c r="M190" i="49"/>
  <c r="C69" i="11"/>
  <c r="E70" i="25"/>
  <c r="M70" i="49"/>
  <c r="M82" i="49"/>
  <c r="C81" i="11"/>
  <c r="E82" i="25"/>
  <c r="C185" i="11"/>
  <c r="E186" i="25"/>
  <c r="M186" i="49"/>
  <c r="C201" i="11"/>
  <c r="E202" i="25"/>
  <c r="M202" i="49"/>
  <c r="E66" i="25"/>
  <c r="M66" i="49"/>
  <c r="C65" i="11"/>
  <c r="E74" i="25"/>
  <c r="M74" i="49"/>
  <c r="C73" i="11"/>
  <c r="C229" i="11"/>
  <c r="E230" i="25"/>
  <c r="M230" i="49"/>
  <c r="E58" i="25"/>
  <c r="M58" i="49"/>
  <c r="C57" i="11"/>
  <c r="E158" i="25"/>
  <c r="M158" i="49"/>
  <c r="C157" i="11"/>
  <c r="M18" i="49"/>
  <c r="E18" i="25"/>
  <c r="C17" i="11"/>
  <c r="M138" i="49"/>
  <c r="C137" i="11"/>
  <c r="E138" i="25"/>
  <c r="E182" i="25"/>
  <c r="M182" i="49"/>
  <c r="C181" i="11"/>
  <c r="E289" i="25"/>
  <c r="M289" i="49"/>
  <c r="C288" i="11"/>
  <c r="J244" i="13"/>
  <c r="G244" i="49"/>
  <c r="J170" i="13"/>
  <c r="G170" i="49"/>
  <c r="M4" i="11"/>
  <c r="I4" i="11"/>
  <c r="H268" i="11" l="1"/>
  <c r="I268" i="11" s="1"/>
  <c r="L268" i="11"/>
  <c r="M268" i="11" s="1"/>
  <c r="H311" i="11"/>
  <c r="I311" i="11" s="1"/>
  <c r="L311" i="11"/>
  <c r="M311" i="11" s="1"/>
  <c r="L111" i="11"/>
  <c r="M111" i="11" s="1"/>
  <c r="H111" i="11"/>
  <c r="I111" i="11" s="1"/>
  <c r="M244" i="49"/>
  <c r="E244" i="25"/>
  <c r="C243" i="11"/>
  <c r="L240" i="11"/>
  <c r="M240" i="11" s="1"/>
  <c r="H240" i="11"/>
  <c r="I240" i="11" s="1"/>
  <c r="L221" i="11"/>
  <c r="M221" i="11" s="1"/>
  <c r="H221" i="11"/>
  <c r="I221" i="11" s="1"/>
  <c r="L220" i="11"/>
  <c r="M220" i="11" s="1"/>
  <c r="H220" i="11"/>
  <c r="I220" i="11" s="1"/>
  <c r="L132" i="11"/>
  <c r="M132" i="11" s="1"/>
  <c r="H132" i="11"/>
  <c r="I132" i="11" s="1"/>
  <c r="L262" i="11"/>
  <c r="M262" i="11" s="1"/>
  <c r="H262" i="11"/>
  <c r="I262" i="11" s="1"/>
  <c r="H214" i="11"/>
  <c r="I214" i="11" s="1"/>
  <c r="L214" i="11"/>
  <c r="M214" i="11" s="1"/>
  <c r="L231" i="11"/>
  <c r="M231" i="11" s="1"/>
  <c r="H231" i="11"/>
  <c r="I231" i="11" s="1"/>
  <c r="H159" i="11"/>
  <c r="I159" i="11" s="1"/>
  <c r="L159" i="11"/>
  <c r="M159" i="11" s="1"/>
  <c r="L205" i="11"/>
  <c r="M205" i="11" s="1"/>
  <c r="H205" i="11"/>
  <c r="I205" i="11" s="1"/>
  <c r="H228" i="11"/>
  <c r="I228" i="11" s="1"/>
  <c r="L228" i="11"/>
  <c r="M228" i="11" s="1"/>
  <c r="L131" i="11"/>
  <c r="M131" i="11" s="1"/>
  <c r="H131" i="11"/>
  <c r="I131" i="11" s="1"/>
  <c r="L312" i="11"/>
  <c r="M312" i="11" s="1"/>
  <c r="H312" i="11"/>
  <c r="I312" i="11" s="1"/>
  <c r="H123" i="11"/>
  <c r="I123" i="11" s="1"/>
  <c r="L123" i="11"/>
  <c r="M123" i="11" s="1"/>
  <c r="L294" i="11"/>
  <c r="M294" i="11" s="1"/>
  <c r="H294" i="11"/>
  <c r="I294" i="11" s="1"/>
  <c r="H133" i="11"/>
  <c r="I133" i="11" s="1"/>
  <c r="L133" i="11"/>
  <c r="M133" i="11" s="1"/>
  <c r="L197" i="11"/>
  <c r="M197" i="11" s="1"/>
  <c r="H197" i="11"/>
  <c r="I197" i="11" s="1"/>
  <c r="L301" i="11"/>
  <c r="M301" i="11" s="1"/>
  <c r="H301" i="11"/>
  <c r="I301" i="11" s="1"/>
  <c r="H278" i="11"/>
  <c r="I278" i="11" s="1"/>
  <c r="L278" i="11"/>
  <c r="M278" i="11" s="1"/>
  <c r="L304" i="11"/>
  <c r="M304" i="11" s="1"/>
  <c r="H304" i="11"/>
  <c r="I304" i="11" s="1"/>
  <c r="L114" i="11"/>
  <c r="M114" i="11" s="1"/>
  <c r="H114" i="11"/>
  <c r="I114" i="11" s="1"/>
  <c r="L274" i="11"/>
  <c r="M274" i="11" s="1"/>
  <c r="H274" i="11"/>
  <c r="I274" i="11" s="1"/>
  <c r="L191" i="11"/>
  <c r="M191" i="11" s="1"/>
  <c r="H191" i="11"/>
  <c r="I191" i="11" s="1"/>
  <c r="L122" i="11"/>
  <c r="M122" i="11" s="1"/>
  <c r="H122" i="11"/>
  <c r="I122" i="11" s="1"/>
  <c r="L217" i="11"/>
  <c r="M217" i="11" s="1"/>
  <c r="H217" i="11"/>
  <c r="I217" i="11" s="1"/>
  <c r="L270" i="11"/>
  <c r="M270" i="11" s="1"/>
  <c r="H270" i="11"/>
  <c r="I270" i="11" s="1"/>
  <c r="L180" i="11"/>
  <c r="M180" i="11" s="1"/>
  <c r="H180" i="11"/>
  <c r="I180" i="11" s="1"/>
  <c r="L164" i="11"/>
  <c r="M164" i="11" s="1"/>
  <c r="H164" i="11"/>
  <c r="I164" i="11" s="1"/>
  <c r="L265" i="11"/>
  <c r="M265" i="11" s="1"/>
  <c r="H265" i="11"/>
  <c r="I265" i="11" s="1"/>
  <c r="L298" i="11"/>
  <c r="M298" i="11" s="1"/>
  <c r="H298" i="11"/>
  <c r="I298" i="11" s="1"/>
  <c r="L151" i="11"/>
  <c r="M151" i="11" s="1"/>
  <c r="H151" i="11"/>
  <c r="I151" i="11" s="1"/>
  <c r="L309" i="11"/>
  <c r="M309" i="11" s="1"/>
  <c r="H309" i="11"/>
  <c r="I309" i="11" s="1"/>
  <c r="L176" i="11"/>
  <c r="M176" i="11" s="1"/>
  <c r="H176" i="11"/>
  <c r="I176" i="11" s="1"/>
  <c r="L135" i="11"/>
  <c r="M135" i="11" s="1"/>
  <c r="H135" i="11"/>
  <c r="I135" i="11" s="1"/>
  <c r="L130" i="11"/>
  <c r="M130" i="11" s="1"/>
  <c r="H130" i="11"/>
  <c r="I130" i="11" s="1"/>
  <c r="H229" i="11"/>
  <c r="I229" i="11" s="1"/>
  <c r="L229" i="11"/>
  <c r="M229" i="11" s="1"/>
  <c r="H77" i="11"/>
  <c r="I77" i="11" s="1"/>
  <c r="L77" i="11"/>
  <c r="M77" i="11" s="1"/>
  <c r="H152" i="11"/>
  <c r="I152" i="11" s="1"/>
  <c r="L152" i="11"/>
  <c r="M152" i="11" s="1"/>
  <c r="L106" i="11"/>
  <c r="M106" i="11" s="1"/>
  <c r="H106" i="11"/>
  <c r="I106" i="11" s="1"/>
  <c r="L162" i="11"/>
  <c r="M162" i="11" s="1"/>
  <c r="H162" i="11"/>
  <c r="I162" i="11" s="1"/>
  <c r="L136" i="11"/>
  <c r="M136" i="11" s="1"/>
  <c r="H136" i="11"/>
  <c r="I136" i="11" s="1"/>
  <c r="L96" i="11"/>
  <c r="M96" i="11" s="1"/>
  <c r="H96" i="11"/>
  <c r="I96" i="11" s="1"/>
  <c r="H118" i="11"/>
  <c r="I118" i="11" s="1"/>
  <c r="L118" i="11"/>
  <c r="M118" i="11" s="1"/>
  <c r="H145" i="11"/>
  <c r="I145" i="11" s="1"/>
  <c r="L145" i="11"/>
  <c r="M145" i="11" s="1"/>
  <c r="L200" i="11"/>
  <c r="M200" i="11" s="1"/>
  <c r="H200" i="11"/>
  <c r="I200" i="11" s="1"/>
  <c r="L98" i="11"/>
  <c r="M98" i="11" s="1"/>
  <c r="H98" i="11"/>
  <c r="I98" i="11" s="1"/>
  <c r="L88" i="11"/>
  <c r="M88" i="11" s="1"/>
  <c r="H88" i="11"/>
  <c r="I88" i="11" s="1"/>
  <c r="L170" i="11"/>
  <c r="M170" i="11" s="1"/>
  <c r="H170" i="11"/>
  <c r="I170" i="11" s="1"/>
  <c r="L160" i="11"/>
  <c r="M160" i="11" s="1"/>
  <c r="H160" i="11"/>
  <c r="I160" i="11" s="1"/>
  <c r="H283" i="11"/>
  <c r="I283" i="11" s="1"/>
  <c r="L283" i="11"/>
  <c r="M283" i="11" s="1"/>
  <c r="L109" i="11"/>
  <c r="M109" i="11" s="1"/>
  <c r="H109" i="11"/>
  <c r="I109" i="11" s="1"/>
  <c r="L244" i="11"/>
  <c r="M244" i="11" s="1"/>
  <c r="H244" i="11"/>
  <c r="I244" i="11" s="1"/>
  <c r="H237" i="11"/>
  <c r="I237" i="11" s="1"/>
  <c r="L237" i="11"/>
  <c r="M237" i="11" s="1"/>
  <c r="H173" i="11"/>
  <c r="I173" i="11" s="1"/>
  <c r="L173" i="11"/>
  <c r="M173" i="11" s="1"/>
  <c r="H235" i="11"/>
  <c r="I235" i="11" s="1"/>
  <c r="L235" i="11"/>
  <c r="M235" i="11" s="1"/>
  <c r="H183" i="11"/>
  <c r="I183" i="11" s="1"/>
  <c r="L183" i="11"/>
  <c r="M183" i="11" s="1"/>
  <c r="L276" i="11"/>
  <c r="M276" i="11" s="1"/>
  <c r="H276" i="11"/>
  <c r="I276" i="11" s="1"/>
  <c r="L80" i="11"/>
  <c r="M80" i="11" s="1"/>
  <c r="H80" i="11"/>
  <c r="I80" i="11" s="1"/>
  <c r="H147" i="11"/>
  <c r="I147" i="11" s="1"/>
  <c r="L147" i="11"/>
  <c r="M147" i="11" s="1"/>
  <c r="L284" i="11"/>
  <c r="M284" i="11" s="1"/>
  <c r="H284" i="11"/>
  <c r="I284" i="11" s="1"/>
  <c r="H215" i="11"/>
  <c r="I215" i="11" s="1"/>
  <c r="L215" i="11"/>
  <c r="M215" i="11" s="1"/>
  <c r="L142" i="11"/>
  <c r="M142" i="11" s="1"/>
  <c r="H142" i="11"/>
  <c r="I142" i="11" s="1"/>
  <c r="L289" i="11"/>
  <c r="M289" i="11" s="1"/>
  <c r="H289" i="11"/>
  <c r="I289" i="11" s="1"/>
  <c r="L300" i="11"/>
  <c r="M300" i="11" s="1"/>
  <c r="H300" i="11"/>
  <c r="I300" i="11" s="1"/>
  <c r="L201" i="11"/>
  <c r="M201" i="11" s="1"/>
  <c r="H201" i="11"/>
  <c r="I201" i="11" s="1"/>
  <c r="H89" i="11"/>
  <c r="I89" i="11" s="1"/>
  <c r="L89" i="11"/>
  <c r="M89" i="11" s="1"/>
  <c r="L154" i="11"/>
  <c r="M154" i="11" s="1"/>
  <c r="H154" i="11"/>
  <c r="I154" i="11" s="1"/>
  <c r="L102" i="11"/>
  <c r="M102" i="11" s="1"/>
  <c r="H102" i="11"/>
  <c r="I102" i="11" s="1"/>
  <c r="L92" i="11"/>
  <c r="M92" i="11" s="1"/>
  <c r="H92" i="11"/>
  <c r="I92" i="11" s="1"/>
  <c r="L223" i="11"/>
  <c r="M223" i="11" s="1"/>
  <c r="H223" i="11"/>
  <c r="I223" i="11" s="1"/>
  <c r="L146" i="11"/>
  <c r="M146" i="11" s="1"/>
  <c r="H146" i="11"/>
  <c r="I146" i="11" s="1"/>
  <c r="L82" i="11"/>
  <c r="M82" i="11" s="1"/>
  <c r="H82" i="11"/>
  <c r="I82" i="11" s="1"/>
  <c r="L236" i="11"/>
  <c r="M236" i="11" s="1"/>
  <c r="H236" i="11"/>
  <c r="I236" i="11" s="1"/>
  <c r="L193" i="11"/>
  <c r="M193" i="11" s="1"/>
  <c r="H193" i="11"/>
  <c r="I193" i="11" s="1"/>
  <c r="L277" i="11"/>
  <c r="M277" i="11" s="1"/>
  <c r="H277" i="11"/>
  <c r="I277" i="11" s="1"/>
  <c r="L226" i="11"/>
  <c r="M226" i="11" s="1"/>
  <c r="H226" i="11"/>
  <c r="I226" i="11" s="1"/>
  <c r="L227" i="11"/>
  <c r="M227" i="11" s="1"/>
  <c r="H227" i="11"/>
  <c r="I227" i="11" s="1"/>
  <c r="L190" i="11"/>
  <c r="M190" i="11" s="1"/>
  <c r="H190" i="11"/>
  <c r="I190" i="11" s="1"/>
  <c r="L148" i="11"/>
  <c r="M148" i="11" s="1"/>
  <c r="H148" i="11"/>
  <c r="I148" i="11" s="1"/>
  <c r="L281" i="11"/>
  <c r="M281" i="11" s="1"/>
  <c r="H281" i="11"/>
  <c r="I281" i="11" s="1"/>
  <c r="H174" i="11"/>
  <c r="I174" i="11" s="1"/>
  <c r="L174" i="11"/>
  <c r="M174" i="11" s="1"/>
  <c r="H290" i="11"/>
  <c r="I290" i="11" s="1"/>
  <c r="L290" i="11"/>
  <c r="M290" i="11" s="1"/>
  <c r="L179" i="11"/>
  <c r="M179" i="11" s="1"/>
  <c r="H179" i="11"/>
  <c r="I179" i="11" s="1"/>
  <c r="L86" i="11"/>
  <c r="M86" i="11" s="1"/>
  <c r="H86" i="11"/>
  <c r="I86" i="11" s="1"/>
  <c r="L313" i="11"/>
  <c r="M313" i="11" s="1"/>
  <c r="H313" i="11"/>
  <c r="I313" i="11" s="1"/>
  <c r="L256" i="11"/>
  <c r="M256" i="11" s="1"/>
  <c r="H256" i="11"/>
  <c r="I256" i="11" s="1"/>
  <c r="L245" i="11"/>
  <c r="M245" i="11" s="1"/>
  <c r="H245" i="11"/>
  <c r="I245" i="11" s="1"/>
  <c r="L208" i="11"/>
  <c r="M208" i="11" s="1"/>
  <c r="H208" i="11"/>
  <c r="I208" i="11" s="1"/>
  <c r="L91" i="11"/>
  <c r="M91" i="11" s="1"/>
  <c r="H91" i="11"/>
  <c r="I91" i="11" s="1"/>
  <c r="L259" i="11"/>
  <c r="M259" i="11" s="1"/>
  <c r="H259" i="11"/>
  <c r="I259" i="11" s="1"/>
  <c r="L224" i="11"/>
  <c r="M224" i="11" s="1"/>
  <c r="H224" i="11"/>
  <c r="I224" i="11" s="1"/>
  <c r="H105" i="11"/>
  <c r="I105" i="11" s="1"/>
  <c r="L105" i="11"/>
  <c r="M105" i="11" s="1"/>
  <c r="L293" i="11"/>
  <c r="M293" i="11" s="1"/>
  <c r="H293" i="11"/>
  <c r="I293" i="11" s="1"/>
  <c r="H110" i="11"/>
  <c r="I110" i="11" s="1"/>
  <c r="L110" i="11"/>
  <c r="M110" i="11" s="1"/>
  <c r="L249" i="11"/>
  <c r="M249" i="11" s="1"/>
  <c r="H249" i="11"/>
  <c r="I249" i="11" s="1"/>
  <c r="L222" i="11"/>
  <c r="M222" i="11" s="1"/>
  <c r="H222" i="11"/>
  <c r="I222" i="11" s="1"/>
  <c r="L186" i="11"/>
  <c r="M186" i="11" s="1"/>
  <c r="H186" i="11"/>
  <c r="I186" i="11" s="1"/>
  <c r="L233" i="11"/>
  <c r="M233" i="11" s="1"/>
  <c r="H233" i="11"/>
  <c r="I233" i="11" s="1"/>
  <c r="L115" i="11"/>
  <c r="M115" i="11" s="1"/>
  <c r="H115" i="11"/>
  <c r="I115" i="11" s="1"/>
  <c r="H129" i="11"/>
  <c r="I129" i="11" s="1"/>
  <c r="L129" i="11"/>
  <c r="M129" i="11" s="1"/>
  <c r="L241" i="11"/>
  <c r="M241" i="11" s="1"/>
  <c r="H241" i="11"/>
  <c r="I241" i="11" s="1"/>
  <c r="L171" i="11"/>
  <c r="M171" i="11" s="1"/>
  <c r="H171" i="11"/>
  <c r="I171" i="11" s="1"/>
  <c r="L255" i="11"/>
  <c r="M255" i="11" s="1"/>
  <c r="H255" i="11"/>
  <c r="I255" i="11" s="1"/>
  <c r="H213" i="11"/>
  <c r="I213" i="11" s="1"/>
  <c r="L213" i="11"/>
  <c r="M213" i="11" s="1"/>
  <c r="L207" i="11"/>
  <c r="M207" i="11" s="1"/>
  <c r="H207" i="11"/>
  <c r="I207" i="11" s="1"/>
  <c r="L126" i="11"/>
  <c r="M126" i="11" s="1"/>
  <c r="H126" i="11"/>
  <c r="I126" i="11" s="1"/>
  <c r="L288" i="11"/>
  <c r="M288" i="11" s="1"/>
  <c r="H288" i="11"/>
  <c r="I288" i="11" s="1"/>
  <c r="L81" i="11"/>
  <c r="M81" i="11" s="1"/>
  <c r="H81" i="11"/>
  <c r="I81" i="11" s="1"/>
  <c r="L287" i="11"/>
  <c r="M287" i="11" s="1"/>
  <c r="H287" i="11"/>
  <c r="I287" i="11" s="1"/>
  <c r="L172" i="11"/>
  <c r="M172" i="11" s="1"/>
  <c r="H172" i="11"/>
  <c r="I172" i="11" s="1"/>
  <c r="L305" i="11"/>
  <c r="M305" i="11" s="1"/>
  <c r="H305" i="11"/>
  <c r="I305" i="11" s="1"/>
  <c r="H230" i="11"/>
  <c r="I230" i="11" s="1"/>
  <c r="L230" i="11"/>
  <c r="M230" i="11" s="1"/>
  <c r="L192" i="11"/>
  <c r="M192" i="11" s="1"/>
  <c r="H192" i="11"/>
  <c r="I192" i="11" s="1"/>
  <c r="H188" i="11"/>
  <c r="I188" i="11" s="1"/>
  <c r="L188" i="11"/>
  <c r="M188" i="11" s="1"/>
  <c r="L267" i="11"/>
  <c r="M267" i="11" s="1"/>
  <c r="H267" i="11"/>
  <c r="I267" i="11" s="1"/>
  <c r="L211" i="11"/>
  <c r="M211" i="11" s="1"/>
  <c r="H211" i="11"/>
  <c r="I211" i="11" s="1"/>
  <c r="H248" i="11"/>
  <c r="I248" i="11" s="1"/>
  <c r="L248" i="11"/>
  <c r="M248" i="11" s="1"/>
  <c r="L279" i="11"/>
  <c r="M279" i="11" s="1"/>
  <c r="H279" i="11"/>
  <c r="I279" i="11" s="1"/>
  <c r="L117" i="11"/>
  <c r="M117" i="11" s="1"/>
  <c r="H117" i="11"/>
  <c r="I117" i="11" s="1"/>
  <c r="H252" i="11"/>
  <c r="I252" i="11" s="1"/>
  <c r="L252" i="11"/>
  <c r="M252" i="11" s="1"/>
  <c r="L120" i="11"/>
  <c r="M120" i="11" s="1"/>
  <c r="H120" i="11"/>
  <c r="I120" i="11" s="1"/>
  <c r="H177" i="11"/>
  <c r="I177" i="11" s="1"/>
  <c r="L177" i="11"/>
  <c r="M177" i="11" s="1"/>
  <c r="H161" i="11"/>
  <c r="I161" i="11" s="1"/>
  <c r="L161" i="11"/>
  <c r="M161" i="11" s="1"/>
  <c r="L291" i="11"/>
  <c r="M291" i="11" s="1"/>
  <c r="H291" i="11"/>
  <c r="I291" i="11" s="1"/>
  <c r="H134" i="11"/>
  <c r="I134" i="11" s="1"/>
  <c r="L134" i="11"/>
  <c r="M134" i="11" s="1"/>
  <c r="H286" i="11"/>
  <c r="I286" i="11" s="1"/>
  <c r="L286" i="11"/>
  <c r="M286" i="11" s="1"/>
  <c r="L232" i="11"/>
  <c r="M232" i="11" s="1"/>
  <c r="H232" i="11"/>
  <c r="I232" i="11" s="1"/>
  <c r="H209" i="11"/>
  <c r="I209" i="11" s="1"/>
  <c r="L209" i="11"/>
  <c r="M209" i="11" s="1"/>
  <c r="L163" i="11"/>
  <c r="M163" i="11" s="1"/>
  <c r="H163" i="11"/>
  <c r="I163" i="11" s="1"/>
  <c r="H87" i="11"/>
  <c r="I87" i="11" s="1"/>
  <c r="L87" i="11"/>
  <c r="M87" i="11" s="1"/>
  <c r="L239" i="11"/>
  <c r="M239" i="11" s="1"/>
  <c r="H239" i="11"/>
  <c r="I239" i="11" s="1"/>
  <c r="H195" i="11"/>
  <c r="I195" i="11" s="1"/>
  <c r="L195" i="11"/>
  <c r="M195" i="11" s="1"/>
  <c r="L210" i="11"/>
  <c r="M210" i="11" s="1"/>
  <c r="H210" i="11"/>
  <c r="I210" i="11" s="1"/>
  <c r="L125" i="11"/>
  <c r="M125" i="11" s="1"/>
  <c r="H125" i="11"/>
  <c r="I125" i="11" s="1"/>
  <c r="L185" i="11"/>
  <c r="M185" i="11" s="1"/>
  <c r="H185" i="11"/>
  <c r="I185" i="11" s="1"/>
  <c r="L175" i="11"/>
  <c r="M175" i="11" s="1"/>
  <c r="H175" i="11"/>
  <c r="I175" i="11" s="1"/>
  <c r="H99" i="11"/>
  <c r="I99" i="11" s="1"/>
  <c r="L99" i="11"/>
  <c r="M99" i="11" s="1"/>
  <c r="L308" i="11"/>
  <c r="M308" i="11" s="1"/>
  <c r="H308" i="11"/>
  <c r="I308" i="11" s="1"/>
  <c r="H285" i="11"/>
  <c r="I285" i="11" s="1"/>
  <c r="L285" i="11"/>
  <c r="M285" i="11" s="1"/>
  <c r="L266" i="11"/>
  <c r="M266" i="11" s="1"/>
  <c r="H266" i="11"/>
  <c r="I266" i="11" s="1"/>
  <c r="L184" i="11"/>
  <c r="M184" i="11" s="1"/>
  <c r="H184" i="11"/>
  <c r="I184" i="11" s="1"/>
  <c r="L303" i="11"/>
  <c r="M303" i="11" s="1"/>
  <c r="H303" i="11"/>
  <c r="I303" i="11" s="1"/>
  <c r="L143" i="11"/>
  <c r="M143" i="11" s="1"/>
  <c r="H143" i="11"/>
  <c r="I143" i="11" s="1"/>
  <c r="L78" i="11"/>
  <c r="M78" i="11" s="1"/>
  <c r="H78" i="11"/>
  <c r="I78" i="11" s="1"/>
  <c r="L263" i="11"/>
  <c r="M263" i="11" s="1"/>
  <c r="H263" i="11"/>
  <c r="I263" i="11" s="1"/>
  <c r="L282" i="11"/>
  <c r="M282" i="11" s="1"/>
  <c r="H282" i="11"/>
  <c r="I282" i="11" s="1"/>
  <c r="L269" i="11"/>
  <c r="M269" i="11" s="1"/>
  <c r="H269" i="11"/>
  <c r="I269" i="11" s="1"/>
  <c r="L113" i="11"/>
  <c r="M113" i="11" s="1"/>
  <c r="H113" i="11"/>
  <c r="I113" i="11" s="1"/>
  <c r="L85" i="11"/>
  <c r="M85" i="11" s="1"/>
  <c r="H85" i="11"/>
  <c r="I85" i="11" s="1"/>
  <c r="L295" i="11"/>
  <c r="M295" i="11" s="1"/>
  <c r="H295" i="11"/>
  <c r="I295" i="11" s="1"/>
  <c r="L251" i="11"/>
  <c r="M251" i="11" s="1"/>
  <c r="H251" i="11"/>
  <c r="I251" i="11" s="1"/>
  <c r="H203" i="11"/>
  <c r="I203" i="11" s="1"/>
  <c r="L203" i="11"/>
  <c r="M203" i="11" s="1"/>
  <c r="L199" i="11"/>
  <c r="M199" i="11" s="1"/>
  <c r="H199" i="11"/>
  <c r="I199" i="11" s="1"/>
  <c r="L299" i="11"/>
  <c r="M299" i="11" s="1"/>
  <c r="H299" i="11"/>
  <c r="I299" i="11" s="1"/>
  <c r="L167" i="11"/>
  <c r="M167" i="11" s="1"/>
  <c r="H167" i="11"/>
  <c r="I167" i="11" s="1"/>
  <c r="H254" i="11"/>
  <c r="I254" i="11" s="1"/>
  <c r="L254" i="11"/>
  <c r="M254" i="11" s="1"/>
  <c r="H271" i="11"/>
  <c r="I271" i="11" s="1"/>
  <c r="L271" i="11"/>
  <c r="M271" i="11" s="1"/>
  <c r="L166" i="11"/>
  <c r="M166" i="11" s="1"/>
  <c r="H166" i="11"/>
  <c r="I166" i="11" s="1"/>
  <c r="H292" i="11"/>
  <c r="I292" i="11" s="1"/>
  <c r="L292" i="11"/>
  <c r="M292" i="11" s="1"/>
  <c r="L250" i="11"/>
  <c r="M250" i="11" s="1"/>
  <c r="H250" i="11"/>
  <c r="I250" i="11" s="1"/>
  <c r="L261" i="11"/>
  <c r="M261" i="11" s="1"/>
  <c r="H261" i="11"/>
  <c r="I261" i="11" s="1"/>
  <c r="L182" i="11"/>
  <c r="M182" i="11" s="1"/>
  <c r="H182" i="11"/>
  <c r="I182" i="11" s="1"/>
  <c r="L296" i="11"/>
  <c r="M296" i="11" s="1"/>
  <c r="H296" i="11"/>
  <c r="I296" i="11" s="1"/>
  <c r="L202" i="11"/>
  <c r="M202" i="11" s="1"/>
  <c r="H202" i="11"/>
  <c r="I202" i="11" s="1"/>
  <c r="L264" i="11"/>
  <c r="M264" i="11" s="1"/>
  <c r="H264" i="11"/>
  <c r="I264" i="11" s="1"/>
  <c r="L297" i="11"/>
  <c r="M297" i="11" s="1"/>
  <c r="H297" i="11"/>
  <c r="I297" i="11" s="1"/>
  <c r="L101" i="11"/>
  <c r="M101" i="11" s="1"/>
  <c r="H101" i="11"/>
  <c r="I101" i="11" s="1"/>
  <c r="L272" i="11"/>
  <c r="M272" i="11" s="1"/>
  <c r="H272" i="11"/>
  <c r="I272" i="11" s="1"/>
  <c r="L107" i="11"/>
  <c r="M107" i="11" s="1"/>
  <c r="H107" i="11"/>
  <c r="I107" i="11" s="1"/>
  <c r="H153" i="11"/>
  <c r="I153" i="11" s="1"/>
  <c r="L153" i="11"/>
  <c r="M153" i="11" s="1"/>
  <c r="H140" i="11"/>
  <c r="I140" i="11" s="1"/>
  <c r="L140" i="11"/>
  <c r="M140" i="11" s="1"/>
  <c r="L181" i="11"/>
  <c r="M181" i="11" s="1"/>
  <c r="H181" i="11"/>
  <c r="I181" i="11" s="1"/>
  <c r="L196" i="11"/>
  <c r="M196" i="11" s="1"/>
  <c r="H196" i="11"/>
  <c r="I196" i="11" s="1"/>
  <c r="H137" i="11"/>
  <c r="I137" i="11" s="1"/>
  <c r="L137" i="11"/>
  <c r="M137" i="11" s="1"/>
  <c r="L138" i="11"/>
  <c r="M138" i="11" s="1"/>
  <c r="H138" i="11"/>
  <c r="I138" i="11" s="1"/>
  <c r="L104" i="11"/>
  <c r="M104" i="11" s="1"/>
  <c r="H104" i="11"/>
  <c r="I104" i="11" s="1"/>
  <c r="H79" i="11"/>
  <c r="I79" i="11" s="1"/>
  <c r="L79" i="11"/>
  <c r="M79" i="11" s="1"/>
  <c r="L206" i="11"/>
  <c r="M206" i="11" s="1"/>
  <c r="H206" i="11"/>
  <c r="I206" i="11" s="1"/>
  <c r="H108" i="11"/>
  <c r="I108" i="11" s="1"/>
  <c r="L108" i="11"/>
  <c r="M108" i="11" s="1"/>
  <c r="L124" i="11"/>
  <c r="M124" i="11" s="1"/>
  <c r="H124" i="11"/>
  <c r="I124" i="11" s="1"/>
  <c r="H139" i="11"/>
  <c r="I139" i="11" s="1"/>
  <c r="L139" i="11"/>
  <c r="M139" i="11" s="1"/>
  <c r="H225" i="11"/>
  <c r="I225" i="11" s="1"/>
  <c r="L225" i="11"/>
  <c r="M225" i="11" s="1"/>
  <c r="L219" i="11"/>
  <c r="M219" i="11" s="1"/>
  <c r="H219" i="11"/>
  <c r="I219" i="11" s="1"/>
  <c r="L116" i="11"/>
  <c r="M116" i="11" s="1"/>
  <c r="H116" i="11"/>
  <c r="I116" i="11" s="1"/>
  <c r="L83" i="11"/>
  <c r="M83" i="11" s="1"/>
  <c r="H83" i="11"/>
  <c r="I83" i="11" s="1"/>
  <c r="L149" i="11"/>
  <c r="M149" i="11" s="1"/>
  <c r="H149" i="11"/>
  <c r="I149" i="11" s="1"/>
  <c r="L187" i="11"/>
  <c r="M187" i="11" s="1"/>
  <c r="H187" i="11"/>
  <c r="I187" i="11" s="1"/>
  <c r="L260" i="11"/>
  <c r="M260" i="11" s="1"/>
  <c r="H260" i="11"/>
  <c r="I260" i="11" s="1"/>
  <c r="L103" i="11"/>
  <c r="M103" i="11" s="1"/>
  <c r="H103" i="11"/>
  <c r="I103" i="11" s="1"/>
  <c r="H280" i="11"/>
  <c r="I280" i="11" s="1"/>
  <c r="L280" i="11"/>
  <c r="M280" i="11" s="1"/>
  <c r="L128" i="11"/>
  <c r="M128" i="11" s="1"/>
  <c r="H128" i="11"/>
  <c r="I128" i="11" s="1"/>
  <c r="L204" i="11"/>
  <c r="M204" i="11" s="1"/>
  <c r="H204" i="11"/>
  <c r="I204" i="11" s="1"/>
  <c r="H275" i="11"/>
  <c r="I275" i="11" s="1"/>
  <c r="L275" i="11"/>
  <c r="M275" i="11" s="1"/>
  <c r="L141" i="11"/>
  <c r="M141" i="11" s="1"/>
  <c r="H141" i="11"/>
  <c r="I141" i="11" s="1"/>
  <c r="L84" i="11"/>
  <c r="M84" i="11" s="1"/>
  <c r="H84" i="11"/>
  <c r="I84" i="11" s="1"/>
  <c r="L158" i="11"/>
  <c r="M158" i="11" s="1"/>
  <c r="H158" i="11"/>
  <c r="I158" i="11" s="1"/>
  <c r="L253" i="11"/>
  <c r="M253" i="11" s="1"/>
  <c r="H253" i="11"/>
  <c r="I253" i="11" s="1"/>
  <c r="L168" i="11"/>
  <c r="M168" i="11" s="1"/>
  <c r="H168" i="11"/>
  <c r="I168" i="11" s="1"/>
  <c r="L310" i="11"/>
  <c r="M310" i="11" s="1"/>
  <c r="H310" i="11"/>
  <c r="I310" i="11" s="1"/>
  <c r="L121" i="11"/>
  <c r="M121" i="11" s="1"/>
  <c r="H121" i="11"/>
  <c r="I121" i="11" s="1"/>
  <c r="L302" i="11"/>
  <c r="M302" i="11" s="1"/>
  <c r="H302" i="11"/>
  <c r="I302" i="11" s="1"/>
  <c r="E170" i="25"/>
  <c r="M170" i="49"/>
  <c r="C169" i="11"/>
  <c r="L157" i="11"/>
  <c r="M157" i="11" s="1"/>
  <c r="H157" i="11"/>
  <c r="I157" i="11" s="1"/>
  <c r="L189" i="11"/>
  <c r="M189" i="11" s="1"/>
  <c r="H189" i="11"/>
  <c r="I189" i="11" s="1"/>
  <c r="L194" i="11"/>
  <c r="M194" i="11" s="1"/>
  <c r="H194" i="11"/>
  <c r="I194" i="11" s="1"/>
  <c r="L247" i="11"/>
  <c r="M247" i="11" s="1"/>
  <c r="H247" i="11"/>
  <c r="I247" i="11" s="1"/>
  <c r="L100" i="11"/>
  <c r="M100" i="11" s="1"/>
  <c r="H100" i="11"/>
  <c r="I100" i="11" s="1"/>
  <c r="L144" i="11"/>
  <c r="M144" i="11" s="1"/>
  <c r="H144" i="11"/>
  <c r="I144" i="11" s="1"/>
  <c r="L273" i="11"/>
  <c r="M273" i="11" s="1"/>
  <c r="H273" i="11"/>
  <c r="I273" i="11" s="1"/>
  <c r="H246" i="11"/>
  <c r="I246" i="11" s="1"/>
  <c r="L246" i="11"/>
  <c r="M246" i="11" s="1"/>
  <c r="H93" i="11"/>
  <c r="I93" i="11" s="1"/>
  <c r="L93" i="11"/>
  <c r="M93" i="11" s="1"/>
  <c r="H216" i="11"/>
  <c r="I216" i="11" s="1"/>
  <c r="L216" i="11"/>
  <c r="M216" i="11" s="1"/>
  <c r="L127" i="11"/>
  <c r="M127" i="11" s="1"/>
  <c r="H127" i="11"/>
  <c r="I127" i="11" s="1"/>
  <c r="L234" i="11"/>
  <c r="M234" i="11" s="1"/>
  <c r="H234" i="11"/>
  <c r="I234" i="11" s="1"/>
  <c r="L212" i="11"/>
  <c r="M212" i="11" s="1"/>
  <c r="H212" i="11"/>
  <c r="I212" i="11" s="1"/>
  <c r="L218" i="11"/>
  <c r="M218" i="11" s="1"/>
  <c r="H218" i="11"/>
  <c r="I218" i="11" s="1"/>
  <c r="H95" i="11"/>
  <c r="I95" i="11" s="1"/>
  <c r="L95" i="11"/>
  <c r="M95" i="11" s="1"/>
  <c r="H119" i="11"/>
  <c r="I119" i="11" s="1"/>
  <c r="L119" i="11"/>
  <c r="M119" i="11" s="1"/>
  <c r="L94" i="11"/>
  <c r="M94" i="11" s="1"/>
  <c r="H94" i="11"/>
  <c r="I94" i="11" s="1"/>
  <c r="H155" i="11"/>
  <c r="I155" i="11" s="1"/>
  <c r="L155" i="11"/>
  <c r="M155" i="11" s="1"/>
  <c r="H198" i="11"/>
  <c r="I198" i="11" s="1"/>
  <c r="L198" i="11"/>
  <c r="M198" i="11" s="1"/>
  <c r="L306" i="11"/>
  <c r="M306" i="11" s="1"/>
  <c r="H306" i="11"/>
  <c r="I306" i="11" s="1"/>
  <c r="L165" i="11"/>
  <c r="M165" i="11" s="1"/>
  <c r="H165" i="11"/>
  <c r="I165" i="11" s="1"/>
  <c r="L242" i="11"/>
  <c r="M242" i="11" s="1"/>
  <c r="H242" i="11"/>
  <c r="I242" i="11" s="1"/>
  <c r="H150" i="11"/>
  <c r="I150" i="11" s="1"/>
  <c r="L150" i="11"/>
  <c r="M150" i="11" s="1"/>
  <c r="L156" i="11"/>
  <c r="M156" i="11" s="1"/>
  <c r="H156" i="11"/>
  <c r="I156" i="11" s="1"/>
  <c r="L307" i="11"/>
  <c r="M307" i="11" s="1"/>
  <c r="H307" i="11"/>
  <c r="I307" i="11" s="1"/>
  <c r="L258" i="11"/>
  <c r="M258" i="11" s="1"/>
  <c r="H258" i="11"/>
  <c r="I258" i="11" s="1"/>
  <c r="L97" i="11"/>
  <c r="M97" i="11" s="1"/>
  <c r="H97" i="11"/>
  <c r="I97" i="11" s="1"/>
  <c r="L178" i="11"/>
  <c r="M178" i="11" s="1"/>
  <c r="H178" i="11"/>
  <c r="I178" i="11" s="1"/>
  <c r="L238" i="11"/>
  <c r="M238" i="11" s="1"/>
  <c r="H238" i="11"/>
  <c r="I238" i="11" s="1"/>
  <c r="L257" i="11"/>
  <c r="M257" i="11" s="1"/>
  <c r="H257" i="11"/>
  <c r="I257" i="11" s="1"/>
  <c r="L90" i="11"/>
  <c r="M90" i="11" s="1"/>
  <c r="H90" i="11"/>
  <c r="I90" i="11" s="1"/>
  <c r="L112" i="11"/>
  <c r="M112" i="11" s="1"/>
  <c r="H112" i="11"/>
  <c r="I112" i="11" s="1"/>
  <c r="N8" i="42"/>
  <c r="T8" i="42" s="1"/>
  <c r="N9" i="42"/>
  <c r="T9" i="42" s="1"/>
  <c r="N10" i="42"/>
  <c r="T10" i="42" s="1"/>
  <c r="N11" i="42"/>
  <c r="T11" i="42" s="1"/>
  <c r="N12" i="42"/>
  <c r="T12" i="42" s="1"/>
  <c r="N13" i="42"/>
  <c r="T13" i="42" s="1"/>
  <c r="N14" i="42"/>
  <c r="T14" i="42" s="1"/>
  <c r="N15" i="42"/>
  <c r="T15" i="42" s="1"/>
  <c r="N16" i="42"/>
  <c r="T16" i="42" s="1"/>
  <c r="N17" i="42"/>
  <c r="T17" i="42" s="1"/>
  <c r="N18" i="42"/>
  <c r="T18" i="42" s="1"/>
  <c r="N19" i="42"/>
  <c r="T19" i="42" s="1"/>
  <c r="N20" i="42"/>
  <c r="T20" i="42" s="1"/>
  <c r="N21" i="42"/>
  <c r="T21" i="42" s="1"/>
  <c r="N22" i="42"/>
  <c r="T22" i="42" s="1"/>
  <c r="N23" i="42"/>
  <c r="T23" i="42" s="1"/>
  <c r="N24" i="42"/>
  <c r="T24" i="42" s="1"/>
  <c r="N25" i="42"/>
  <c r="T25" i="42" s="1"/>
  <c r="N26" i="42"/>
  <c r="T26" i="42" s="1"/>
  <c r="N27" i="42"/>
  <c r="T27" i="42" s="1"/>
  <c r="N28" i="42"/>
  <c r="T28" i="42" s="1"/>
  <c r="N29" i="42"/>
  <c r="T29" i="42" s="1"/>
  <c r="N30" i="42"/>
  <c r="T30" i="42" s="1"/>
  <c r="N31" i="42"/>
  <c r="T31" i="42" s="1"/>
  <c r="N32" i="42"/>
  <c r="T32" i="42" s="1"/>
  <c r="N33" i="42"/>
  <c r="T33" i="42" s="1"/>
  <c r="N34" i="42"/>
  <c r="T34" i="42" s="1"/>
  <c r="N35" i="42"/>
  <c r="T35" i="42" s="1"/>
  <c r="N36" i="42"/>
  <c r="T36" i="42" s="1"/>
  <c r="N37" i="42"/>
  <c r="N38" i="42"/>
  <c r="T38" i="42" s="1"/>
  <c r="N39" i="42"/>
  <c r="T39" i="42" s="1"/>
  <c r="N40" i="42"/>
  <c r="T40" i="42" s="1"/>
  <c r="N41" i="42"/>
  <c r="T41" i="42" s="1"/>
  <c r="N42" i="42"/>
  <c r="T42" i="42" s="1"/>
  <c r="N43" i="42"/>
  <c r="T43" i="42" s="1"/>
  <c r="N44" i="42"/>
  <c r="T44" i="42" s="1"/>
  <c r="N45" i="42"/>
  <c r="T45" i="42" s="1"/>
  <c r="N46" i="42"/>
  <c r="T46" i="42" s="1"/>
  <c r="N47" i="42"/>
  <c r="T47" i="42" s="1"/>
  <c r="N48" i="42"/>
  <c r="T48" i="42" s="1"/>
  <c r="N49" i="42"/>
  <c r="T49" i="42" s="1"/>
  <c r="N50" i="42"/>
  <c r="T50" i="42" s="1"/>
  <c r="N51" i="42"/>
  <c r="T51" i="42" s="1"/>
  <c r="N52" i="42"/>
  <c r="T52" i="42" s="1"/>
  <c r="N53" i="42"/>
  <c r="T53" i="42" s="1"/>
  <c r="N54" i="42"/>
  <c r="T54" i="42" s="1"/>
  <c r="N55" i="42"/>
  <c r="T55" i="42" s="1"/>
  <c r="N56" i="42"/>
  <c r="T56" i="42" s="1"/>
  <c r="N57" i="42"/>
  <c r="T57" i="42" s="1"/>
  <c r="N58" i="42"/>
  <c r="T58" i="42" s="1"/>
  <c r="N59" i="42"/>
  <c r="T59" i="42" s="1"/>
  <c r="N60" i="42"/>
  <c r="T60" i="42" s="1"/>
  <c r="N61" i="42"/>
  <c r="T61" i="42" s="1"/>
  <c r="N62" i="42"/>
  <c r="T62" i="42" s="1"/>
  <c r="N63" i="42"/>
  <c r="T63" i="42" s="1"/>
  <c r="N64" i="42"/>
  <c r="T64" i="42" s="1"/>
  <c r="N65" i="42"/>
  <c r="T65" i="42" s="1"/>
  <c r="N66" i="42"/>
  <c r="T66" i="42" s="1"/>
  <c r="N67" i="42"/>
  <c r="T67" i="42" s="1"/>
  <c r="N69" i="42"/>
  <c r="T69" i="42" s="1"/>
  <c r="N70" i="42"/>
  <c r="T70" i="42" s="1"/>
  <c r="N71" i="42"/>
  <c r="T71" i="42" s="1"/>
  <c r="N72" i="42"/>
  <c r="T72" i="42" s="1"/>
  <c r="N73" i="42"/>
  <c r="T73" i="42" s="1"/>
  <c r="N74" i="42"/>
  <c r="T74" i="42" s="1"/>
  <c r="N75" i="42"/>
  <c r="T75" i="42" s="1"/>
  <c r="N76" i="42"/>
  <c r="T76" i="42" s="1"/>
  <c r="N77" i="42"/>
  <c r="T77" i="42" s="1"/>
  <c r="N78" i="42"/>
  <c r="T78" i="42" s="1"/>
  <c r="N79" i="42"/>
  <c r="T79" i="42" s="1"/>
  <c r="N80" i="42"/>
  <c r="T80" i="42" s="1"/>
  <c r="N81" i="42"/>
  <c r="T81" i="42" s="1"/>
  <c r="N82" i="42"/>
  <c r="T82" i="42" s="1"/>
  <c r="N83" i="42"/>
  <c r="T83" i="42" s="1"/>
  <c r="N84" i="42"/>
  <c r="T84" i="42" s="1"/>
  <c r="N85" i="42"/>
  <c r="T85" i="42" s="1"/>
  <c r="N86" i="42"/>
  <c r="T86" i="42" s="1"/>
  <c r="N87" i="42"/>
  <c r="T87" i="42" s="1"/>
  <c r="N88" i="42"/>
  <c r="T88" i="42" s="1"/>
  <c r="N89" i="42"/>
  <c r="T89" i="42" s="1"/>
  <c r="N90" i="42"/>
  <c r="T90" i="42" s="1"/>
  <c r="N91" i="42"/>
  <c r="T91" i="42" s="1"/>
  <c r="N92" i="42"/>
  <c r="T92" i="42" s="1"/>
  <c r="N93" i="42"/>
  <c r="T93" i="42" s="1"/>
  <c r="N94" i="42"/>
  <c r="T94" i="42" s="1"/>
  <c r="N95" i="42"/>
  <c r="T95" i="42" s="1"/>
  <c r="N96" i="42"/>
  <c r="T96" i="42" s="1"/>
  <c r="N97" i="42"/>
  <c r="T97" i="42" s="1"/>
  <c r="N98" i="42"/>
  <c r="T98" i="42" s="1"/>
  <c r="N99" i="42"/>
  <c r="T99" i="42" s="1"/>
  <c r="N100" i="42"/>
  <c r="T100" i="42" s="1"/>
  <c r="N101" i="42"/>
  <c r="T101" i="42" s="1"/>
  <c r="N102" i="42"/>
  <c r="T102" i="42" s="1"/>
  <c r="N103" i="42"/>
  <c r="T103" i="42" s="1"/>
  <c r="N104" i="42"/>
  <c r="T104" i="42" s="1"/>
  <c r="N105" i="42"/>
  <c r="T105" i="42" s="1"/>
  <c r="N106" i="42"/>
  <c r="T106" i="42" s="1"/>
  <c r="N107" i="42"/>
  <c r="T107" i="42" s="1"/>
  <c r="N108" i="42"/>
  <c r="T108" i="42" s="1"/>
  <c r="N109" i="42"/>
  <c r="T109" i="42" s="1"/>
  <c r="N110" i="42"/>
  <c r="T110" i="42" s="1"/>
  <c r="N111" i="42"/>
  <c r="T111" i="42" s="1"/>
  <c r="N112" i="42"/>
  <c r="T112" i="42" s="1"/>
  <c r="N113" i="42"/>
  <c r="T113" i="42" s="1"/>
  <c r="N114" i="42"/>
  <c r="T114" i="42" s="1"/>
  <c r="N115" i="42"/>
  <c r="T115" i="42" s="1"/>
  <c r="N116" i="42"/>
  <c r="T116" i="42" s="1"/>
  <c r="N117" i="42"/>
  <c r="T117" i="42" s="1"/>
  <c r="N118" i="42"/>
  <c r="T118" i="42" s="1"/>
  <c r="N119" i="42"/>
  <c r="T119" i="42" s="1"/>
  <c r="N120" i="42"/>
  <c r="T120" i="42" s="1"/>
  <c r="N121" i="42"/>
  <c r="T121" i="42" s="1"/>
  <c r="N122" i="42"/>
  <c r="T122" i="42" s="1"/>
  <c r="N123" i="42"/>
  <c r="T123" i="42" s="1"/>
  <c r="N124" i="42"/>
  <c r="T124" i="42" s="1"/>
  <c r="N125" i="42"/>
  <c r="T125" i="42" s="1"/>
  <c r="N126" i="42"/>
  <c r="T126" i="42" s="1"/>
  <c r="N127" i="42"/>
  <c r="T127" i="42" s="1"/>
  <c r="N128" i="42"/>
  <c r="T128" i="42" s="1"/>
  <c r="N129" i="42"/>
  <c r="T129" i="42" s="1"/>
  <c r="N130" i="42"/>
  <c r="T130" i="42" s="1"/>
  <c r="N131" i="42"/>
  <c r="T131" i="42" s="1"/>
  <c r="N132" i="42"/>
  <c r="T132" i="42" s="1"/>
  <c r="N133" i="42"/>
  <c r="T133" i="42" s="1"/>
  <c r="N134" i="42"/>
  <c r="T134" i="42" s="1"/>
  <c r="N135" i="42"/>
  <c r="T135" i="42" s="1"/>
  <c r="N137" i="42"/>
  <c r="T137" i="42" s="1"/>
  <c r="N138" i="42"/>
  <c r="T138" i="42" s="1"/>
  <c r="N139" i="42"/>
  <c r="T139" i="42" s="1"/>
  <c r="N140" i="42"/>
  <c r="T140" i="42" s="1"/>
  <c r="N141" i="42"/>
  <c r="T141" i="42" s="1"/>
  <c r="N142" i="42"/>
  <c r="T142" i="42" s="1"/>
  <c r="N143" i="42"/>
  <c r="T143" i="42" s="1"/>
  <c r="N144" i="42"/>
  <c r="T144" i="42" s="1"/>
  <c r="N145" i="42"/>
  <c r="T145" i="42" s="1"/>
  <c r="N146" i="42"/>
  <c r="T146" i="42" s="1"/>
  <c r="N147" i="42"/>
  <c r="T147" i="42" s="1"/>
  <c r="N148" i="42"/>
  <c r="T148" i="42" s="1"/>
  <c r="N149" i="42"/>
  <c r="T149" i="42" s="1"/>
  <c r="N150" i="42"/>
  <c r="T150" i="42" s="1"/>
  <c r="N151" i="42"/>
  <c r="T151" i="42" s="1"/>
  <c r="N152" i="42"/>
  <c r="T152" i="42" s="1"/>
  <c r="N153" i="42"/>
  <c r="T153" i="42" s="1"/>
  <c r="N154" i="42"/>
  <c r="T154" i="42" s="1"/>
  <c r="N155" i="42"/>
  <c r="T155" i="42" s="1"/>
  <c r="N156" i="42"/>
  <c r="N157" i="42"/>
  <c r="T157" i="42" s="1"/>
  <c r="N158" i="42"/>
  <c r="T158" i="42" s="1"/>
  <c r="N159" i="42"/>
  <c r="T159" i="42" s="1"/>
  <c r="N160" i="42"/>
  <c r="T160" i="42" s="1"/>
  <c r="N161" i="42"/>
  <c r="T161" i="42" s="1"/>
  <c r="N162" i="42"/>
  <c r="T162" i="42" s="1"/>
  <c r="N163" i="42"/>
  <c r="T163" i="42" s="1"/>
  <c r="N164" i="42"/>
  <c r="T164" i="42" s="1"/>
  <c r="N165" i="42"/>
  <c r="T165" i="42" s="1"/>
  <c r="N166" i="42"/>
  <c r="T166" i="42" s="1"/>
  <c r="N167" i="42"/>
  <c r="T167" i="42" s="1"/>
  <c r="N168" i="42"/>
  <c r="T168" i="42" s="1"/>
  <c r="N169" i="42"/>
  <c r="T169" i="42" s="1"/>
  <c r="T170" i="42"/>
  <c r="N172" i="42"/>
  <c r="T172" i="42" s="1"/>
  <c r="N173" i="42"/>
  <c r="T173" i="42" s="1"/>
  <c r="N174" i="42"/>
  <c r="T174" i="42" s="1"/>
  <c r="N175" i="42"/>
  <c r="T175" i="42" s="1"/>
  <c r="N176" i="42"/>
  <c r="T176" i="42" s="1"/>
  <c r="N177" i="42"/>
  <c r="T177" i="42" s="1"/>
  <c r="N178" i="42"/>
  <c r="T178" i="42" s="1"/>
  <c r="N179" i="42"/>
  <c r="T179" i="42" s="1"/>
  <c r="N180" i="42"/>
  <c r="T180" i="42" s="1"/>
  <c r="N181" i="42"/>
  <c r="T181" i="42" s="1"/>
  <c r="N182" i="42"/>
  <c r="T182" i="42" s="1"/>
  <c r="N183" i="42"/>
  <c r="T183" i="42" s="1"/>
  <c r="N184" i="42"/>
  <c r="T184" i="42" s="1"/>
  <c r="N185" i="42"/>
  <c r="T185" i="42" s="1"/>
  <c r="N186" i="42"/>
  <c r="T186" i="42" s="1"/>
  <c r="N187" i="42"/>
  <c r="T187" i="42" s="1"/>
  <c r="N188" i="42"/>
  <c r="T188" i="42" s="1"/>
  <c r="N189" i="42"/>
  <c r="T189" i="42" s="1"/>
  <c r="N190" i="42"/>
  <c r="T190" i="42" s="1"/>
  <c r="N191" i="42"/>
  <c r="T191" i="42" s="1"/>
  <c r="N192" i="42"/>
  <c r="T192" i="42" s="1"/>
  <c r="N193" i="42"/>
  <c r="T193" i="42" s="1"/>
  <c r="N194" i="42"/>
  <c r="T194" i="42" s="1"/>
  <c r="N195" i="42"/>
  <c r="T195" i="42" s="1"/>
  <c r="N196" i="42"/>
  <c r="T196" i="42" s="1"/>
  <c r="N197" i="42"/>
  <c r="T197" i="42" s="1"/>
  <c r="N198" i="42"/>
  <c r="T198" i="42" s="1"/>
  <c r="N199" i="42"/>
  <c r="T199" i="42" s="1"/>
  <c r="N200" i="42"/>
  <c r="T200" i="42" s="1"/>
  <c r="N201" i="42"/>
  <c r="T201" i="42" s="1"/>
  <c r="N202" i="42"/>
  <c r="T202" i="42" s="1"/>
  <c r="N203" i="42"/>
  <c r="T203" i="42" s="1"/>
  <c r="N204" i="42"/>
  <c r="T204" i="42" s="1"/>
  <c r="N205" i="42"/>
  <c r="T205" i="42" s="1"/>
  <c r="N206" i="42"/>
  <c r="T206" i="42" s="1"/>
  <c r="N207" i="42"/>
  <c r="T207" i="42" s="1"/>
  <c r="N208" i="42"/>
  <c r="T208" i="42" s="1"/>
  <c r="N209" i="42"/>
  <c r="T209" i="42" s="1"/>
  <c r="N210" i="42"/>
  <c r="T210" i="42" s="1"/>
  <c r="N211" i="42"/>
  <c r="T211" i="42" s="1"/>
  <c r="N212" i="42"/>
  <c r="T212" i="42" s="1"/>
  <c r="N213" i="42"/>
  <c r="T213" i="42" s="1"/>
  <c r="N214" i="42"/>
  <c r="T214" i="42" s="1"/>
  <c r="N215" i="42"/>
  <c r="T215" i="42" s="1"/>
  <c r="N216" i="42"/>
  <c r="T216" i="42" s="1"/>
  <c r="N217" i="42"/>
  <c r="T217" i="42" s="1"/>
  <c r="N218" i="42"/>
  <c r="T218" i="42" s="1"/>
  <c r="N219" i="42"/>
  <c r="T219" i="42" s="1"/>
  <c r="N221" i="42"/>
  <c r="T221" i="42" s="1"/>
  <c r="N222" i="42"/>
  <c r="T222" i="42" s="1"/>
  <c r="N223" i="42"/>
  <c r="T223" i="42" s="1"/>
  <c r="N224" i="42"/>
  <c r="T224" i="42" s="1"/>
  <c r="N225" i="42"/>
  <c r="T225" i="42" s="1"/>
  <c r="N226" i="42"/>
  <c r="T226" i="42" s="1"/>
  <c r="N227" i="42"/>
  <c r="T227" i="42" s="1"/>
  <c r="N228" i="42"/>
  <c r="T228" i="42" s="1"/>
  <c r="N229" i="42"/>
  <c r="T229" i="42" s="1"/>
  <c r="N230" i="42"/>
  <c r="T230" i="42" s="1"/>
  <c r="N231" i="42"/>
  <c r="T231" i="42" s="1"/>
  <c r="N232" i="42"/>
  <c r="T232" i="42" s="1"/>
  <c r="N233" i="42"/>
  <c r="T233" i="42" s="1"/>
  <c r="N234" i="42"/>
  <c r="T234" i="42" s="1"/>
  <c r="N235" i="42"/>
  <c r="T235" i="42" s="1"/>
  <c r="N236" i="42"/>
  <c r="T236" i="42" s="1"/>
  <c r="N237" i="42"/>
  <c r="T237" i="42" s="1"/>
  <c r="N238" i="42"/>
  <c r="T238" i="42" s="1"/>
  <c r="N240" i="42"/>
  <c r="T240" i="42" s="1"/>
  <c r="N241" i="42"/>
  <c r="T241" i="42" s="1"/>
  <c r="N242" i="42"/>
  <c r="T242" i="42" s="1"/>
  <c r="N243" i="42"/>
  <c r="T243" i="42" s="1"/>
  <c r="N244" i="42"/>
  <c r="T244" i="42" s="1"/>
  <c r="N247" i="42"/>
  <c r="T247" i="42" s="1"/>
  <c r="N248" i="42"/>
  <c r="T248" i="42" s="1"/>
  <c r="N249" i="42"/>
  <c r="T249" i="42" s="1"/>
  <c r="N250" i="42"/>
  <c r="T250" i="42" s="1"/>
  <c r="N251" i="42"/>
  <c r="T251" i="42" s="1"/>
  <c r="N252" i="42"/>
  <c r="T252" i="42" s="1"/>
  <c r="N253" i="42"/>
  <c r="T253" i="42" s="1"/>
  <c r="N254" i="42"/>
  <c r="T254" i="42" s="1"/>
  <c r="N255" i="42"/>
  <c r="T255" i="42" s="1"/>
  <c r="N256" i="42"/>
  <c r="T256" i="42" s="1"/>
  <c r="N257" i="42"/>
  <c r="T257" i="42" s="1"/>
  <c r="N258" i="42"/>
  <c r="T258" i="42" s="1"/>
  <c r="N259" i="42"/>
  <c r="T259" i="42" s="1"/>
  <c r="N260" i="42"/>
  <c r="T260" i="42" s="1"/>
  <c r="N261" i="42"/>
  <c r="T261" i="42" s="1"/>
  <c r="N263" i="42"/>
  <c r="T263" i="42" s="1"/>
  <c r="N264" i="42"/>
  <c r="T264" i="42" s="1"/>
  <c r="N265" i="42"/>
  <c r="T265" i="42" s="1"/>
  <c r="N266" i="42"/>
  <c r="T266" i="42" s="1"/>
  <c r="N267" i="42"/>
  <c r="T267" i="42" s="1"/>
  <c r="N268" i="42"/>
  <c r="T268" i="42" s="1"/>
  <c r="N269" i="42"/>
  <c r="T269" i="42" s="1"/>
  <c r="N270" i="42"/>
  <c r="T270" i="42" s="1"/>
  <c r="N271" i="42"/>
  <c r="T271" i="42" s="1"/>
  <c r="N272" i="42"/>
  <c r="T272" i="42" s="1"/>
  <c r="N273" i="42"/>
  <c r="T273" i="42" s="1"/>
  <c r="N275" i="42"/>
  <c r="T275" i="42" s="1"/>
  <c r="N276" i="42"/>
  <c r="T276" i="42" s="1"/>
  <c r="N277" i="42"/>
  <c r="T277" i="42" s="1"/>
  <c r="N278" i="42"/>
  <c r="T278" i="42" s="1"/>
  <c r="N279" i="42"/>
  <c r="T279" i="42" s="1"/>
  <c r="N280" i="42"/>
  <c r="T280" i="42" s="1"/>
  <c r="N281" i="42"/>
  <c r="T281" i="42" s="1"/>
  <c r="N282" i="42"/>
  <c r="T282" i="42" s="1"/>
  <c r="N283" i="42"/>
  <c r="T283" i="42" s="1"/>
  <c r="N284" i="42"/>
  <c r="T284" i="42" s="1"/>
  <c r="N285" i="42"/>
  <c r="T285" i="42" s="1"/>
  <c r="N286" i="42"/>
  <c r="T286" i="42" s="1"/>
  <c r="N287" i="42"/>
  <c r="T287" i="42" s="1"/>
  <c r="N288" i="42"/>
  <c r="T288" i="42" s="1"/>
  <c r="N289" i="42"/>
  <c r="T289" i="42" s="1"/>
  <c r="N290" i="42"/>
  <c r="T290" i="42" s="1"/>
  <c r="N291" i="42"/>
  <c r="T291" i="42" s="1"/>
  <c r="N292" i="42"/>
  <c r="T292" i="42" s="1"/>
  <c r="N293" i="42"/>
  <c r="T293" i="42" s="1"/>
  <c r="N294" i="42"/>
  <c r="T294" i="42" s="1"/>
  <c r="N295" i="42"/>
  <c r="T295" i="42" s="1"/>
  <c r="N296" i="42"/>
  <c r="T296" i="42" s="1"/>
  <c r="N297" i="42"/>
  <c r="T297" i="42" s="1"/>
  <c r="N298" i="42"/>
  <c r="T298" i="42" s="1"/>
  <c r="N299" i="42"/>
  <c r="T299" i="42" s="1"/>
  <c r="N300" i="42"/>
  <c r="T300" i="42" s="1"/>
  <c r="N301" i="42"/>
  <c r="T301" i="42" s="1"/>
  <c r="N302" i="42"/>
  <c r="T302" i="42" s="1"/>
  <c r="N303" i="42"/>
  <c r="T303" i="42" s="1"/>
  <c r="N304" i="42"/>
  <c r="T304" i="42" s="1"/>
  <c r="N305" i="42"/>
  <c r="T305" i="42" s="1"/>
  <c r="N306" i="42"/>
  <c r="T306" i="42" s="1"/>
  <c r="N307" i="42"/>
  <c r="T307" i="42" s="1"/>
  <c r="N308" i="42"/>
  <c r="T308" i="42" s="1"/>
  <c r="N309" i="42"/>
  <c r="T309" i="42" s="1"/>
  <c r="N310" i="42"/>
  <c r="T310" i="42" s="1"/>
  <c r="N311" i="42"/>
  <c r="T311" i="42" s="1"/>
  <c r="N312" i="42"/>
  <c r="T312" i="42" s="1"/>
  <c r="N313" i="42"/>
  <c r="T313" i="42" s="1"/>
  <c r="N314" i="42"/>
  <c r="T314" i="42" s="1"/>
  <c r="N315" i="42"/>
  <c r="T315" i="42" s="1"/>
  <c r="T156" i="42" l="1"/>
  <c r="L169" i="11"/>
  <c r="M169" i="11" s="1"/>
  <c r="H169" i="11"/>
  <c r="I169" i="11" s="1"/>
  <c r="L243" i="11"/>
  <c r="M243" i="11" s="1"/>
  <c r="H243" i="11"/>
  <c r="I243" i="11" s="1"/>
  <c r="T37" i="42"/>
  <c r="N136" i="42"/>
  <c r="T136" i="42" s="1"/>
  <c r="B6" i="48" l="1"/>
  <c r="D67" i="40" l="1"/>
  <c r="D68" i="40" s="1"/>
  <c r="F66" i="40" s="1"/>
  <c r="F67" i="40" s="1"/>
  <c r="F68" i="40" s="1"/>
  <c r="B29" i="40" l="1"/>
  <c r="N7" i="42" l="1"/>
  <c r="T7" i="42" l="1"/>
  <c r="N262" i="42"/>
  <c r="T262" i="42" s="1"/>
  <c r="N68" i="42" l="1"/>
  <c r="T68" i="42" l="1"/>
  <c r="N316" i="42"/>
  <c r="N274" i="42"/>
  <c r="T274" i="42" s="1"/>
  <c r="I5" i="13" l="1"/>
  <c r="Q7" i="19" l="1"/>
  <c r="AA6" i="19"/>
  <c r="S6" i="19"/>
  <c r="B61" i="40" l="1"/>
  <c r="K14" i="49" l="1"/>
  <c r="K112" i="49"/>
  <c r="K114" i="49"/>
  <c r="K117" i="49"/>
  <c r="K119" i="49"/>
  <c r="K120" i="49"/>
  <c r="K121" i="49"/>
  <c r="K122" i="49"/>
  <c r="K124" i="49"/>
  <c r="K126" i="49"/>
  <c r="K127" i="49"/>
  <c r="K128" i="49"/>
  <c r="K129" i="49"/>
  <c r="K130" i="49"/>
  <c r="K131" i="49"/>
  <c r="K134" i="49"/>
  <c r="K135" i="49"/>
  <c r="K137" i="49"/>
  <c r="K144" i="49"/>
  <c r="K149" i="49"/>
  <c r="K150" i="49"/>
  <c r="K151" i="49"/>
  <c r="K154" i="49"/>
  <c r="K155" i="49"/>
  <c r="K156" i="49"/>
  <c r="K158" i="49"/>
  <c r="K191" i="49"/>
  <c r="K202" i="49"/>
  <c r="K203" i="49"/>
  <c r="K224" i="49"/>
  <c r="K225" i="49"/>
  <c r="K275" i="49"/>
  <c r="K276" i="49"/>
  <c r="K277" i="49"/>
  <c r="K278" i="49"/>
  <c r="K279" i="49"/>
  <c r="K280" i="49"/>
  <c r="K281" i="49"/>
  <c r="K282" i="49"/>
  <c r="K283" i="49"/>
  <c r="K284" i="49"/>
  <c r="K296" i="49"/>
  <c r="K305" i="49"/>
  <c r="K313" i="49"/>
  <c r="K7" i="49"/>
  <c r="K6" i="49"/>
  <c r="I5" i="49"/>
  <c r="A2" i="49"/>
  <c r="C315" i="49"/>
  <c r="A7" i="49"/>
  <c r="B7" i="49"/>
  <c r="A8" i="49"/>
  <c r="B8" i="49"/>
  <c r="A9" i="49"/>
  <c r="B9" i="49"/>
  <c r="A10" i="49"/>
  <c r="B10" i="49"/>
  <c r="A11" i="49"/>
  <c r="B11" i="49"/>
  <c r="A12" i="49"/>
  <c r="B12" i="49"/>
  <c r="A13" i="49"/>
  <c r="B13" i="49"/>
  <c r="A14" i="49"/>
  <c r="B14" i="49"/>
  <c r="A15" i="49"/>
  <c r="B15" i="49"/>
  <c r="A16" i="49"/>
  <c r="B16" i="49"/>
  <c r="A17" i="49"/>
  <c r="B17" i="49"/>
  <c r="A18" i="49"/>
  <c r="B18" i="49"/>
  <c r="A19" i="49"/>
  <c r="B19" i="49"/>
  <c r="A20" i="49"/>
  <c r="B20" i="49"/>
  <c r="A21" i="49"/>
  <c r="B21" i="49"/>
  <c r="A22" i="49"/>
  <c r="B22" i="49"/>
  <c r="A23" i="49"/>
  <c r="B23" i="49"/>
  <c r="A24" i="49"/>
  <c r="B24" i="49"/>
  <c r="A25" i="49"/>
  <c r="B25" i="49"/>
  <c r="A26" i="49"/>
  <c r="B26" i="49"/>
  <c r="A27" i="49"/>
  <c r="B27" i="49"/>
  <c r="A28" i="49"/>
  <c r="B28" i="49"/>
  <c r="A29" i="49"/>
  <c r="B29" i="49"/>
  <c r="A30" i="49"/>
  <c r="B30" i="49"/>
  <c r="A31" i="49"/>
  <c r="B31" i="49"/>
  <c r="A32" i="49"/>
  <c r="B32" i="49"/>
  <c r="A33" i="49"/>
  <c r="B33" i="49"/>
  <c r="A34" i="49"/>
  <c r="B34" i="49"/>
  <c r="A35" i="49"/>
  <c r="B35" i="49"/>
  <c r="A36" i="49"/>
  <c r="B36" i="49"/>
  <c r="A37" i="49"/>
  <c r="B37" i="49"/>
  <c r="A38" i="49"/>
  <c r="B38" i="49"/>
  <c r="A39" i="49"/>
  <c r="B39" i="49"/>
  <c r="A40" i="49"/>
  <c r="B40" i="49"/>
  <c r="A41" i="49"/>
  <c r="B41" i="49"/>
  <c r="A42" i="49"/>
  <c r="B42" i="49"/>
  <c r="A43" i="49"/>
  <c r="B43" i="49"/>
  <c r="A44" i="49"/>
  <c r="B44" i="49"/>
  <c r="A45" i="49"/>
  <c r="B45" i="49"/>
  <c r="A46" i="49"/>
  <c r="B46" i="49"/>
  <c r="A47" i="49"/>
  <c r="B47" i="49"/>
  <c r="A48" i="49"/>
  <c r="B48" i="49"/>
  <c r="A49" i="49"/>
  <c r="B49" i="49"/>
  <c r="A50" i="49"/>
  <c r="B50" i="49"/>
  <c r="A51" i="49"/>
  <c r="B51" i="49"/>
  <c r="A52" i="49"/>
  <c r="B52" i="49"/>
  <c r="A53" i="49"/>
  <c r="B53" i="49"/>
  <c r="A54" i="49"/>
  <c r="B54" i="49"/>
  <c r="A55" i="49"/>
  <c r="B55" i="49"/>
  <c r="A56" i="49"/>
  <c r="B56" i="49"/>
  <c r="A57" i="49"/>
  <c r="B57" i="49"/>
  <c r="A58" i="49"/>
  <c r="B58" i="49"/>
  <c r="A59" i="49"/>
  <c r="B59" i="49"/>
  <c r="A60" i="49"/>
  <c r="B60" i="49"/>
  <c r="A61" i="49"/>
  <c r="B61" i="49"/>
  <c r="A62" i="49"/>
  <c r="B62" i="49"/>
  <c r="A63" i="49"/>
  <c r="B63" i="49"/>
  <c r="A64" i="49"/>
  <c r="B64" i="49"/>
  <c r="A65" i="49"/>
  <c r="B65" i="49"/>
  <c r="A66" i="49"/>
  <c r="B66" i="49"/>
  <c r="A67" i="49"/>
  <c r="B67" i="49"/>
  <c r="A68" i="49"/>
  <c r="B68" i="49"/>
  <c r="A69" i="49"/>
  <c r="B69" i="49"/>
  <c r="A70" i="49"/>
  <c r="B70" i="49"/>
  <c r="A71" i="49"/>
  <c r="B71" i="49"/>
  <c r="A72" i="49"/>
  <c r="B72" i="49"/>
  <c r="A73" i="49"/>
  <c r="B73" i="49"/>
  <c r="A74" i="49"/>
  <c r="B74" i="49"/>
  <c r="A75" i="49"/>
  <c r="B75" i="49"/>
  <c r="A76" i="49"/>
  <c r="B76" i="49"/>
  <c r="A77" i="49"/>
  <c r="B77" i="49"/>
  <c r="A78" i="49"/>
  <c r="B78" i="49"/>
  <c r="A79" i="49"/>
  <c r="B79" i="49"/>
  <c r="A80" i="49"/>
  <c r="B80" i="49"/>
  <c r="A81" i="49"/>
  <c r="B81" i="49"/>
  <c r="A82" i="49"/>
  <c r="B82" i="49"/>
  <c r="A83" i="49"/>
  <c r="B83" i="49"/>
  <c r="A84" i="49"/>
  <c r="B84" i="49"/>
  <c r="A85" i="49"/>
  <c r="B85" i="49"/>
  <c r="A86" i="49"/>
  <c r="B86" i="49"/>
  <c r="A87" i="49"/>
  <c r="B87" i="49"/>
  <c r="A88" i="49"/>
  <c r="B88" i="49"/>
  <c r="A89" i="49"/>
  <c r="B89" i="49"/>
  <c r="A90" i="49"/>
  <c r="B90" i="49"/>
  <c r="A91" i="49"/>
  <c r="B91" i="49"/>
  <c r="A92" i="49"/>
  <c r="B92" i="49"/>
  <c r="A93" i="49"/>
  <c r="B93" i="49"/>
  <c r="A94" i="49"/>
  <c r="B94" i="49"/>
  <c r="A95" i="49"/>
  <c r="B95" i="49"/>
  <c r="A96" i="49"/>
  <c r="B96" i="49"/>
  <c r="A97" i="49"/>
  <c r="B97" i="49"/>
  <c r="A98" i="49"/>
  <c r="B98" i="49"/>
  <c r="A99" i="49"/>
  <c r="B99" i="49"/>
  <c r="A100" i="49"/>
  <c r="B100" i="49"/>
  <c r="A101" i="49"/>
  <c r="B101" i="49"/>
  <c r="A102" i="49"/>
  <c r="B102" i="49"/>
  <c r="A103" i="49"/>
  <c r="B103" i="49"/>
  <c r="A104" i="49"/>
  <c r="B104" i="49"/>
  <c r="A105" i="49"/>
  <c r="B105" i="49"/>
  <c r="A106" i="49"/>
  <c r="B106" i="49"/>
  <c r="A107" i="49"/>
  <c r="B107" i="49"/>
  <c r="A108" i="49"/>
  <c r="B108" i="49"/>
  <c r="A109" i="49"/>
  <c r="B109" i="49"/>
  <c r="A110" i="49"/>
  <c r="B110" i="49"/>
  <c r="A111" i="49"/>
  <c r="B111" i="49"/>
  <c r="A112" i="49"/>
  <c r="B112" i="49"/>
  <c r="A113" i="49"/>
  <c r="B113" i="49"/>
  <c r="A114" i="49"/>
  <c r="B114" i="49"/>
  <c r="A115" i="49"/>
  <c r="B115" i="49"/>
  <c r="A116" i="49"/>
  <c r="B116" i="49"/>
  <c r="A117" i="49"/>
  <c r="B117" i="49"/>
  <c r="A118" i="49"/>
  <c r="B118" i="49"/>
  <c r="A119" i="49"/>
  <c r="B119" i="49"/>
  <c r="A120" i="49"/>
  <c r="B120" i="49"/>
  <c r="A121" i="49"/>
  <c r="B121" i="49"/>
  <c r="A122" i="49"/>
  <c r="B122" i="49"/>
  <c r="A123" i="49"/>
  <c r="B123" i="49"/>
  <c r="A124" i="49"/>
  <c r="B124" i="49"/>
  <c r="A125" i="49"/>
  <c r="B125" i="49"/>
  <c r="A126" i="49"/>
  <c r="B126" i="49"/>
  <c r="A127" i="49"/>
  <c r="B127" i="49"/>
  <c r="A128" i="49"/>
  <c r="B128" i="49"/>
  <c r="A129" i="49"/>
  <c r="B129" i="49"/>
  <c r="A130" i="49"/>
  <c r="B130" i="49"/>
  <c r="A131" i="49"/>
  <c r="B131" i="49"/>
  <c r="A132" i="49"/>
  <c r="B132" i="49"/>
  <c r="A133" i="49"/>
  <c r="B133" i="49"/>
  <c r="A134" i="49"/>
  <c r="B134" i="49"/>
  <c r="A135" i="49"/>
  <c r="B135" i="49"/>
  <c r="A136" i="49"/>
  <c r="B136" i="49"/>
  <c r="A137" i="49"/>
  <c r="B137" i="49"/>
  <c r="A138" i="49"/>
  <c r="B138" i="49"/>
  <c r="A139" i="49"/>
  <c r="B139" i="49"/>
  <c r="A140" i="49"/>
  <c r="B140" i="49"/>
  <c r="A141" i="49"/>
  <c r="B141" i="49"/>
  <c r="A142" i="49"/>
  <c r="B142" i="49"/>
  <c r="A143" i="49"/>
  <c r="B143" i="49"/>
  <c r="A144" i="49"/>
  <c r="B144" i="49"/>
  <c r="A145" i="49"/>
  <c r="B145" i="49"/>
  <c r="A146" i="49"/>
  <c r="B146" i="49"/>
  <c r="A147" i="49"/>
  <c r="B147" i="49"/>
  <c r="A148" i="49"/>
  <c r="B148" i="49"/>
  <c r="A149" i="49"/>
  <c r="B149" i="49"/>
  <c r="A150" i="49"/>
  <c r="B150" i="49"/>
  <c r="A151" i="49"/>
  <c r="B151" i="49"/>
  <c r="A152" i="49"/>
  <c r="B152" i="49"/>
  <c r="A153" i="49"/>
  <c r="B153" i="49"/>
  <c r="A154" i="49"/>
  <c r="B154" i="49"/>
  <c r="A155" i="49"/>
  <c r="B155" i="49"/>
  <c r="A156" i="49"/>
  <c r="B156" i="49"/>
  <c r="A157" i="49"/>
  <c r="B157" i="49"/>
  <c r="A158" i="49"/>
  <c r="B158" i="49"/>
  <c r="A159" i="49"/>
  <c r="B159" i="49"/>
  <c r="A160" i="49"/>
  <c r="B160" i="49"/>
  <c r="A161" i="49"/>
  <c r="B161" i="49"/>
  <c r="A162" i="49"/>
  <c r="B162" i="49"/>
  <c r="A163" i="49"/>
  <c r="B163" i="49"/>
  <c r="A164" i="49"/>
  <c r="B164" i="49"/>
  <c r="A165" i="49"/>
  <c r="B165" i="49"/>
  <c r="A166" i="49"/>
  <c r="B166" i="49"/>
  <c r="A167" i="49"/>
  <c r="B167" i="49"/>
  <c r="A168" i="49"/>
  <c r="B168" i="49"/>
  <c r="A169" i="49"/>
  <c r="B169" i="49"/>
  <c r="A171" i="49"/>
  <c r="B171" i="49"/>
  <c r="A172" i="49"/>
  <c r="B172" i="49"/>
  <c r="A173" i="49"/>
  <c r="B173" i="49"/>
  <c r="A174" i="49"/>
  <c r="B174" i="49"/>
  <c r="A175" i="49"/>
  <c r="B175" i="49"/>
  <c r="A176" i="49"/>
  <c r="B176" i="49"/>
  <c r="A177" i="49"/>
  <c r="B177" i="49"/>
  <c r="A178" i="49"/>
  <c r="B178" i="49"/>
  <c r="A179" i="49"/>
  <c r="B179" i="49"/>
  <c r="A180" i="49"/>
  <c r="B180" i="49"/>
  <c r="A181" i="49"/>
  <c r="B181" i="49"/>
  <c r="A182" i="49"/>
  <c r="B182" i="49"/>
  <c r="A183" i="49"/>
  <c r="B183" i="49"/>
  <c r="A184" i="49"/>
  <c r="B184" i="49"/>
  <c r="A185" i="49"/>
  <c r="B185" i="49"/>
  <c r="A186" i="49"/>
  <c r="B186" i="49"/>
  <c r="A187" i="49"/>
  <c r="B187" i="49"/>
  <c r="A188" i="49"/>
  <c r="B188" i="49"/>
  <c r="A189" i="49"/>
  <c r="B189" i="49"/>
  <c r="A190" i="49"/>
  <c r="B190" i="49"/>
  <c r="A191" i="49"/>
  <c r="B191" i="49"/>
  <c r="A192" i="49"/>
  <c r="B192" i="49"/>
  <c r="A193" i="49"/>
  <c r="B193" i="49"/>
  <c r="A194" i="49"/>
  <c r="B194" i="49"/>
  <c r="A195" i="49"/>
  <c r="B195" i="49"/>
  <c r="A196" i="49"/>
  <c r="B196" i="49"/>
  <c r="A197" i="49"/>
  <c r="B197" i="49"/>
  <c r="A198" i="49"/>
  <c r="B198" i="49"/>
  <c r="A199" i="49"/>
  <c r="B199" i="49"/>
  <c r="A200" i="49"/>
  <c r="B200" i="49"/>
  <c r="A201" i="49"/>
  <c r="B201" i="49"/>
  <c r="A202" i="49"/>
  <c r="B202" i="49"/>
  <c r="A203" i="49"/>
  <c r="B203" i="49"/>
  <c r="A204" i="49"/>
  <c r="B204" i="49"/>
  <c r="A205" i="49"/>
  <c r="B205" i="49"/>
  <c r="A206" i="49"/>
  <c r="B206" i="49"/>
  <c r="A207" i="49"/>
  <c r="B207" i="49"/>
  <c r="A208" i="49"/>
  <c r="B208" i="49"/>
  <c r="A209" i="49"/>
  <c r="B209" i="49"/>
  <c r="A210" i="49"/>
  <c r="B210" i="49"/>
  <c r="A211" i="49"/>
  <c r="B211" i="49"/>
  <c r="A212" i="49"/>
  <c r="B212" i="49"/>
  <c r="A213" i="49"/>
  <c r="B213" i="49"/>
  <c r="A214" i="49"/>
  <c r="B214" i="49"/>
  <c r="A215" i="49"/>
  <c r="B215" i="49"/>
  <c r="A216" i="49"/>
  <c r="B216" i="49"/>
  <c r="A217" i="49"/>
  <c r="B217" i="49"/>
  <c r="A218" i="49"/>
  <c r="B218" i="49"/>
  <c r="A220" i="49"/>
  <c r="B220" i="49"/>
  <c r="A221" i="49"/>
  <c r="B221" i="49"/>
  <c r="A222" i="49"/>
  <c r="B222" i="49"/>
  <c r="A223" i="49"/>
  <c r="B223" i="49"/>
  <c r="A224" i="49"/>
  <c r="B224" i="49"/>
  <c r="A225" i="49"/>
  <c r="B225" i="49"/>
  <c r="A226" i="49"/>
  <c r="B226" i="49"/>
  <c r="A227" i="49"/>
  <c r="B227" i="49"/>
  <c r="A228" i="49"/>
  <c r="B228" i="49"/>
  <c r="A229" i="49"/>
  <c r="B229" i="49"/>
  <c r="A230" i="49"/>
  <c r="B230" i="49"/>
  <c r="A231" i="49"/>
  <c r="B231" i="49"/>
  <c r="A232" i="49"/>
  <c r="B232" i="49"/>
  <c r="A233" i="49"/>
  <c r="B233" i="49"/>
  <c r="A234" i="49"/>
  <c r="B234" i="49"/>
  <c r="A235" i="49"/>
  <c r="B235" i="49"/>
  <c r="A236" i="49"/>
  <c r="B236" i="49"/>
  <c r="A237" i="49"/>
  <c r="B237" i="49"/>
  <c r="A238" i="49"/>
  <c r="B238" i="49"/>
  <c r="A239" i="49"/>
  <c r="B239" i="49"/>
  <c r="A240" i="49"/>
  <c r="B240" i="49"/>
  <c r="A241" i="49"/>
  <c r="B241" i="49"/>
  <c r="A242" i="49"/>
  <c r="B242" i="49"/>
  <c r="B243" i="49"/>
  <c r="B245" i="49"/>
  <c r="B246" i="49"/>
  <c r="B247" i="49"/>
  <c r="A248" i="49"/>
  <c r="B248" i="49"/>
  <c r="A249" i="49"/>
  <c r="B249" i="49"/>
  <c r="A250" i="49"/>
  <c r="B250" i="49"/>
  <c r="A251" i="49"/>
  <c r="B251" i="49"/>
  <c r="A252" i="49"/>
  <c r="B252" i="49"/>
  <c r="A253" i="49"/>
  <c r="B253" i="49"/>
  <c r="A254" i="49"/>
  <c r="B254" i="49"/>
  <c r="A255" i="49"/>
  <c r="B255" i="49"/>
  <c r="A256" i="49"/>
  <c r="B256" i="49"/>
  <c r="A257" i="49"/>
  <c r="B257" i="49"/>
  <c r="A258" i="49"/>
  <c r="B258" i="49"/>
  <c r="A259" i="49"/>
  <c r="B259" i="49"/>
  <c r="A260" i="49"/>
  <c r="B260" i="49"/>
  <c r="A261" i="49"/>
  <c r="B261" i="49"/>
  <c r="A262" i="49"/>
  <c r="B262" i="49"/>
  <c r="A263" i="49"/>
  <c r="B263" i="49"/>
  <c r="A264" i="49"/>
  <c r="B264" i="49"/>
  <c r="A265" i="49"/>
  <c r="B265" i="49"/>
  <c r="A266" i="49"/>
  <c r="B266" i="49"/>
  <c r="A267" i="49"/>
  <c r="B267" i="49"/>
  <c r="A268" i="49"/>
  <c r="B268" i="49"/>
  <c r="A269" i="49"/>
  <c r="B269" i="49"/>
  <c r="A270" i="49"/>
  <c r="B270" i="49"/>
  <c r="A271" i="49"/>
  <c r="B271" i="49"/>
  <c r="A272" i="49"/>
  <c r="B272" i="49"/>
  <c r="A273" i="49"/>
  <c r="B273" i="49"/>
  <c r="A274" i="49"/>
  <c r="B274" i="49"/>
  <c r="A275" i="49"/>
  <c r="B275" i="49"/>
  <c r="A276" i="49"/>
  <c r="B276" i="49"/>
  <c r="A277" i="49"/>
  <c r="B277" i="49"/>
  <c r="A278" i="49"/>
  <c r="B278" i="49"/>
  <c r="A279" i="49"/>
  <c r="B279" i="49"/>
  <c r="A280" i="49"/>
  <c r="B280" i="49"/>
  <c r="A281" i="49"/>
  <c r="B281" i="49"/>
  <c r="A282" i="49"/>
  <c r="B282" i="49"/>
  <c r="A283" i="49"/>
  <c r="B283" i="49"/>
  <c r="A284" i="49"/>
  <c r="B284" i="49"/>
  <c r="A285" i="49"/>
  <c r="B285" i="49"/>
  <c r="A286" i="49"/>
  <c r="B286" i="49"/>
  <c r="A287" i="49"/>
  <c r="B287" i="49"/>
  <c r="A288" i="49"/>
  <c r="B288" i="49"/>
  <c r="A289" i="49"/>
  <c r="B289" i="49"/>
  <c r="A290" i="49"/>
  <c r="B290" i="49"/>
  <c r="A291" i="49"/>
  <c r="B291" i="49"/>
  <c r="A292" i="49"/>
  <c r="B292" i="49"/>
  <c r="A293" i="49"/>
  <c r="B293" i="49"/>
  <c r="A294" i="49"/>
  <c r="B294" i="49"/>
  <c r="A295" i="49"/>
  <c r="B295" i="49"/>
  <c r="A296" i="49"/>
  <c r="B296" i="49"/>
  <c r="A297" i="49"/>
  <c r="B297" i="49"/>
  <c r="A298" i="49"/>
  <c r="B298" i="49"/>
  <c r="A299" i="49"/>
  <c r="B299" i="49"/>
  <c r="A300" i="49"/>
  <c r="B300" i="49"/>
  <c r="A301" i="49"/>
  <c r="B301" i="49"/>
  <c r="A302" i="49"/>
  <c r="B302" i="49"/>
  <c r="A303" i="49"/>
  <c r="B303" i="49"/>
  <c r="A304" i="49"/>
  <c r="B304" i="49"/>
  <c r="A305" i="49"/>
  <c r="B305" i="49"/>
  <c r="A306" i="49"/>
  <c r="B306" i="49"/>
  <c r="A307" i="49"/>
  <c r="B307" i="49"/>
  <c r="A308" i="49"/>
  <c r="B308" i="49"/>
  <c r="A309" i="49"/>
  <c r="B309" i="49"/>
  <c r="A310" i="49"/>
  <c r="B310" i="49"/>
  <c r="A311" i="49"/>
  <c r="B311" i="49"/>
  <c r="A312" i="49"/>
  <c r="B312" i="49"/>
  <c r="A313" i="49"/>
  <c r="B313" i="49"/>
  <c r="A314" i="49"/>
  <c r="B314" i="49"/>
  <c r="B6" i="49"/>
  <c r="A6" i="49"/>
  <c r="I170" i="49" l="1"/>
  <c r="I244" i="49"/>
  <c r="I219" i="49"/>
  <c r="B315" i="49"/>
  <c r="B7" i="48"/>
  <c r="B9" i="48" l="1"/>
  <c r="B8" i="48"/>
  <c r="F8" i="48"/>
  <c r="C8" i="34"/>
  <c r="U6" i="19" l="1"/>
  <c r="C29" i="40" l="1"/>
  <c r="A2" i="25"/>
  <c r="J5" i="13"/>
  <c r="A7" i="13"/>
  <c r="B7" i="13"/>
  <c r="A8" i="13"/>
  <c r="B8" i="13"/>
  <c r="A9" i="13"/>
  <c r="B9" i="13"/>
  <c r="A10" i="13"/>
  <c r="B10" i="13"/>
  <c r="A11" i="13"/>
  <c r="B11" i="13"/>
  <c r="A12" i="13"/>
  <c r="B12" i="13"/>
  <c r="A13" i="13"/>
  <c r="B13" i="13"/>
  <c r="A14" i="13"/>
  <c r="B14" i="13"/>
  <c r="A15" i="13"/>
  <c r="B15" i="13"/>
  <c r="A16" i="13"/>
  <c r="B16" i="13"/>
  <c r="A17" i="13"/>
  <c r="B17" i="13"/>
  <c r="A18" i="13"/>
  <c r="B18" i="13"/>
  <c r="A19" i="13"/>
  <c r="B19" i="13"/>
  <c r="A20" i="13"/>
  <c r="B20" i="13"/>
  <c r="A21" i="13"/>
  <c r="B21" i="13"/>
  <c r="A22" i="13"/>
  <c r="B22" i="13"/>
  <c r="A23" i="13"/>
  <c r="B23" i="13"/>
  <c r="A24" i="13"/>
  <c r="B24" i="13"/>
  <c r="A25" i="13"/>
  <c r="B25" i="13"/>
  <c r="A26" i="13"/>
  <c r="B26" i="13"/>
  <c r="A27" i="13"/>
  <c r="B27" i="13"/>
  <c r="A28" i="13"/>
  <c r="B28" i="13"/>
  <c r="A29" i="13"/>
  <c r="B29" i="13"/>
  <c r="A30" i="13"/>
  <c r="B30" i="13"/>
  <c r="A31" i="13"/>
  <c r="B31" i="13"/>
  <c r="A32" i="13"/>
  <c r="B32" i="13"/>
  <c r="A33" i="13"/>
  <c r="B33" i="13"/>
  <c r="A34" i="13"/>
  <c r="B34" i="13"/>
  <c r="A35" i="13"/>
  <c r="B35" i="13"/>
  <c r="A36" i="13"/>
  <c r="B36" i="13"/>
  <c r="A37" i="13"/>
  <c r="B37" i="13"/>
  <c r="A38" i="13"/>
  <c r="B38" i="13"/>
  <c r="A39" i="13"/>
  <c r="B39" i="13"/>
  <c r="A40" i="13"/>
  <c r="B40" i="13"/>
  <c r="A41" i="13"/>
  <c r="B41" i="13"/>
  <c r="A42" i="13"/>
  <c r="B42" i="13"/>
  <c r="A43" i="13"/>
  <c r="B43" i="13"/>
  <c r="A44" i="13"/>
  <c r="B44" i="13"/>
  <c r="A45" i="13"/>
  <c r="B45" i="13"/>
  <c r="A46" i="13"/>
  <c r="B46" i="13"/>
  <c r="A47" i="13"/>
  <c r="B47" i="13"/>
  <c r="A48" i="13"/>
  <c r="B48" i="13"/>
  <c r="A49" i="13"/>
  <c r="B49" i="13"/>
  <c r="A50" i="13"/>
  <c r="B50" i="13"/>
  <c r="A51" i="13"/>
  <c r="B51" i="13"/>
  <c r="A52" i="13"/>
  <c r="B52" i="13"/>
  <c r="A53" i="13"/>
  <c r="B53" i="13"/>
  <c r="A54" i="13"/>
  <c r="B54" i="13"/>
  <c r="A55" i="13"/>
  <c r="B55" i="13"/>
  <c r="A56" i="13"/>
  <c r="B56" i="13"/>
  <c r="A57" i="13"/>
  <c r="B57" i="13"/>
  <c r="A58" i="13"/>
  <c r="B58" i="13"/>
  <c r="A59" i="13"/>
  <c r="B59" i="13"/>
  <c r="A60" i="13"/>
  <c r="B60" i="13"/>
  <c r="A61" i="13"/>
  <c r="B61" i="13"/>
  <c r="A62" i="13"/>
  <c r="B62" i="13"/>
  <c r="A63" i="13"/>
  <c r="B63" i="13"/>
  <c r="A64" i="13"/>
  <c r="B64" i="13"/>
  <c r="A65" i="13"/>
  <c r="B65" i="13"/>
  <c r="A66" i="13"/>
  <c r="B66" i="13"/>
  <c r="A67" i="13"/>
  <c r="B67" i="13"/>
  <c r="A68" i="13"/>
  <c r="B68" i="13"/>
  <c r="A69" i="13"/>
  <c r="B69" i="13"/>
  <c r="A70" i="13"/>
  <c r="B70" i="13"/>
  <c r="A71" i="13"/>
  <c r="B71" i="13"/>
  <c r="A72" i="13"/>
  <c r="B72" i="13"/>
  <c r="A73" i="13"/>
  <c r="B73" i="13"/>
  <c r="A74" i="13"/>
  <c r="B74" i="13"/>
  <c r="A75" i="13"/>
  <c r="B75" i="13"/>
  <c r="A76" i="13"/>
  <c r="B76" i="13"/>
  <c r="A77" i="13"/>
  <c r="B77" i="13"/>
  <c r="A78" i="13"/>
  <c r="B78" i="13"/>
  <c r="A79" i="13"/>
  <c r="B79" i="13"/>
  <c r="A80" i="13"/>
  <c r="B80" i="13"/>
  <c r="A81" i="13"/>
  <c r="B81" i="13"/>
  <c r="A82" i="13"/>
  <c r="B82" i="13"/>
  <c r="A83" i="13"/>
  <c r="B83" i="13"/>
  <c r="A84" i="13"/>
  <c r="B84" i="13"/>
  <c r="A85" i="13"/>
  <c r="B85" i="13"/>
  <c r="A86" i="13"/>
  <c r="B86" i="13"/>
  <c r="A87" i="13"/>
  <c r="B87" i="13"/>
  <c r="A88" i="13"/>
  <c r="B88" i="13"/>
  <c r="A89" i="13"/>
  <c r="B89" i="13"/>
  <c r="A90" i="13"/>
  <c r="B90" i="13"/>
  <c r="A91" i="13"/>
  <c r="B91" i="13"/>
  <c r="A92" i="13"/>
  <c r="B92" i="13"/>
  <c r="A93" i="13"/>
  <c r="B93" i="13"/>
  <c r="A94" i="13"/>
  <c r="B94" i="13"/>
  <c r="A95" i="13"/>
  <c r="B95" i="13"/>
  <c r="A96" i="13"/>
  <c r="B96" i="13"/>
  <c r="A97" i="13"/>
  <c r="B97" i="13"/>
  <c r="A98" i="13"/>
  <c r="B98" i="13"/>
  <c r="A99" i="13"/>
  <c r="B99" i="13"/>
  <c r="A100" i="13"/>
  <c r="B100" i="13"/>
  <c r="A101" i="13"/>
  <c r="B101" i="13"/>
  <c r="A102" i="13"/>
  <c r="B102" i="13"/>
  <c r="A103" i="13"/>
  <c r="B103" i="13"/>
  <c r="A104" i="13"/>
  <c r="B104" i="13"/>
  <c r="A105" i="13"/>
  <c r="B105" i="13"/>
  <c r="A106" i="13"/>
  <c r="B106" i="13"/>
  <c r="A107" i="13"/>
  <c r="B107" i="13"/>
  <c r="A108" i="13"/>
  <c r="B108" i="13"/>
  <c r="A109" i="13"/>
  <c r="B109" i="13"/>
  <c r="A110" i="13"/>
  <c r="B110" i="13"/>
  <c r="A111" i="13"/>
  <c r="B111" i="13"/>
  <c r="A112" i="13"/>
  <c r="B112" i="13"/>
  <c r="A113" i="13"/>
  <c r="B113" i="13"/>
  <c r="A114" i="13"/>
  <c r="B114" i="13"/>
  <c r="A115" i="13"/>
  <c r="B115" i="13"/>
  <c r="A116" i="13"/>
  <c r="B116" i="13"/>
  <c r="A117" i="13"/>
  <c r="B117" i="13"/>
  <c r="A118" i="13"/>
  <c r="B118" i="13"/>
  <c r="A119" i="13"/>
  <c r="B119" i="13"/>
  <c r="A120" i="13"/>
  <c r="B120" i="13"/>
  <c r="A121" i="13"/>
  <c r="B121" i="13"/>
  <c r="A122" i="13"/>
  <c r="B122" i="13"/>
  <c r="A123" i="13"/>
  <c r="B123" i="13"/>
  <c r="A124" i="13"/>
  <c r="B124" i="13"/>
  <c r="A125" i="13"/>
  <c r="B125" i="13"/>
  <c r="A126" i="13"/>
  <c r="B126" i="13"/>
  <c r="A127" i="13"/>
  <c r="B127" i="13"/>
  <c r="A128" i="13"/>
  <c r="B128" i="13"/>
  <c r="A129" i="13"/>
  <c r="B129" i="13"/>
  <c r="A130" i="13"/>
  <c r="B130" i="13"/>
  <c r="A131" i="13"/>
  <c r="B131" i="13"/>
  <c r="A132" i="13"/>
  <c r="B132" i="13"/>
  <c r="A133" i="13"/>
  <c r="B133" i="13"/>
  <c r="A134" i="13"/>
  <c r="B134" i="13"/>
  <c r="A135" i="13"/>
  <c r="B135" i="13"/>
  <c r="A136" i="13"/>
  <c r="B136" i="13"/>
  <c r="A137" i="13"/>
  <c r="B137" i="13"/>
  <c r="A138" i="13"/>
  <c r="B138" i="13"/>
  <c r="A139" i="13"/>
  <c r="B139" i="13"/>
  <c r="A140" i="13"/>
  <c r="B140" i="13"/>
  <c r="A141" i="13"/>
  <c r="B141" i="13"/>
  <c r="A142" i="13"/>
  <c r="B142" i="13"/>
  <c r="A143" i="13"/>
  <c r="B143" i="13"/>
  <c r="A144" i="13"/>
  <c r="B144" i="13"/>
  <c r="A145" i="13"/>
  <c r="B145" i="13"/>
  <c r="A146" i="13"/>
  <c r="B146" i="13"/>
  <c r="A147" i="13"/>
  <c r="B147" i="13"/>
  <c r="A148" i="13"/>
  <c r="B148" i="13"/>
  <c r="A149" i="13"/>
  <c r="B149" i="13"/>
  <c r="A150" i="13"/>
  <c r="B150" i="13"/>
  <c r="A151" i="13"/>
  <c r="B151" i="13"/>
  <c r="A152" i="13"/>
  <c r="B152" i="13"/>
  <c r="A153" i="13"/>
  <c r="B153" i="13"/>
  <c r="A154" i="13"/>
  <c r="B154" i="13"/>
  <c r="A155" i="13"/>
  <c r="B155" i="13"/>
  <c r="A156" i="13"/>
  <c r="B156" i="13"/>
  <c r="A157" i="13"/>
  <c r="B157" i="13"/>
  <c r="A158" i="13"/>
  <c r="B158" i="13"/>
  <c r="A159" i="13"/>
  <c r="B159" i="13"/>
  <c r="A160" i="13"/>
  <c r="B160" i="13"/>
  <c r="A161" i="13"/>
  <c r="B161" i="13"/>
  <c r="A162" i="13"/>
  <c r="B162" i="13"/>
  <c r="A163" i="13"/>
  <c r="B163" i="13"/>
  <c r="A164" i="13"/>
  <c r="B164" i="13"/>
  <c r="A165" i="13"/>
  <c r="B165" i="13"/>
  <c r="A166" i="13"/>
  <c r="B166" i="13"/>
  <c r="A167" i="13"/>
  <c r="B167" i="13"/>
  <c r="A168" i="13"/>
  <c r="B168" i="13"/>
  <c r="A169" i="13"/>
  <c r="B169" i="13"/>
  <c r="A171" i="13"/>
  <c r="B171" i="13"/>
  <c r="A172" i="13"/>
  <c r="B172" i="13"/>
  <c r="A173" i="13"/>
  <c r="B173" i="13"/>
  <c r="A174" i="13"/>
  <c r="B174" i="13"/>
  <c r="A175" i="13"/>
  <c r="B175" i="13"/>
  <c r="A176" i="13"/>
  <c r="B176" i="13"/>
  <c r="A177" i="13"/>
  <c r="B177" i="13"/>
  <c r="A178" i="13"/>
  <c r="B178" i="13"/>
  <c r="A179" i="13"/>
  <c r="B179" i="13"/>
  <c r="A180" i="13"/>
  <c r="B180" i="13"/>
  <c r="A181" i="13"/>
  <c r="B181" i="13"/>
  <c r="A182" i="13"/>
  <c r="B182" i="13"/>
  <c r="A183" i="13"/>
  <c r="B183" i="13"/>
  <c r="A184" i="13"/>
  <c r="B184" i="13"/>
  <c r="A185" i="13"/>
  <c r="B185" i="13"/>
  <c r="A186" i="13"/>
  <c r="B186" i="13"/>
  <c r="A187" i="13"/>
  <c r="B187" i="13"/>
  <c r="A188" i="13"/>
  <c r="B188" i="13"/>
  <c r="A189" i="13"/>
  <c r="B189" i="13"/>
  <c r="A190" i="13"/>
  <c r="B190" i="13"/>
  <c r="A191" i="13"/>
  <c r="B191" i="13"/>
  <c r="A192" i="13"/>
  <c r="B192" i="13"/>
  <c r="A193" i="13"/>
  <c r="B193" i="13"/>
  <c r="A194" i="13"/>
  <c r="B194" i="13"/>
  <c r="A195" i="13"/>
  <c r="B195" i="13"/>
  <c r="A196" i="13"/>
  <c r="B196" i="13"/>
  <c r="A197" i="13"/>
  <c r="B197" i="13"/>
  <c r="A198" i="13"/>
  <c r="B198" i="13"/>
  <c r="A199" i="13"/>
  <c r="B199" i="13"/>
  <c r="A200" i="13"/>
  <c r="B200" i="13"/>
  <c r="A201" i="13"/>
  <c r="B201" i="13"/>
  <c r="A202" i="13"/>
  <c r="B202" i="13"/>
  <c r="A203" i="13"/>
  <c r="B203" i="13"/>
  <c r="A204" i="13"/>
  <c r="B204" i="13"/>
  <c r="A205" i="13"/>
  <c r="B205" i="13"/>
  <c r="A206" i="13"/>
  <c r="B206" i="13"/>
  <c r="A207" i="13"/>
  <c r="B207" i="13"/>
  <c r="A208" i="13"/>
  <c r="B208" i="13"/>
  <c r="A209" i="13"/>
  <c r="B209" i="13"/>
  <c r="A210" i="13"/>
  <c r="B210" i="13"/>
  <c r="A211" i="13"/>
  <c r="B211" i="13"/>
  <c r="A212" i="13"/>
  <c r="B212" i="13"/>
  <c r="A213" i="13"/>
  <c r="B213" i="13"/>
  <c r="A214" i="13"/>
  <c r="B214" i="13"/>
  <c r="A215" i="13"/>
  <c r="B215" i="13"/>
  <c r="A216" i="13"/>
  <c r="B216" i="13"/>
  <c r="A217" i="13"/>
  <c r="B217" i="13"/>
  <c r="A218" i="13"/>
  <c r="B218" i="13"/>
  <c r="A220" i="13"/>
  <c r="B220" i="13"/>
  <c r="A221" i="13"/>
  <c r="B221" i="13"/>
  <c r="A222" i="13"/>
  <c r="B222" i="13"/>
  <c r="A223" i="13"/>
  <c r="B223" i="13"/>
  <c r="A224" i="13"/>
  <c r="B224" i="13"/>
  <c r="A225" i="13"/>
  <c r="B225" i="13"/>
  <c r="A226" i="13"/>
  <c r="B226" i="13"/>
  <c r="A227" i="13"/>
  <c r="B227" i="13"/>
  <c r="A228" i="13"/>
  <c r="B228" i="13"/>
  <c r="A229" i="13"/>
  <c r="B229" i="13"/>
  <c r="A230" i="13"/>
  <c r="B230" i="13"/>
  <c r="A231" i="13"/>
  <c r="B231" i="13"/>
  <c r="A232" i="13"/>
  <c r="B232" i="13"/>
  <c r="A233" i="13"/>
  <c r="B233" i="13"/>
  <c r="A234" i="13"/>
  <c r="B234" i="13"/>
  <c r="A235" i="13"/>
  <c r="B235" i="13"/>
  <c r="A236" i="13"/>
  <c r="B236" i="13"/>
  <c r="A237" i="13"/>
  <c r="B237" i="13"/>
  <c r="A238" i="13"/>
  <c r="B238" i="13"/>
  <c r="A239" i="13"/>
  <c r="B239" i="13"/>
  <c r="A240" i="13"/>
  <c r="B240" i="13"/>
  <c r="A241" i="13"/>
  <c r="B241" i="13"/>
  <c r="A242" i="13"/>
  <c r="B242" i="13"/>
  <c r="A243" i="13"/>
  <c r="B243" i="13"/>
  <c r="A245" i="13"/>
  <c r="B245" i="13"/>
  <c r="A246" i="13"/>
  <c r="B246" i="13"/>
  <c r="A247" i="13"/>
  <c r="B247" i="13"/>
  <c r="A248" i="13"/>
  <c r="B248" i="13"/>
  <c r="A249" i="13"/>
  <c r="B249" i="13"/>
  <c r="A250" i="13"/>
  <c r="B250" i="13"/>
  <c r="A251" i="13"/>
  <c r="B251" i="13"/>
  <c r="A252" i="13"/>
  <c r="B252" i="13"/>
  <c r="A253" i="13"/>
  <c r="B253" i="13"/>
  <c r="A254" i="13"/>
  <c r="B254" i="13"/>
  <c r="A255" i="13"/>
  <c r="B255" i="13"/>
  <c r="A256" i="13"/>
  <c r="B256" i="13"/>
  <c r="A257" i="13"/>
  <c r="B257" i="13"/>
  <c r="A258" i="13"/>
  <c r="B258" i="13"/>
  <c r="A259" i="13"/>
  <c r="B259" i="13"/>
  <c r="A260" i="13"/>
  <c r="B260" i="13"/>
  <c r="A261" i="13"/>
  <c r="B261" i="13"/>
  <c r="A262" i="13"/>
  <c r="B262" i="13"/>
  <c r="A263" i="13"/>
  <c r="B263" i="13"/>
  <c r="A264" i="13"/>
  <c r="B264" i="13"/>
  <c r="A265" i="13"/>
  <c r="B265" i="13"/>
  <c r="A266" i="13"/>
  <c r="B266" i="13"/>
  <c r="A267" i="13"/>
  <c r="B267" i="13"/>
  <c r="A268" i="13"/>
  <c r="B268" i="13"/>
  <c r="A269" i="13"/>
  <c r="B269" i="13"/>
  <c r="A270" i="13"/>
  <c r="B270" i="13"/>
  <c r="A271" i="13"/>
  <c r="B271" i="13"/>
  <c r="A272" i="13"/>
  <c r="B272" i="13"/>
  <c r="A273" i="13"/>
  <c r="B273" i="13"/>
  <c r="A274" i="13"/>
  <c r="B274" i="13"/>
  <c r="A275" i="13"/>
  <c r="B275" i="13"/>
  <c r="A276" i="13"/>
  <c r="B276" i="13"/>
  <c r="A277" i="13"/>
  <c r="B277" i="13"/>
  <c r="A278" i="13"/>
  <c r="B278" i="13"/>
  <c r="A279" i="13"/>
  <c r="B279" i="13"/>
  <c r="A280" i="13"/>
  <c r="B280" i="13"/>
  <c r="A281" i="13"/>
  <c r="B281" i="13"/>
  <c r="A282" i="13"/>
  <c r="B282" i="13"/>
  <c r="A283" i="13"/>
  <c r="B283" i="13"/>
  <c r="A284" i="13"/>
  <c r="B284" i="13"/>
  <c r="A285" i="13"/>
  <c r="B285" i="13"/>
  <c r="A286" i="13"/>
  <c r="B286" i="13"/>
  <c r="A287" i="13"/>
  <c r="B287" i="13"/>
  <c r="A288" i="13"/>
  <c r="B288" i="13"/>
  <c r="A289" i="13"/>
  <c r="B289" i="13"/>
  <c r="A290" i="13"/>
  <c r="B290" i="13"/>
  <c r="A291" i="13"/>
  <c r="B291" i="13"/>
  <c r="A292" i="13"/>
  <c r="B292" i="13"/>
  <c r="A293" i="13"/>
  <c r="B293" i="13"/>
  <c r="A294" i="13"/>
  <c r="B294" i="13"/>
  <c r="A295" i="13"/>
  <c r="B295" i="13"/>
  <c r="A296" i="13"/>
  <c r="B296" i="13"/>
  <c r="A297" i="13"/>
  <c r="B297" i="13"/>
  <c r="A298" i="13"/>
  <c r="B298" i="13"/>
  <c r="A299" i="13"/>
  <c r="B299" i="13"/>
  <c r="A300" i="13"/>
  <c r="B300" i="13"/>
  <c r="A301" i="13"/>
  <c r="B301" i="13"/>
  <c r="A302" i="13"/>
  <c r="B302" i="13"/>
  <c r="A303" i="13"/>
  <c r="B303" i="13"/>
  <c r="A304" i="13"/>
  <c r="B304" i="13"/>
  <c r="A305" i="13"/>
  <c r="B305" i="13"/>
  <c r="A306" i="13"/>
  <c r="B306" i="13"/>
  <c r="A307" i="13"/>
  <c r="B307" i="13"/>
  <c r="A308" i="13"/>
  <c r="B308" i="13"/>
  <c r="A309" i="13"/>
  <c r="B309" i="13"/>
  <c r="A310" i="13"/>
  <c r="B310" i="13"/>
  <c r="A311" i="13"/>
  <c r="B311" i="13"/>
  <c r="A312" i="13"/>
  <c r="B312" i="13"/>
  <c r="A313" i="13"/>
  <c r="B313" i="13"/>
  <c r="A314" i="13"/>
  <c r="B314" i="13"/>
  <c r="B6" i="13"/>
  <c r="A6" i="13"/>
  <c r="B5" i="39"/>
  <c r="A5" i="39"/>
  <c r="B5" i="12"/>
  <c r="A5" i="12"/>
  <c r="K314" i="11"/>
  <c r="F314" i="11"/>
  <c r="E314" i="11"/>
  <c r="D314" i="11"/>
  <c r="D16" i="34"/>
  <c r="B16" i="34"/>
  <c r="A16" i="34"/>
  <c r="C5" i="37"/>
  <c r="B5" i="37"/>
  <c r="A5" i="37"/>
  <c r="C8" i="36"/>
  <c r="B8" i="36"/>
  <c r="A8" i="36"/>
  <c r="C11" i="9"/>
  <c r="C320" i="9" s="1"/>
  <c r="B11" i="9"/>
  <c r="A11" i="9"/>
  <c r="D325" i="34" l="1"/>
  <c r="B314" i="37"/>
  <c r="C314" i="37"/>
  <c r="C317" i="36"/>
  <c r="B317" i="36"/>
  <c r="B314" i="12"/>
  <c r="B314" i="39"/>
  <c r="B315" i="13"/>
  <c r="B325" i="34"/>
  <c r="B320" i="9"/>
  <c r="T183" i="13" l="1"/>
  <c r="T155" i="13"/>
  <c r="T224" i="13"/>
  <c r="T33" i="13"/>
  <c r="T97" i="13"/>
  <c r="T23" i="13"/>
  <c r="T39" i="13"/>
  <c r="T55" i="13"/>
  <c r="T63" i="13"/>
  <c r="T101" i="13"/>
  <c r="T103" i="13"/>
  <c r="T107" i="13"/>
  <c r="T109" i="13"/>
  <c r="T117" i="13"/>
  <c r="T123" i="13"/>
  <c r="T125" i="13"/>
  <c r="T135" i="13"/>
  <c r="T137" i="13"/>
  <c r="T143" i="13"/>
  <c r="T145" i="13"/>
  <c r="T147" i="13"/>
  <c r="T151" i="13"/>
  <c r="T153" i="13"/>
  <c r="T159" i="13"/>
  <c r="T161" i="13"/>
  <c r="T163" i="13"/>
  <c r="T172" i="13"/>
  <c r="T188" i="13"/>
  <c r="T192" i="13"/>
  <c r="T204" i="13"/>
  <c r="T210" i="13"/>
  <c r="T218" i="13"/>
  <c r="T221" i="13"/>
  <c r="T223" i="13"/>
  <c r="T229" i="13"/>
  <c r="T254" i="13"/>
  <c r="T256" i="13"/>
  <c r="T264" i="13"/>
  <c r="T266" i="13"/>
  <c r="T270" i="13"/>
  <c r="T272" i="13"/>
  <c r="T274" i="13"/>
  <c r="T282" i="13"/>
  <c r="T314" i="13"/>
  <c r="E315" i="13"/>
  <c r="T18" i="13"/>
  <c r="T28" i="13"/>
  <c r="T30" i="13"/>
  <c r="T32" i="13"/>
  <c r="T36" i="13"/>
  <c r="T44" i="13"/>
  <c r="T70" i="13"/>
  <c r="T78" i="13"/>
  <c r="T80" i="13"/>
  <c r="T82" i="13"/>
  <c r="T84" i="13"/>
  <c r="T88" i="13"/>
  <c r="T90" i="13"/>
  <c r="T92" i="13"/>
  <c r="T96" i="13"/>
  <c r="T98" i="13"/>
  <c r="T100" i="13"/>
  <c r="T112" i="13"/>
  <c r="T116" i="13"/>
  <c r="T118" i="13"/>
  <c r="T120" i="13"/>
  <c r="T124" i="13"/>
  <c r="T126" i="13"/>
  <c r="T128" i="13"/>
  <c r="T132" i="13"/>
  <c r="T140" i="13"/>
  <c r="T156" i="13"/>
  <c r="T160" i="13"/>
  <c r="T209" i="13"/>
  <c r="T213" i="13"/>
  <c r="T217" i="13"/>
  <c r="T226" i="13"/>
  <c r="T242" i="13"/>
  <c r="T247" i="13"/>
  <c r="T251" i="13"/>
  <c r="T255" i="13"/>
  <c r="T259" i="13"/>
  <c r="T261" i="13"/>
  <c r="T279" i="13"/>
  <c r="T283" i="13"/>
  <c r="T285" i="13"/>
  <c r="T287" i="13"/>
  <c r="T303" i="13"/>
  <c r="T307" i="13"/>
  <c r="T309" i="13"/>
  <c r="T311" i="13"/>
  <c r="T29" i="13"/>
  <c r="T41" i="13"/>
  <c r="T43" i="13"/>
  <c r="T47" i="13"/>
  <c r="T81" i="13"/>
  <c r="T91" i="13"/>
  <c r="T49" i="13"/>
  <c r="T53" i="13"/>
  <c r="T59" i="13"/>
  <c r="T61" i="13"/>
  <c r="T75" i="13"/>
  <c r="T165" i="13"/>
  <c r="T167" i="13"/>
  <c r="T169" i="13"/>
  <c r="T176" i="13"/>
  <c r="T178" i="13"/>
  <c r="T182" i="13"/>
  <c r="T184" i="13"/>
  <c r="T186" i="13"/>
  <c r="T190" i="13"/>
  <c r="T194" i="13"/>
  <c r="T198" i="13"/>
  <c r="T208" i="13"/>
  <c r="T212" i="13"/>
  <c r="T233" i="13"/>
  <c r="T237" i="13"/>
  <c r="T239" i="13"/>
  <c r="T243" i="13"/>
  <c r="T248" i="13"/>
  <c r="T252" i="13"/>
  <c r="T276" i="13"/>
  <c r="T280" i="13"/>
  <c r="T288" i="13"/>
  <c r="T304" i="13"/>
  <c r="T308" i="13"/>
  <c r="F315" i="13"/>
  <c r="T8" i="13"/>
  <c r="T12" i="13"/>
  <c r="T20" i="13"/>
  <c r="T26" i="13"/>
  <c r="T38" i="13"/>
  <c r="T42" i="13"/>
  <c r="T46" i="13"/>
  <c r="T48" i="13"/>
  <c r="T56" i="13"/>
  <c r="T64" i="13"/>
  <c r="T102" i="13"/>
  <c r="T104" i="13"/>
  <c r="T106" i="13"/>
  <c r="T108" i="13"/>
  <c r="T134" i="13"/>
  <c r="T138" i="13"/>
  <c r="T142" i="13"/>
  <c r="T146" i="13"/>
  <c r="T148" i="13"/>
  <c r="T150" i="13"/>
  <c r="T154" i="13"/>
  <c r="T158" i="13"/>
  <c r="T162" i="13"/>
  <c r="T168" i="13"/>
  <c r="T173" i="13"/>
  <c r="T175" i="13"/>
  <c r="T177" i="13"/>
  <c r="T185" i="13"/>
  <c r="T193" i="13"/>
  <c r="T201" i="13"/>
  <c r="T207" i="13"/>
  <c r="T211" i="13"/>
  <c r="T222" i="13"/>
  <c r="T228" i="13"/>
  <c r="T232" i="13"/>
  <c r="T236" i="13"/>
  <c r="T263" i="13"/>
  <c r="T265" i="13"/>
  <c r="T269" i="13"/>
  <c r="T271" i="13"/>
  <c r="T273" i="13"/>
  <c r="T291" i="13"/>
  <c r="T293" i="13"/>
  <c r="T295" i="13"/>
  <c r="T297" i="13"/>
  <c r="T299" i="13"/>
  <c r="T301" i="13"/>
  <c r="T19" i="13"/>
  <c r="T17" i="13"/>
  <c r="T25" i="13"/>
  <c r="T51" i="13"/>
  <c r="T57" i="13"/>
  <c r="T67" i="13"/>
  <c r="T71" i="13"/>
  <c r="T73" i="13"/>
  <c r="T79" i="13"/>
  <c r="T85" i="13"/>
  <c r="T89" i="13"/>
  <c r="T105" i="13"/>
  <c r="T113" i="13"/>
  <c r="T121" i="13"/>
  <c r="T129" i="13"/>
  <c r="T139" i="13"/>
  <c r="T180" i="13"/>
  <c r="T196" i="13"/>
  <c r="T200" i="13"/>
  <c r="T202" i="13"/>
  <c r="T206" i="13"/>
  <c r="T227" i="13"/>
  <c r="T231" i="13"/>
  <c r="T235" i="13"/>
  <c r="T241" i="13"/>
  <c r="T246" i="13"/>
  <c r="T250" i="13"/>
  <c r="T268" i="13"/>
  <c r="T278" i="13"/>
  <c r="T292" i="13"/>
  <c r="T294" i="13"/>
  <c r="T296" i="13"/>
  <c r="T298" i="13"/>
  <c r="T300" i="13"/>
  <c r="T302" i="13"/>
  <c r="T306" i="13"/>
  <c r="T312" i="13"/>
  <c r="T6" i="13"/>
  <c r="G315" i="13"/>
  <c r="T16" i="13"/>
  <c r="T22" i="13"/>
  <c r="T40" i="13"/>
  <c r="T50" i="13"/>
  <c r="T52" i="13"/>
  <c r="T54" i="13"/>
  <c r="T58" i="13"/>
  <c r="T60" i="13"/>
  <c r="T62" i="13"/>
  <c r="T66" i="13"/>
  <c r="T74" i="13"/>
  <c r="T110" i="13"/>
  <c r="T136" i="13"/>
  <c r="T144" i="13"/>
  <c r="T152" i="13"/>
  <c r="T164" i="13"/>
  <c r="T166" i="13"/>
  <c r="T179" i="13"/>
  <c r="T181" i="13"/>
  <c r="T187" i="13"/>
  <c r="T189" i="13"/>
  <c r="T191" i="13"/>
  <c r="T195" i="13"/>
  <c r="T197" i="13"/>
  <c r="T203" i="13"/>
  <c r="T205" i="13"/>
  <c r="T230" i="13"/>
  <c r="T234" i="13"/>
  <c r="T238" i="13"/>
  <c r="T249" i="13"/>
  <c r="T257" i="13"/>
  <c r="T267" i="13"/>
  <c r="T275" i="13"/>
  <c r="T277" i="13"/>
  <c r="T281" i="13"/>
  <c r="T289" i="13"/>
  <c r="T9" i="13"/>
  <c r="T13" i="13"/>
  <c r="T21" i="13"/>
  <c r="T65" i="13"/>
  <c r="T69" i="13"/>
  <c r="T77" i="13"/>
  <c r="T7" i="13"/>
  <c r="T11" i="13"/>
  <c r="T15" i="13"/>
  <c r="T27" i="13"/>
  <c r="T31" i="13"/>
  <c r="T35" i="13"/>
  <c r="T37" i="13"/>
  <c r="T45" i="13"/>
  <c r="T83" i="13"/>
  <c r="T87" i="13"/>
  <c r="T93" i="13"/>
  <c r="T95" i="13"/>
  <c r="T99" i="13"/>
  <c r="T111" i="13"/>
  <c r="T115" i="13"/>
  <c r="T119" i="13"/>
  <c r="T127" i="13"/>
  <c r="T131" i="13"/>
  <c r="T133" i="13"/>
  <c r="T141" i="13"/>
  <c r="T149" i="13"/>
  <c r="T157" i="13"/>
  <c r="T174" i="13"/>
  <c r="T214" i="13"/>
  <c r="T216" i="13"/>
  <c r="T225" i="13"/>
  <c r="T258" i="13"/>
  <c r="T260" i="13"/>
  <c r="T262" i="13"/>
  <c r="T284" i="13"/>
  <c r="T286" i="13"/>
  <c r="T290" i="13"/>
  <c r="T310" i="13"/>
  <c r="D315" i="13"/>
  <c r="I315" i="13"/>
  <c r="T10" i="13"/>
  <c r="T14" i="13"/>
  <c r="T24" i="13"/>
  <c r="T34" i="13"/>
  <c r="T68" i="13"/>
  <c r="T72" i="13"/>
  <c r="T76" i="13"/>
  <c r="T86" i="13"/>
  <c r="T94" i="13"/>
  <c r="T114" i="13"/>
  <c r="T122" i="13"/>
  <c r="T130" i="13"/>
  <c r="T171" i="13"/>
  <c r="T199" i="13"/>
  <c r="T215" i="13"/>
  <c r="T220" i="13"/>
  <c r="T240" i="13"/>
  <c r="T245" i="13"/>
  <c r="T253" i="13"/>
  <c r="T305" i="13"/>
  <c r="T313" i="13"/>
  <c r="G3" i="33"/>
  <c r="G4" i="33"/>
  <c r="H315" i="13" l="1"/>
  <c r="K6" i="13"/>
  <c r="C4" i="32"/>
  <c r="B5" i="33"/>
  <c r="A5" i="33"/>
  <c r="B5" i="32"/>
  <c r="A5" i="32"/>
  <c r="B7" i="19"/>
  <c r="A7" i="19"/>
  <c r="A2" i="19"/>
  <c r="A2" i="42"/>
  <c r="O7" i="19"/>
  <c r="S316" i="42"/>
  <c r="R316" i="42"/>
  <c r="Q316" i="42"/>
  <c r="P316" i="42"/>
  <c r="O316" i="42"/>
  <c r="B316" i="42"/>
  <c r="B314" i="32" l="1"/>
  <c r="B316" i="19"/>
  <c r="B314" i="33"/>
  <c r="E4" i="37" l="1"/>
  <c r="E7" i="36"/>
  <c r="D29" i="40"/>
  <c r="F7" i="36" s="1"/>
  <c r="E29" i="40"/>
  <c r="G7" i="36" s="1"/>
  <c r="F29" i="40"/>
  <c r="H7" i="36" s="1"/>
  <c r="G29" i="40"/>
  <c r="I7" i="36" s="1"/>
  <c r="H29" i="40"/>
  <c r="J7" i="36" s="1"/>
  <c r="D7" i="36"/>
  <c r="C4" i="9" l="1"/>
  <c r="N316" i="19"/>
  <c r="C7" i="19"/>
  <c r="D7" i="19"/>
  <c r="E7" i="19"/>
  <c r="F7" i="19"/>
  <c r="E11" i="49"/>
  <c r="E15" i="49"/>
  <c r="E19" i="49"/>
  <c r="E23" i="49"/>
  <c r="E24" i="49"/>
  <c r="E27" i="49"/>
  <c r="E28" i="49"/>
  <c r="E31" i="49"/>
  <c r="E35" i="49"/>
  <c r="E39" i="49"/>
  <c r="E43" i="49"/>
  <c r="E55" i="49"/>
  <c r="E63" i="49"/>
  <c r="E67" i="49"/>
  <c r="E71" i="49"/>
  <c r="E75" i="49"/>
  <c r="E79" i="49"/>
  <c r="E83" i="49"/>
  <c r="E86" i="49"/>
  <c r="E87" i="49"/>
  <c r="E91" i="49"/>
  <c r="E95" i="49"/>
  <c r="E96" i="49"/>
  <c r="E99" i="49"/>
  <c r="E103" i="49"/>
  <c r="E107" i="49"/>
  <c r="E111" i="49"/>
  <c r="E115" i="49"/>
  <c r="E118" i="49"/>
  <c r="E119" i="49"/>
  <c r="E120" i="49"/>
  <c r="E121" i="49"/>
  <c r="E123" i="49"/>
  <c r="E127" i="49"/>
  <c r="E128" i="49"/>
  <c r="E131" i="49"/>
  <c r="E132" i="49"/>
  <c r="E134" i="49"/>
  <c r="E136" i="49"/>
  <c r="E139" i="49"/>
  <c r="E142" i="49"/>
  <c r="E143" i="49"/>
  <c r="E146" i="49"/>
  <c r="E149" i="49"/>
  <c r="E152" i="49"/>
  <c r="E168" i="49"/>
  <c r="E171" i="49"/>
  <c r="E173" i="49"/>
  <c r="E180" i="49"/>
  <c r="E183" i="49"/>
  <c r="E195" i="49"/>
  <c r="E196" i="49"/>
  <c r="E197" i="49"/>
  <c r="E199" i="49"/>
  <c r="E215" i="49"/>
  <c r="E220" i="49"/>
  <c r="E221" i="49"/>
  <c r="E222" i="49"/>
  <c r="E227" i="49"/>
  <c r="E229" i="49"/>
  <c r="E234" i="49"/>
  <c r="E239" i="49"/>
  <c r="E242" i="49"/>
  <c r="E243" i="49"/>
  <c r="E245" i="49"/>
  <c r="E246" i="49"/>
  <c r="E256" i="49"/>
  <c r="E257" i="49"/>
  <c r="E261" i="49"/>
  <c r="E269" i="49"/>
  <c r="E270" i="49"/>
  <c r="E276" i="49"/>
  <c r="E288" i="49"/>
  <c r="E289" i="49"/>
  <c r="E293" i="49"/>
  <c r="E296" i="49"/>
  <c r="E297" i="49"/>
  <c r="E301" i="49"/>
  <c r="E304" i="49"/>
  <c r="E312" i="49"/>
  <c r="E313" i="49"/>
  <c r="D4" i="32"/>
  <c r="AA7" i="19"/>
  <c r="D6" i="49" s="1"/>
  <c r="D7" i="49"/>
  <c r="D8" i="49"/>
  <c r="D9" i="49"/>
  <c r="D10" i="49"/>
  <c r="D11" i="49"/>
  <c r="D12" i="49"/>
  <c r="D13" i="49"/>
  <c r="D14" i="49"/>
  <c r="D15" i="49"/>
  <c r="D16" i="49"/>
  <c r="D17" i="49"/>
  <c r="D18" i="49"/>
  <c r="D19" i="49"/>
  <c r="D20" i="49"/>
  <c r="D21" i="49"/>
  <c r="D22" i="49"/>
  <c r="D23" i="49"/>
  <c r="D24" i="49"/>
  <c r="D25" i="49"/>
  <c r="D26" i="49"/>
  <c r="D27" i="49"/>
  <c r="D28" i="49"/>
  <c r="D29" i="49"/>
  <c r="D30" i="49"/>
  <c r="D31" i="49"/>
  <c r="D32" i="49"/>
  <c r="D33" i="49"/>
  <c r="D34" i="49"/>
  <c r="D35" i="49"/>
  <c r="D36" i="49"/>
  <c r="D37" i="49"/>
  <c r="D38" i="49"/>
  <c r="D39" i="49"/>
  <c r="D40" i="49"/>
  <c r="D41" i="49"/>
  <c r="D42" i="49"/>
  <c r="D43" i="49"/>
  <c r="D44" i="49"/>
  <c r="D45" i="49"/>
  <c r="D46" i="49"/>
  <c r="D47" i="49"/>
  <c r="D48" i="49"/>
  <c r="D49" i="49"/>
  <c r="D50" i="49"/>
  <c r="D51" i="49"/>
  <c r="D52" i="49"/>
  <c r="D53" i="49"/>
  <c r="D54" i="49"/>
  <c r="D55" i="49"/>
  <c r="D56" i="49"/>
  <c r="D57" i="49"/>
  <c r="D58" i="49"/>
  <c r="D59" i="49"/>
  <c r="D60" i="49"/>
  <c r="D61" i="49"/>
  <c r="D62" i="49"/>
  <c r="D63" i="49"/>
  <c r="D64" i="49"/>
  <c r="D65" i="49"/>
  <c r="D66" i="49"/>
  <c r="D67" i="49"/>
  <c r="D68" i="49"/>
  <c r="D69" i="49"/>
  <c r="D70" i="49"/>
  <c r="D71" i="49"/>
  <c r="D72" i="49"/>
  <c r="D73" i="49"/>
  <c r="D74" i="49"/>
  <c r="D75" i="49"/>
  <c r="D76" i="49"/>
  <c r="D77" i="49"/>
  <c r="D78" i="49"/>
  <c r="D79" i="49"/>
  <c r="D80" i="49"/>
  <c r="D81" i="49"/>
  <c r="D82" i="49"/>
  <c r="D83" i="49"/>
  <c r="D84" i="49"/>
  <c r="D85" i="49"/>
  <c r="D86" i="49"/>
  <c r="D87" i="49"/>
  <c r="D88" i="49"/>
  <c r="D89" i="49"/>
  <c r="D90" i="49"/>
  <c r="D91" i="49"/>
  <c r="D92" i="49"/>
  <c r="D93" i="49"/>
  <c r="D94" i="49"/>
  <c r="D95" i="49"/>
  <c r="D96" i="49"/>
  <c r="D97" i="49"/>
  <c r="D98" i="49"/>
  <c r="D99" i="49"/>
  <c r="D100" i="49"/>
  <c r="D101" i="49"/>
  <c r="D102" i="49"/>
  <c r="D103" i="49"/>
  <c r="D104" i="49"/>
  <c r="D105" i="49"/>
  <c r="D106" i="49"/>
  <c r="D107" i="49"/>
  <c r="D108" i="49"/>
  <c r="D109" i="49"/>
  <c r="D110" i="49"/>
  <c r="D111" i="49"/>
  <c r="D112" i="49"/>
  <c r="D113" i="49"/>
  <c r="D114" i="49"/>
  <c r="D115" i="49"/>
  <c r="D116" i="49"/>
  <c r="D117" i="49"/>
  <c r="D118" i="49"/>
  <c r="D119" i="49"/>
  <c r="D120" i="49"/>
  <c r="D121" i="49"/>
  <c r="D122" i="49"/>
  <c r="D123" i="49"/>
  <c r="D124" i="49"/>
  <c r="D125" i="49"/>
  <c r="D126" i="49"/>
  <c r="D127" i="49"/>
  <c r="D128" i="49"/>
  <c r="D129" i="49"/>
  <c r="D130" i="49"/>
  <c r="D131" i="49"/>
  <c r="D132" i="49"/>
  <c r="D133" i="49"/>
  <c r="D134" i="49"/>
  <c r="D135" i="49"/>
  <c r="D136" i="49"/>
  <c r="D137" i="49"/>
  <c r="D138" i="49"/>
  <c r="D139" i="49"/>
  <c r="D140" i="49"/>
  <c r="D141" i="49"/>
  <c r="D142" i="49"/>
  <c r="D143" i="49"/>
  <c r="D144" i="49"/>
  <c r="D145" i="49"/>
  <c r="D146" i="49"/>
  <c r="D147" i="49"/>
  <c r="D148" i="49"/>
  <c r="D149" i="49"/>
  <c r="D150" i="49"/>
  <c r="D151" i="49"/>
  <c r="D152" i="49"/>
  <c r="D153" i="49"/>
  <c r="D154" i="49"/>
  <c r="D155" i="49"/>
  <c r="D156" i="49"/>
  <c r="D157" i="49"/>
  <c r="D158" i="49"/>
  <c r="D159" i="49"/>
  <c r="D160" i="49"/>
  <c r="D161" i="49"/>
  <c r="D162" i="49"/>
  <c r="D163" i="49"/>
  <c r="D164" i="49"/>
  <c r="D165" i="49"/>
  <c r="D166" i="49"/>
  <c r="D167" i="49"/>
  <c r="D168" i="49"/>
  <c r="D169" i="49"/>
  <c r="D171" i="49"/>
  <c r="D172" i="49"/>
  <c r="D173" i="49"/>
  <c r="D174" i="49"/>
  <c r="D175" i="49"/>
  <c r="D176" i="49"/>
  <c r="D177" i="49"/>
  <c r="D178" i="49"/>
  <c r="D179" i="49"/>
  <c r="D180" i="49"/>
  <c r="D181" i="49"/>
  <c r="D182" i="49"/>
  <c r="D183" i="49"/>
  <c r="D184" i="49"/>
  <c r="D185" i="49"/>
  <c r="D186" i="49"/>
  <c r="D187" i="49"/>
  <c r="D188" i="49"/>
  <c r="D189" i="49"/>
  <c r="D190" i="49"/>
  <c r="D191" i="49"/>
  <c r="D192" i="49"/>
  <c r="D193" i="49"/>
  <c r="D194" i="49"/>
  <c r="D195" i="49"/>
  <c r="D196" i="49"/>
  <c r="D197" i="49"/>
  <c r="D198" i="49"/>
  <c r="D199" i="49"/>
  <c r="D200" i="49"/>
  <c r="D201" i="49"/>
  <c r="D202" i="49"/>
  <c r="D203" i="49"/>
  <c r="D204" i="49"/>
  <c r="D205" i="49"/>
  <c r="D206" i="49"/>
  <c r="D207" i="49"/>
  <c r="D208" i="49"/>
  <c r="D209" i="49"/>
  <c r="D210" i="49"/>
  <c r="D211" i="49"/>
  <c r="D212" i="49"/>
  <c r="D213" i="49"/>
  <c r="D214" i="49"/>
  <c r="D215" i="49"/>
  <c r="D216" i="49"/>
  <c r="D217" i="49"/>
  <c r="D218" i="49"/>
  <c r="D220" i="49"/>
  <c r="D221" i="49"/>
  <c r="D222" i="49"/>
  <c r="D223" i="49"/>
  <c r="D224" i="49"/>
  <c r="D225" i="49"/>
  <c r="D226" i="49"/>
  <c r="D227" i="49"/>
  <c r="D228" i="49"/>
  <c r="D229" i="49"/>
  <c r="D230" i="49"/>
  <c r="D231" i="49"/>
  <c r="D232" i="49"/>
  <c r="D233" i="49"/>
  <c r="D234" i="49"/>
  <c r="D235" i="49"/>
  <c r="D236" i="49"/>
  <c r="D237" i="49"/>
  <c r="D238" i="49"/>
  <c r="D239" i="49"/>
  <c r="D240" i="49"/>
  <c r="D241" i="49"/>
  <c r="D242" i="49"/>
  <c r="D243" i="49"/>
  <c r="D245" i="49"/>
  <c r="D246" i="49"/>
  <c r="D247" i="49"/>
  <c r="D248" i="49"/>
  <c r="D249" i="49"/>
  <c r="D250" i="49"/>
  <c r="D251" i="49"/>
  <c r="D252" i="49"/>
  <c r="D253" i="49"/>
  <c r="D254" i="49"/>
  <c r="D255" i="49"/>
  <c r="D256" i="49"/>
  <c r="D257" i="49"/>
  <c r="D258" i="49"/>
  <c r="D259" i="49"/>
  <c r="D260" i="49"/>
  <c r="D261" i="49"/>
  <c r="D262" i="49"/>
  <c r="D263" i="49"/>
  <c r="D264" i="49"/>
  <c r="D265" i="49"/>
  <c r="D266" i="49"/>
  <c r="D267" i="49"/>
  <c r="D268" i="49"/>
  <c r="D269" i="49"/>
  <c r="D270" i="49"/>
  <c r="D271" i="49"/>
  <c r="D272" i="49"/>
  <c r="D273" i="49"/>
  <c r="D274" i="49"/>
  <c r="D275" i="49"/>
  <c r="D276" i="49"/>
  <c r="D277" i="49"/>
  <c r="D278" i="49"/>
  <c r="D279" i="49"/>
  <c r="D280" i="49"/>
  <c r="D281" i="49"/>
  <c r="D282" i="49"/>
  <c r="D283" i="49"/>
  <c r="D284" i="49"/>
  <c r="D285" i="49"/>
  <c r="D286" i="49"/>
  <c r="D287" i="49"/>
  <c r="D288" i="49"/>
  <c r="D289" i="49"/>
  <c r="D290" i="49"/>
  <c r="D291" i="49"/>
  <c r="D292" i="49"/>
  <c r="D293" i="49"/>
  <c r="D294" i="49"/>
  <c r="D295" i="49"/>
  <c r="D296" i="49"/>
  <c r="D297" i="49"/>
  <c r="D298" i="49"/>
  <c r="D299" i="49"/>
  <c r="D300" i="49"/>
  <c r="D301" i="49"/>
  <c r="D302" i="49"/>
  <c r="D303" i="49"/>
  <c r="D304" i="49"/>
  <c r="D305" i="49"/>
  <c r="D306" i="49"/>
  <c r="D307" i="49"/>
  <c r="D308" i="49"/>
  <c r="D309" i="49"/>
  <c r="D310" i="49"/>
  <c r="D311" i="49"/>
  <c r="D312" i="49"/>
  <c r="D313" i="49"/>
  <c r="D314" i="49"/>
  <c r="K14" i="13"/>
  <c r="K88" i="13"/>
  <c r="E4" i="36"/>
  <c r="G4" i="36"/>
  <c r="I4" i="36"/>
  <c r="H4" i="36"/>
  <c r="G5" i="36"/>
  <c r="C6" i="34"/>
  <c r="D4" i="36"/>
  <c r="D5" i="36"/>
  <c r="E5" i="36"/>
  <c r="F4" i="36"/>
  <c r="F5" i="36"/>
  <c r="H5" i="36"/>
  <c r="J4" i="36"/>
  <c r="I5" i="36"/>
  <c r="I4" i="39"/>
  <c r="K8" i="13"/>
  <c r="K9" i="13"/>
  <c r="K10" i="13"/>
  <c r="K11" i="13"/>
  <c r="K12" i="13"/>
  <c r="K13"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5" i="13"/>
  <c r="K126" i="13"/>
  <c r="K127" i="13"/>
  <c r="K128" i="13"/>
  <c r="K129" i="13"/>
  <c r="K130" i="13"/>
  <c r="K131" i="13"/>
  <c r="K132" i="13"/>
  <c r="K133" i="13"/>
  <c r="K134" i="13"/>
  <c r="K135" i="13"/>
  <c r="K136" i="13"/>
  <c r="K137" i="13"/>
  <c r="K138" i="13"/>
  <c r="K139" i="13"/>
  <c r="K140" i="13"/>
  <c r="K141" i="13"/>
  <c r="K142" i="13"/>
  <c r="K143" i="13"/>
  <c r="K144" i="13"/>
  <c r="K145" i="13"/>
  <c r="K146" i="13"/>
  <c r="K147" i="13"/>
  <c r="K148" i="13"/>
  <c r="K149" i="13"/>
  <c r="K150" i="13"/>
  <c r="K151" i="13"/>
  <c r="K152" i="13"/>
  <c r="K153" i="13"/>
  <c r="K154" i="13"/>
  <c r="K155" i="13"/>
  <c r="K156" i="13"/>
  <c r="K157" i="13"/>
  <c r="K158" i="13"/>
  <c r="K159" i="13"/>
  <c r="K160" i="13"/>
  <c r="K161" i="13"/>
  <c r="K162" i="13"/>
  <c r="K163" i="13"/>
  <c r="K164" i="13"/>
  <c r="K165" i="13"/>
  <c r="K166" i="13"/>
  <c r="K167" i="13"/>
  <c r="K168" i="13"/>
  <c r="K169" i="13"/>
  <c r="K171" i="13"/>
  <c r="K172" i="13"/>
  <c r="K173" i="13"/>
  <c r="K174" i="13"/>
  <c r="K175" i="13"/>
  <c r="K176" i="13"/>
  <c r="K177" i="13"/>
  <c r="K178" i="13"/>
  <c r="K179" i="13"/>
  <c r="K180" i="13"/>
  <c r="K181" i="13"/>
  <c r="K182" i="13"/>
  <c r="K183" i="13"/>
  <c r="K184" i="13"/>
  <c r="K185" i="13"/>
  <c r="K186" i="13"/>
  <c r="K187" i="13"/>
  <c r="K188" i="13"/>
  <c r="K189" i="13"/>
  <c r="K190" i="13"/>
  <c r="K191" i="13"/>
  <c r="K192" i="13"/>
  <c r="K193" i="13"/>
  <c r="K194" i="13"/>
  <c r="K195" i="13"/>
  <c r="K196" i="13"/>
  <c r="K197" i="13"/>
  <c r="K198" i="13"/>
  <c r="K199" i="13"/>
  <c r="K200" i="13"/>
  <c r="K201" i="13"/>
  <c r="K202" i="13"/>
  <c r="K203" i="13"/>
  <c r="K204" i="13"/>
  <c r="K205" i="13"/>
  <c r="K206" i="13"/>
  <c r="K207" i="13"/>
  <c r="K208" i="13"/>
  <c r="K209" i="13"/>
  <c r="K210" i="13"/>
  <c r="K211" i="13"/>
  <c r="K212" i="13"/>
  <c r="K213" i="13"/>
  <c r="K214" i="13"/>
  <c r="K215" i="13"/>
  <c r="K216" i="13"/>
  <c r="K217" i="13"/>
  <c r="K218" i="13"/>
  <c r="K220" i="13"/>
  <c r="K221" i="13"/>
  <c r="K222" i="13"/>
  <c r="K223" i="13"/>
  <c r="K224" i="13"/>
  <c r="K225" i="13"/>
  <c r="K226" i="13"/>
  <c r="K227" i="13"/>
  <c r="K228" i="13"/>
  <c r="K229" i="13"/>
  <c r="K230" i="13"/>
  <c r="K231" i="13"/>
  <c r="K232" i="13"/>
  <c r="K233" i="13"/>
  <c r="K234" i="13"/>
  <c r="K235" i="13"/>
  <c r="K236" i="13"/>
  <c r="K237" i="13"/>
  <c r="K238" i="13"/>
  <c r="K239" i="13"/>
  <c r="K240" i="13"/>
  <c r="K241" i="13"/>
  <c r="K242" i="13"/>
  <c r="K243" i="13"/>
  <c r="K245" i="13"/>
  <c r="K246" i="13"/>
  <c r="K247" i="13"/>
  <c r="K248" i="13"/>
  <c r="K249" i="13"/>
  <c r="K250" i="13"/>
  <c r="K251" i="13"/>
  <c r="K252" i="13"/>
  <c r="K253" i="13"/>
  <c r="K254" i="13"/>
  <c r="K255" i="13"/>
  <c r="K256" i="13"/>
  <c r="K257" i="13"/>
  <c r="K258" i="13"/>
  <c r="K259" i="13"/>
  <c r="K260" i="13"/>
  <c r="K261" i="13"/>
  <c r="K262" i="13"/>
  <c r="K263" i="13"/>
  <c r="K264" i="13"/>
  <c r="K265" i="13"/>
  <c r="K266" i="13"/>
  <c r="K267" i="13"/>
  <c r="K268" i="13"/>
  <c r="K269" i="13"/>
  <c r="K270" i="13"/>
  <c r="K271" i="13"/>
  <c r="K272" i="13"/>
  <c r="K273" i="13"/>
  <c r="K274" i="13"/>
  <c r="K275" i="13"/>
  <c r="K276" i="13"/>
  <c r="K277" i="13"/>
  <c r="K278" i="13"/>
  <c r="K279" i="13"/>
  <c r="K280" i="13"/>
  <c r="K281" i="13"/>
  <c r="K282" i="13"/>
  <c r="K283" i="13"/>
  <c r="K284" i="13"/>
  <c r="K285" i="13"/>
  <c r="K286" i="13"/>
  <c r="K287" i="13"/>
  <c r="K288" i="13"/>
  <c r="K289" i="13"/>
  <c r="K290" i="13"/>
  <c r="K291" i="13"/>
  <c r="K292" i="13"/>
  <c r="K293" i="13"/>
  <c r="K294" i="13"/>
  <c r="K295" i="13"/>
  <c r="K296" i="13"/>
  <c r="K297" i="13"/>
  <c r="K298" i="13"/>
  <c r="K299" i="13"/>
  <c r="K300" i="13"/>
  <c r="K301" i="13"/>
  <c r="K302" i="13"/>
  <c r="K303" i="13"/>
  <c r="K304" i="13"/>
  <c r="K305" i="13"/>
  <c r="K306" i="13"/>
  <c r="K307" i="13"/>
  <c r="K308" i="13"/>
  <c r="K309" i="13"/>
  <c r="K310" i="13"/>
  <c r="K311" i="13"/>
  <c r="K312" i="13"/>
  <c r="K313" i="13"/>
  <c r="K314" i="13"/>
  <c r="A6" i="25"/>
  <c r="B6" i="25"/>
  <c r="V316" i="42" l="1"/>
  <c r="K7" i="13"/>
  <c r="K315" i="13"/>
  <c r="G314" i="11"/>
  <c r="E314" i="49"/>
  <c r="E307" i="49"/>
  <c r="E303" i="49"/>
  <c r="E292" i="49"/>
  <c r="E284" i="49"/>
  <c r="E268" i="49"/>
  <c r="E260" i="49"/>
  <c r="E252" i="49"/>
  <c r="E230" i="49"/>
  <c r="E226" i="49"/>
  <c r="E207" i="49"/>
  <c r="E187" i="49"/>
  <c r="E179" i="49"/>
  <c r="E160" i="49"/>
  <c r="E156" i="49"/>
  <c r="E148" i="49"/>
  <c r="E140" i="49"/>
  <c r="E124" i="49"/>
  <c r="E116" i="49"/>
  <c r="E112" i="49"/>
  <c r="E104" i="49"/>
  <c r="E100" i="49"/>
  <c r="E92" i="49"/>
  <c r="E84" i="49"/>
  <c r="E76" i="49"/>
  <c r="E68" i="49"/>
  <c r="E60" i="49"/>
  <c r="E52" i="49"/>
  <c r="E44" i="49"/>
  <c r="E36" i="49"/>
  <c r="E20" i="49"/>
  <c r="E16" i="49"/>
  <c r="E8" i="49"/>
  <c r="E306" i="49"/>
  <c r="E291" i="49"/>
  <c r="E283" i="49"/>
  <c r="E279" i="49"/>
  <c r="E271" i="49"/>
  <c r="E263" i="49"/>
  <c r="E255" i="49"/>
  <c r="E251" i="49"/>
  <c r="E236" i="49"/>
  <c r="E233" i="49"/>
  <c r="E214" i="49"/>
  <c r="E206" i="49"/>
  <c r="E198" i="49"/>
  <c r="E186" i="49"/>
  <c r="E178" i="49"/>
  <c r="E159" i="49"/>
  <c r="E151" i="49"/>
  <c r="E59" i="49"/>
  <c r="E51" i="49"/>
  <c r="E7" i="49"/>
  <c r="E309" i="49"/>
  <c r="E305" i="49"/>
  <c r="E294" i="49"/>
  <c r="E290" i="49"/>
  <c r="E286" i="49"/>
  <c r="E282" i="49"/>
  <c r="E278" i="49"/>
  <c r="E274" i="49"/>
  <c r="E266" i="49"/>
  <c r="E262" i="49"/>
  <c r="E258" i="49"/>
  <c r="E254" i="49"/>
  <c r="E250" i="49"/>
  <c r="E241" i="49"/>
  <c r="E235" i="49"/>
  <c r="E232" i="49"/>
  <c r="E228" i="49"/>
  <c r="E224" i="49"/>
  <c r="E217" i="49"/>
  <c r="E213" i="49"/>
  <c r="E209" i="49"/>
  <c r="E205" i="49"/>
  <c r="E201" i="49"/>
  <c r="E193" i="49"/>
  <c r="E189" i="49"/>
  <c r="E185" i="49"/>
  <c r="E181" i="49"/>
  <c r="E177" i="49"/>
  <c r="E174" i="49"/>
  <c r="E167" i="49"/>
  <c r="E165" i="49"/>
  <c r="E162" i="49"/>
  <c r="E158" i="49"/>
  <c r="E154" i="49"/>
  <c r="E150" i="49"/>
  <c r="E138" i="49"/>
  <c r="E130" i="49"/>
  <c r="E126" i="49"/>
  <c r="E122" i="49"/>
  <c r="E114" i="49"/>
  <c r="E110" i="49"/>
  <c r="E106" i="49"/>
  <c r="E102" i="49"/>
  <c r="E98" i="49"/>
  <c r="E94" i="49"/>
  <c r="E90" i="49"/>
  <c r="E82" i="49"/>
  <c r="E78" i="49"/>
  <c r="E74" i="49"/>
  <c r="E70" i="49"/>
  <c r="E66" i="49"/>
  <c r="E62" i="49"/>
  <c r="E58" i="49"/>
  <c r="E54" i="49"/>
  <c r="E50" i="49"/>
  <c r="E46" i="49"/>
  <c r="E42" i="49"/>
  <c r="E38" i="49"/>
  <c r="E34" i="49"/>
  <c r="E30" i="49"/>
  <c r="E26" i="49"/>
  <c r="E22" i="49"/>
  <c r="E18" i="49"/>
  <c r="E14" i="49"/>
  <c r="E10" i="49"/>
  <c r="C6" i="25"/>
  <c r="E6" i="49"/>
  <c r="E311" i="49"/>
  <c r="E299" i="49"/>
  <c r="E280" i="49"/>
  <c r="E272" i="49"/>
  <c r="E264" i="49"/>
  <c r="E248" i="49"/>
  <c r="E211" i="49"/>
  <c r="E203" i="49"/>
  <c r="E191" i="49"/>
  <c r="E175" i="49"/>
  <c r="E172" i="49"/>
  <c r="E144" i="49"/>
  <c r="E108" i="49"/>
  <c r="E88" i="49"/>
  <c r="E80" i="49"/>
  <c r="E72" i="49"/>
  <c r="E64" i="49"/>
  <c r="E56" i="49"/>
  <c r="E48" i="49"/>
  <c r="E40" i="49"/>
  <c r="E32" i="49"/>
  <c r="E12" i="49"/>
  <c r="E310" i="49"/>
  <c r="E302" i="49"/>
  <c r="E298" i="49"/>
  <c r="E295" i="49"/>
  <c r="E287" i="49"/>
  <c r="E275" i="49"/>
  <c r="E267" i="49"/>
  <c r="E259" i="49"/>
  <c r="E247" i="49"/>
  <c r="E238" i="49"/>
  <c r="E225" i="49"/>
  <c r="E218" i="49"/>
  <c r="E210" i="49"/>
  <c r="E202" i="49"/>
  <c r="E194" i="49"/>
  <c r="E190" i="49"/>
  <c r="E182" i="49"/>
  <c r="E163" i="49"/>
  <c r="E155" i="49"/>
  <c r="E147" i="49"/>
  <c r="E135" i="49"/>
  <c r="E47" i="49"/>
  <c r="D315" i="49"/>
  <c r="E308" i="49"/>
  <c r="E300" i="49"/>
  <c r="E285" i="49"/>
  <c r="E281" i="49"/>
  <c r="E277" i="49"/>
  <c r="E273" i="49"/>
  <c r="E265" i="49"/>
  <c r="E253" i="49"/>
  <c r="E249" i="49"/>
  <c r="E240" i="49"/>
  <c r="E237" i="49"/>
  <c r="E231" i="49"/>
  <c r="E223" i="49"/>
  <c r="E216" i="49"/>
  <c r="E212" i="49"/>
  <c r="E208" i="49"/>
  <c r="E204" i="49"/>
  <c r="E200" i="49"/>
  <c r="E192" i="49"/>
  <c r="E188" i="49"/>
  <c r="E184" i="49"/>
  <c r="E176" i="49"/>
  <c r="E169" i="49"/>
  <c r="E166" i="49"/>
  <c r="E164" i="49"/>
  <c r="E161" i="49"/>
  <c r="E157" i="49"/>
  <c r="E153" i="49"/>
  <c r="E145" i="49"/>
  <c r="E141" i="49"/>
  <c r="E137" i="49"/>
  <c r="E133" i="49"/>
  <c r="E129" i="49"/>
  <c r="E125" i="49"/>
  <c r="E117" i="49"/>
  <c r="E113" i="49"/>
  <c r="E109" i="49"/>
  <c r="E105" i="49"/>
  <c r="E101" i="49"/>
  <c r="E97" i="49"/>
  <c r="E93" i="49"/>
  <c r="E89" i="49"/>
  <c r="E85" i="49"/>
  <c r="E81" i="49"/>
  <c r="E77" i="49"/>
  <c r="E73" i="49"/>
  <c r="E69" i="49"/>
  <c r="E65" i="49"/>
  <c r="E61" i="49"/>
  <c r="E57" i="49"/>
  <c r="E53" i="49"/>
  <c r="E49" i="49"/>
  <c r="E45" i="49"/>
  <c r="E41" i="49"/>
  <c r="E37" i="49"/>
  <c r="E33" i="49"/>
  <c r="E29" i="49"/>
  <c r="E25" i="49"/>
  <c r="E21" i="49"/>
  <c r="E17" i="49"/>
  <c r="E13" i="49"/>
  <c r="E9" i="49"/>
  <c r="D6" i="25"/>
  <c r="D5" i="33"/>
  <c r="L289" i="13"/>
  <c r="M289" i="13" s="1"/>
  <c r="L257" i="13"/>
  <c r="M257" i="13" s="1"/>
  <c r="L245" i="13"/>
  <c r="M245" i="13" s="1"/>
  <c r="L196" i="13"/>
  <c r="M196" i="13" s="1"/>
  <c r="L180" i="13"/>
  <c r="M180" i="13" s="1"/>
  <c r="L149" i="13"/>
  <c r="M149" i="13" s="1"/>
  <c r="L121" i="13"/>
  <c r="M121" i="13" s="1"/>
  <c r="L296" i="13"/>
  <c r="M296" i="13" s="1"/>
  <c r="L276" i="13"/>
  <c r="M276" i="13" s="1"/>
  <c r="L256" i="13"/>
  <c r="M256" i="13" s="1"/>
  <c r="L243" i="13"/>
  <c r="M243" i="13" s="1"/>
  <c r="L234" i="13"/>
  <c r="M234" i="13" s="1"/>
  <c r="L222" i="13"/>
  <c r="M222" i="13" s="1"/>
  <c r="L215" i="13"/>
  <c r="M215" i="13" s="1"/>
  <c r="L199" i="13"/>
  <c r="M199" i="13" s="1"/>
  <c r="L168" i="13"/>
  <c r="M168" i="13" s="1"/>
  <c r="L152" i="13"/>
  <c r="M152" i="13" s="1"/>
  <c r="L132" i="13"/>
  <c r="M132" i="13" s="1"/>
  <c r="L128" i="13"/>
  <c r="M128" i="13" s="1"/>
  <c r="L120" i="13"/>
  <c r="M120" i="13" s="1"/>
  <c r="L96" i="13"/>
  <c r="M96" i="13" s="1"/>
  <c r="L242" i="13"/>
  <c r="M242" i="13" s="1"/>
  <c r="L229" i="13"/>
  <c r="M229" i="13" s="1"/>
  <c r="L221" i="13"/>
  <c r="M221" i="13" s="1"/>
  <c r="L171" i="13"/>
  <c r="M171" i="13" s="1"/>
  <c r="L139" i="13"/>
  <c r="M139" i="13" s="1"/>
  <c r="L127" i="13"/>
  <c r="M127" i="13" s="1"/>
  <c r="L119" i="13"/>
  <c r="M119" i="13" s="1"/>
  <c r="L111" i="13"/>
  <c r="M111" i="13" s="1"/>
  <c r="L103" i="13"/>
  <c r="M103" i="13" s="1"/>
  <c r="L95" i="13"/>
  <c r="M95" i="13" s="1"/>
  <c r="L87" i="13"/>
  <c r="M87" i="13" s="1"/>
  <c r="L83" i="13"/>
  <c r="M83" i="13" s="1"/>
  <c r="L75" i="13"/>
  <c r="M75" i="13" s="1"/>
  <c r="L67" i="13"/>
  <c r="M67" i="13" s="1"/>
  <c r="L63" i="13"/>
  <c r="M63" i="13" s="1"/>
  <c r="L55" i="13"/>
  <c r="M55" i="13" s="1"/>
  <c r="L39" i="13"/>
  <c r="M39" i="13" s="1"/>
  <c r="L31" i="13"/>
  <c r="M31" i="13" s="1"/>
  <c r="L27" i="13"/>
  <c r="M27" i="13" s="1"/>
  <c r="L23" i="13"/>
  <c r="M23" i="13" s="1"/>
  <c r="L19" i="13"/>
  <c r="M19" i="13" s="1"/>
  <c r="L118" i="13"/>
  <c r="M118" i="13" s="1"/>
  <c r="L86" i="13"/>
  <c r="M86" i="13" s="1"/>
  <c r="B314" i="11"/>
  <c r="L135" i="13"/>
  <c r="M135" i="13" s="1"/>
  <c r="L59" i="13"/>
  <c r="M59" i="13" s="1"/>
  <c r="L51" i="13"/>
  <c r="M51" i="13" s="1"/>
  <c r="L8" i="13"/>
  <c r="M8" i="13" s="1"/>
  <c r="L143" i="13"/>
  <c r="M143" i="13" s="1"/>
  <c r="L131" i="13"/>
  <c r="M131" i="13" s="1"/>
  <c r="L123" i="13"/>
  <c r="M123" i="13" s="1"/>
  <c r="L115" i="13"/>
  <c r="M115" i="13" s="1"/>
  <c r="L107" i="13"/>
  <c r="M107" i="13" s="1"/>
  <c r="L99" i="13"/>
  <c r="M99" i="13" s="1"/>
  <c r="L91" i="13"/>
  <c r="M91" i="13" s="1"/>
  <c r="L79" i="13"/>
  <c r="M79" i="13" s="1"/>
  <c r="L71" i="13"/>
  <c r="M71" i="13" s="1"/>
  <c r="L47" i="13"/>
  <c r="M47" i="13" s="1"/>
  <c r="L43" i="13"/>
  <c r="M43" i="13" s="1"/>
  <c r="L35" i="13"/>
  <c r="M35" i="13" s="1"/>
  <c r="L15" i="13"/>
  <c r="M15" i="13" s="1"/>
  <c r="L11" i="13"/>
  <c r="M11" i="13" s="1"/>
  <c r="Y7" i="19"/>
  <c r="L175" i="13"/>
  <c r="M175" i="13" s="1"/>
  <c r="L272" i="13"/>
  <c r="M272" i="13" s="1"/>
  <c r="L299" i="13"/>
  <c r="M299" i="13" s="1"/>
  <c r="L191" i="13"/>
  <c r="M191" i="13" s="1"/>
  <c r="L68" i="13"/>
  <c r="M68" i="13" s="1"/>
  <c r="L36" i="13"/>
  <c r="M36" i="13" s="1"/>
  <c r="L277" i="13"/>
  <c r="M277" i="13" s="1"/>
  <c r="L249" i="13"/>
  <c r="M249" i="13" s="1"/>
  <c r="L240" i="13"/>
  <c r="M240" i="13" s="1"/>
  <c r="L314" i="13"/>
  <c r="M314" i="13" s="1"/>
  <c r="L307" i="13"/>
  <c r="M307" i="13" s="1"/>
  <c r="L303" i="13"/>
  <c r="M303" i="13" s="1"/>
  <c r="L284" i="13"/>
  <c r="M284" i="13" s="1"/>
  <c r="L260" i="13"/>
  <c r="M260" i="13" s="1"/>
  <c r="L252" i="13"/>
  <c r="M252" i="13" s="1"/>
  <c r="L239" i="13"/>
  <c r="M239" i="13" s="1"/>
  <c r="L226" i="13"/>
  <c r="M226" i="13" s="1"/>
  <c r="L207" i="13"/>
  <c r="M207" i="13" s="1"/>
  <c r="L183" i="13"/>
  <c r="M183" i="13" s="1"/>
  <c r="L172" i="13"/>
  <c r="M172" i="13" s="1"/>
  <c r="L60" i="13"/>
  <c r="M60" i="13" s="1"/>
  <c r="L56" i="13"/>
  <c r="M56" i="13" s="1"/>
  <c r="L48" i="13"/>
  <c r="M48" i="13" s="1"/>
  <c r="L28" i="13"/>
  <c r="M28" i="13" s="1"/>
  <c r="L16" i="13"/>
  <c r="M16" i="13" s="1"/>
  <c r="L248" i="13"/>
  <c r="M248" i="13" s="1"/>
  <c r="L230" i="13"/>
  <c r="M230" i="13" s="1"/>
  <c r="L264" i="13"/>
  <c r="M264" i="13" s="1"/>
  <c r="L311" i="13"/>
  <c r="M311" i="13" s="1"/>
  <c r="L292" i="13"/>
  <c r="M292" i="13" s="1"/>
  <c r="L288" i="13"/>
  <c r="M288" i="13" s="1"/>
  <c r="L280" i="13"/>
  <c r="M280" i="13" s="1"/>
  <c r="L268" i="13"/>
  <c r="M268" i="13" s="1"/>
  <c r="L211" i="13"/>
  <c r="M211" i="13" s="1"/>
  <c r="L203" i="13"/>
  <c r="M203" i="13" s="1"/>
  <c r="L195" i="13"/>
  <c r="M195" i="13" s="1"/>
  <c r="L187" i="13"/>
  <c r="M187" i="13" s="1"/>
  <c r="L44" i="13"/>
  <c r="M44" i="13" s="1"/>
  <c r="L24" i="13"/>
  <c r="M24" i="13" s="1"/>
  <c r="L179" i="13"/>
  <c r="M179" i="13" s="1"/>
  <c r="L162" i="13"/>
  <c r="M162" i="13" s="1"/>
  <c r="L154" i="13"/>
  <c r="M154" i="13" s="1"/>
  <c r="L146" i="13"/>
  <c r="M146" i="13" s="1"/>
  <c r="L138" i="13"/>
  <c r="M138" i="13" s="1"/>
  <c r="L130" i="13"/>
  <c r="M130" i="13" s="1"/>
  <c r="L114" i="13"/>
  <c r="M114" i="13" s="1"/>
  <c r="L106" i="13"/>
  <c r="M106" i="13" s="1"/>
  <c r="L98" i="13"/>
  <c r="M98" i="13" s="1"/>
  <c r="L90" i="13"/>
  <c r="M90" i="13" s="1"/>
  <c r="L82" i="13"/>
  <c r="M82" i="13" s="1"/>
  <c r="L122" i="13"/>
  <c r="M122" i="13" s="1"/>
  <c r="L304" i="13"/>
  <c r="M304" i="13" s="1"/>
  <c r="L158" i="13"/>
  <c r="M158" i="13" s="1"/>
  <c r="L150" i="13"/>
  <c r="M150" i="13" s="1"/>
  <c r="L142" i="13"/>
  <c r="M142" i="13" s="1"/>
  <c r="L134" i="13"/>
  <c r="M134" i="13" s="1"/>
  <c r="L102" i="13"/>
  <c r="M102" i="13" s="1"/>
  <c r="L94" i="13"/>
  <c r="M94" i="13" s="1"/>
  <c r="L78" i="13"/>
  <c r="M78" i="13" s="1"/>
  <c r="L110" i="13"/>
  <c r="M110" i="13" s="1"/>
  <c r="L312" i="13"/>
  <c r="M312" i="13" s="1"/>
  <c r="L308" i="13"/>
  <c r="M308" i="13" s="1"/>
  <c r="L300" i="13"/>
  <c r="M300" i="13" s="1"/>
  <c r="L126" i="13"/>
  <c r="M126" i="13" s="1"/>
  <c r="L285" i="13"/>
  <c r="M285" i="13" s="1"/>
  <c r="L269" i="13"/>
  <c r="M269" i="13" s="1"/>
  <c r="L261" i="13"/>
  <c r="M261" i="13" s="1"/>
  <c r="L253" i="13"/>
  <c r="M253" i="13" s="1"/>
  <c r="L216" i="13"/>
  <c r="M216" i="13" s="1"/>
  <c r="L208" i="13"/>
  <c r="M208" i="13" s="1"/>
  <c r="L192" i="13"/>
  <c r="M192" i="13" s="1"/>
  <c r="L173" i="13"/>
  <c r="M173" i="13" s="1"/>
  <c r="L169" i="13"/>
  <c r="M169" i="13" s="1"/>
  <c r="L164" i="13"/>
  <c r="M164" i="13" s="1"/>
  <c r="L161" i="13"/>
  <c r="M161" i="13" s="1"/>
  <c r="L176" i="13"/>
  <c r="M176" i="13" s="1"/>
  <c r="L293" i="13"/>
  <c r="M293" i="13" s="1"/>
  <c r="L281" i="13"/>
  <c r="M281" i="13" s="1"/>
  <c r="L273" i="13"/>
  <c r="M273" i="13" s="1"/>
  <c r="L265" i="13"/>
  <c r="M265" i="13" s="1"/>
  <c r="L237" i="13"/>
  <c r="M237" i="13" s="1"/>
  <c r="L227" i="13"/>
  <c r="M227" i="13" s="1"/>
  <c r="L220" i="13"/>
  <c r="M220" i="13" s="1"/>
  <c r="L212" i="13"/>
  <c r="M212" i="13" s="1"/>
  <c r="L204" i="13"/>
  <c r="M204" i="13" s="1"/>
  <c r="L188" i="13"/>
  <c r="M188" i="13" s="1"/>
  <c r="L166" i="13"/>
  <c r="M166" i="13" s="1"/>
  <c r="L157" i="13"/>
  <c r="M157" i="13" s="1"/>
  <c r="L200" i="13"/>
  <c r="M200" i="13" s="1"/>
  <c r="L231" i="13"/>
  <c r="M231" i="13" s="1"/>
  <c r="L223" i="13"/>
  <c r="M223" i="13" s="1"/>
  <c r="L184" i="13"/>
  <c r="M184" i="13" s="1"/>
  <c r="L153" i="13"/>
  <c r="M153" i="13" s="1"/>
  <c r="L13" i="13"/>
  <c r="M13" i="13" s="1"/>
  <c r="L20" i="13"/>
  <c r="M20" i="13" s="1"/>
  <c r="L72" i="13"/>
  <c r="M72" i="13" s="1"/>
  <c r="L64" i="13"/>
  <c r="M64" i="13" s="1"/>
  <c r="L52" i="13"/>
  <c r="M52" i="13" s="1"/>
  <c r="K316" i="19"/>
  <c r="E316" i="19"/>
  <c r="H195" i="49"/>
  <c r="I195" i="49" s="1"/>
  <c r="L12" i="13"/>
  <c r="M12" i="13" s="1"/>
  <c r="L40" i="13"/>
  <c r="M40" i="13" s="1"/>
  <c r="L32" i="13"/>
  <c r="M32" i="13" s="1"/>
  <c r="H165" i="49"/>
  <c r="H164" i="49"/>
  <c r="L38" i="13"/>
  <c r="M38" i="13" s="1"/>
  <c r="F316" i="19"/>
  <c r="M316" i="19"/>
  <c r="P316" i="19"/>
  <c r="V316" i="19"/>
  <c r="C316" i="19"/>
  <c r="L270" i="13"/>
  <c r="M270" i="13" s="1"/>
  <c r="J316" i="19"/>
  <c r="D5" i="32"/>
  <c r="D314" i="32" s="1"/>
  <c r="Z316" i="19"/>
  <c r="L310" i="13"/>
  <c r="M310" i="13" s="1"/>
  <c r="L302" i="13"/>
  <c r="M302" i="13" s="1"/>
  <c r="L298" i="13"/>
  <c r="M298" i="13" s="1"/>
  <c r="L291" i="13"/>
  <c r="M291" i="13" s="1"/>
  <c r="L287" i="13"/>
  <c r="M287" i="13" s="1"/>
  <c r="L283" i="13"/>
  <c r="M283" i="13" s="1"/>
  <c r="L275" i="13"/>
  <c r="M275" i="13" s="1"/>
  <c r="L271" i="13"/>
  <c r="M271" i="13" s="1"/>
  <c r="L267" i="13"/>
  <c r="M267" i="13" s="1"/>
  <c r="L263" i="13"/>
  <c r="M263" i="13" s="1"/>
  <c r="L255" i="13"/>
  <c r="M255" i="13" s="1"/>
  <c r="L247" i="13"/>
  <c r="M247" i="13" s="1"/>
  <c r="L238" i="13"/>
  <c r="M238" i="13" s="1"/>
  <c r="L233" i="13"/>
  <c r="M233" i="13" s="1"/>
  <c r="L225" i="13"/>
  <c r="M225" i="13" s="1"/>
  <c r="L218" i="13"/>
  <c r="M218" i="13" s="1"/>
  <c r="L202" i="13"/>
  <c r="M202" i="13" s="1"/>
  <c r="L198" i="13"/>
  <c r="M198" i="13" s="1"/>
  <c r="L194" i="13"/>
  <c r="M194" i="13" s="1"/>
  <c r="L186" i="13"/>
  <c r="M186" i="13" s="1"/>
  <c r="L182" i="13"/>
  <c r="M182" i="13" s="1"/>
  <c r="L178" i="13"/>
  <c r="M178" i="13" s="1"/>
  <c r="L160" i="13"/>
  <c r="M160" i="13" s="1"/>
  <c r="L156" i="13"/>
  <c r="M156" i="13" s="1"/>
  <c r="L148" i="13"/>
  <c r="M148" i="13" s="1"/>
  <c r="L145" i="13"/>
  <c r="M145" i="13" s="1"/>
  <c r="L137" i="13"/>
  <c r="M137" i="13" s="1"/>
  <c r="L133" i="13"/>
  <c r="M133" i="13" s="1"/>
  <c r="L129" i="13"/>
  <c r="M129" i="13" s="1"/>
  <c r="L125" i="13"/>
  <c r="M125" i="13" s="1"/>
  <c r="L113" i="13"/>
  <c r="M113" i="13" s="1"/>
  <c r="L109" i="13"/>
  <c r="M109" i="13" s="1"/>
  <c r="L105" i="13"/>
  <c r="M105" i="13" s="1"/>
  <c r="L101" i="13"/>
  <c r="M101" i="13" s="1"/>
  <c r="L97" i="13"/>
  <c r="M97" i="13" s="1"/>
  <c r="L89" i="13"/>
  <c r="M89" i="13" s="1"/>
  <c r="L81" i="13"/>
  <c r="M81" i="13" s="1"/>
  <c r="L70" i="13"/>
  <c r="M70" i="13" s="1"/>
  <c r="L66" i="13"/>
  <c r="M66" i="13" s="1"/>
  <c r="L62" i="13"/>
  <c r="M62" i="13" s="1"/>
  <c r="L58" i="13"/>
  <c r="M58" i="13" s="1"/>
  <c r="L54" i="13"/>
  <c r="M54" i="13" s="1"/>
  <c r="L50" i="13"/>
  <c r="M50" i="13" s="1"/>
  <c r="L46" i="13"/>
  <c r="M46" i="13" s="1"/>
  <c r="L42" i="13"/>
  <c r="M42" i="13" s="1"/>
  <c r="L34" i="13"/>
  <c r="M34" i="13" s="1"/>
  <c r="L30" i="13"/>
  <c r="M30" i="13" s="1"/>
  <c r="L26" i="13"/>
  <c r="M26" i="13" s="1"/>
  <c r="L22" i="13"/>
  <c r="M22" i="13" s="1"/>
  <c r="L18" i="13"/>
  <c r="M18" i="13" s="1"/>
  <c r="L10" i="13"/>
  <c r="M10" i="13" s="1"/>
  <c r="L7" i="13"/>
  <c r="H316" i="19"/>
  <c r="I316" i="19"/>
  <c r="L206" i="13"/>
  <c r="M206" i="13" s="1"/>
  <c r="L85" i="13"/>
  <c r="M85" i="13" s="1"/>
  <c r="AA316" i="19"/>
  <c r="L309" i="13"/>
  <c r="M309" i="13" s="1"/>
  <c r="L301" i="13"/>
  <c r="M301" i="13" s="1"/>
  <c r="L294" i="13"/>
  <c r="M294" i="13" s="1"/>
  <c r="L286" i="13"/>
  <c r="M286" i="13" s="1"/>
  <c r="L278" i="13"/>
  <c r="M278" i="13" s="1"/>
  <c r="L274" i="13"/>
  <c r="M274" i="13" s="1"/>
  <c r="L266" i="13"/>
  <c r="M266" i="13" s="1"/>
  <c r="L258" i="13"/>
  <c r="M258" i="13" s="1"/>
  <c r="L250" i="13"/>
  <c r="M250" i="13" s="1"/>
  <c r="L241" i="13"/>
  <c r="M241" i="13" s="1"/>
  <c r="L235" i="13"/>
  <c r="M235" i="13" s="1"/>
  <c r="L228" i="13"/>
  <c r="M228" i="13" s="1"/>
  <c r="L209" i="13"/>
  <c r="M209" i="13" s="1"/>
  <c r="L197" i="13"/>
  <c r="M197" i="13" s="1"/>
  <c r="L189" i="13"/>
  <c r="M189" i="13" s="1"/>
  <c r="L181" i="13"/>
  <c r="M181" i="13" s="1"/>
  <c r="L177" i="13"/>
  <c r="M177" i="13" s="1"/>
  <c r="L165" i="13"/>
  <c r="M165" i="13" s="1"/>
  <c r="L163" i="13"/>
  <c r="M163" i="13" s="1"/>
  <c r="L155" i="13"/>
  <c r="M155" i="13" s="1"/>
  <c r="L124" i="13"/>
  <c r="M124" i="13" s="1"/>
  <c r="L116" i="13"/>
  <c r="M116" i="13" s="1"/>
  <c r="L108" i="13"/>
  <c r="M108" i="13" s="1"/>
  <c r="L100" i="13"/>
  <c r="M100" i="13" s="1"/>
  <c r="L92" i="13"/>
  <c r="M92" i="13" s="1"/>
  <c r="L76" i="13"/>
  <c r="M76" i="13" s="1"/>
  <c r="L69" i="13"/>
  <c r="M69" i="13" s="1"/>
  <c r="L65" i="13"/>
  <c r="M65" i="13" s="1"/>
  <c r="L57" i="13"/>
  <c r="M57" i="13" s="1"/>
  <c r="L49" i="13"/>
  <c r="M49" i="13" s="1"/>
  <c r="L41" i="13"/>
  <c r="M41" i="13" s="1"/>
  <c r="L37" i="13"/>
  <c r="M37" i="13" s="1"/>
  <c r="L29" i="13"/>
  <c r="M29" i="13" s="1"/>
  <c r="L21" i="13"/>
  <c r="M21" i="13" s="1"/>
  <c r="L9" i="13"/>
  <c r="M9" i="13" s="1"/>
  <c r="D316" i="19"/>
  <c r="H150" i="49"/>
  <c r="H19" i="49"/>
  <c r="I19" i="49" s="1"/>
  <c r="L316" i="19"/>
  <c r="L201" i="13"/>
  <c r="M201" i="13" s="1"/>
  <c r="L213" i="13"/>
  <c r="M213" i="13" s="1"/>
  <c r="L93" i="13"/>
  <c r="M93" i="13" s="1"/>
  <c r="L141" i="13"/>
  <c r="M141" i="13" s="1"/>
  <c r="L77" i="13"/>
  <c r="M77" i="13" s="1"/>
  <c r="L74" i="13"/>
  <c r="M74" i="13" s="1"/>
  <c r="L14" i="13"/>
  <c r="M14" i="13" s="1"/>
  <c r="L306" i="13"/>
  <c r="M306" i="13" s="1"/>
  <c r="L295" i="13"/>
  <c r="M295" i="13" s="1"/>
  <c r="L279" i="13"/>
  <c r="M279" i="13" s="1"/>
  <c r="L251" i="13"/>
  <c r="M251" i="13" s="1"/>
  <c r="L236" i="13"/>
  <c r="M236" i="13" s="1"/>
  <c r="L214" i="13"/>
  <c r="M214" i="13" s="1"/>
  <c r="L210" i="13"/>
  <c r="M210" i="13" s="1"/>
  <c r="L190" i="13"/>
  <c r="M190" i="13" s="1"/>
  <c r="L117" i="13"/>
  <c r="M117" i="13" s="1"/>
  <c r="W316" i="19"/>
  <c r="X316" i="19"/>
  <c r="L313" i="13"/>
  <c r="M313" i="13" s="1"/>
  <c r="L305" i="13"/>
  <c r="M305" i="13" s="1"/>
  <c r="L297" i="13"/>
  <c r="M297" i="13" s="1"/>
  <c r="L290" i="13"/>
  <c r="M290" i="13" s="1"/>
  <c r="L282" i="13"/>
  <c r="M282" i="13" s="1"/>
  <c r="L262" i="13"/>
  <c r="M262" i="13" s="1"/>
  <c r="L254" i="13"/>
  <c r="M254" i="13" s="1"/>
  <c r="L246" i="13"/>
  <c r="M246" i="13" s="1"/>
  <c r="L232" i="13"/>
  <c r="M232" i="13" s="1"/>
  <c r="L224" i="13"/>
  <c r="M224" i="13" s="1"/>
  <c r="L217" i="13"/>
  <c r="M217" i="13" s="1"/>
  <c r="L205" i="13"/>
  <c r="M205" i="13" s="1"/>
  <c r="L193" i="13"/>
  <c r="M193" i="13" s="1"/>
  <c r="L185" i="13"/>
  <c r="M185" i="13" s="1"/>
  <c r="L151" i="13"/>
  <c r="M151" i="13" s="1"/>
  <c r="L144" i="13"/>
  <c r="M144" i="13" s="1"/>
  <c r="L136" i="13"/>
  <c r="M136" i="13" s="1"/>
  <c r="L112" i="13"/>
  <c r="M112" i="13" s="1"/>
  <c r="L104" i="13"/>
  <c r="M104" i="13" s="1"/>
  <c r="L88" i="13"/>
  <c r="M88" i="13" s="1"/>
  <c r="L84" i="13"/>
  <c r="M84" i="13" s="1"/>
  <c r="L73" i="13"/>
  <c r="M73" i="13" s="1"/>
  <c r="L61" i="13"/>
  <c r="M61" i="13" s="1"/>
  <c r="L53" i="13"/>
  <c r="M53" i="13" s="1"/>
  <c r="L45" i="13"/>
  <c r="M45" i="13" s="1"/>
  <c r="L33" i="13"/>
  <c r="M33" i="13" s="1"/>
  <c r="L25" i="13"/>
  <c r="M25" i="13" s="1"/>
  <c r="L259" i="13"/>
  <c r="M259" i="13" s="1"/>
  <c r="L167" i="13"/>
  <c r="M167" i="13" s="1"/>
  <c r="L80" i="13"/>
  <c r="M80" i="13" s="1"/>
  <c r="L17" i="13"/>
  <c r="M17" i="13" s="1"/>
  <c r="L140" i="13"/>
  <c r="M140" i="13" s="1"/>
  <c r="L159" i="13"/>
  <c r="M159" i="13" s="1"/>
  <c r="L174" i="13"/>
  <c r="M174" i="13" s="1"/>
  <c r="L147" i="13"/>
  <c r="M147" i="13" s="1"/>
  <c r="G7" i="19"/>
  <c r="R7" i="19" s="1"/>
  <c r="H107" i="49"/>
  <c r="I107" i="49" s="1"/>
  <c r="H55" i="49"/>
  <c r="I55" i="49" s="1"/>
  <c r="H8" i="49"/>
  <c r="H106" i="49"/>
  <c r="H130" i="49"/>
  <c r="H172" i="49"/>
  <c r="H39" i="49"/>
  <c r="I39" i="49" s="1"/>
  <c r="H288" i="49"/>
  <c r="I288" i="49" s="1"/>
  <c r="H207" i="49"/>
  <c r="H191" i="49"/>
  <c r="H143" i="49"/>
  <c r="I143" i="49" s="1"/>
  <c r="H59" i="49"/>
  <c r="H47" i="49"/>
  <c r="H296" i="49"/>
  <c r="I296" i="49" s="1"/>
  <c r="H231" i="49"/>
  <c r="H230" i="49"/>
  <c r="H226" i="49"/>
  <c r="H206" i="49"/>
  <c r="H163" i="49"/>
  <c r="H126" i="49"/>
  <c r="H114" i="49"/>
  <c r="H90" i="49"/>
  <c r="H87" i="49"/>
  <c r="I87" i="49" s="1"/>
  <c r="H80" i="49"/>
  <c r="H72" i="49"/>
  <c r="H68" i="49"/>
  <c r="H63" i="49"/>
  <c r="I63" i="49" s="1"/>
  <c r="H36" i="49"/>
  <c r="H28" i="49"/>
  <c r="I28" i="49" s="1"/>
  <c r="H13" i="49"/>
  <c r="H11" i="49"/>
  <c r="I11" i="49" s="1"/>
  <c r="H67" i="49"/>
  <c r="I67" i="49" s="1"/>
  <c r="H266" i="49"/>
  <c r="H240" i="49"/>
  <c r="H176" i="49"/>
  <c r="H175" i="49"/>
  <c r="H125" i="49"/>
  <c r="H95" i="49"/>
  <c r="I95" i="49" s="1"/>
  <c r="H85" i="49"/>
  <c r="H84" i="49"/>
  <c r="H83" i="49"/>
  <c r="I83" i="49" s="1"/>
  <c r="H79" i="49"/>
  <c r="I79" i="49" s="1"/>
  <c r="H75" i="49"/>
  <c r="I75" i="49" s="1"/>
  <c r="H71" i="49"/>
  <c r="I71" i="49" s="1"/>
  <c r="H56" i="49"/>
  <c r="H52" i="49"/>
  <c r="H51" i="49"/>
  <c r="H31" i="49"/>
  <c r="I31" i="49" s="1"/>
  <c r="H14" i="49"/>
  <c r="H303" i="49"/>
  <c r="H299" i="49"/>
  <c r="H289" i="49"/>
  <c r="I289" i="49" s="1"/>
  <c r="H273" i="49"/>
  <c r="H265" i="49"/>
  <c r="H248" i="49"/>
  <c r="H239" i="49"/>
  <c r="I239" i="49" s="1"/>
  <c r="H220" i="49"/>
  <c r="I220" i="49" s="1"/>
  <c r="H196" i="49"/>
  <c r="I196" i="49" s="1"/>
  <c r="H157" i="49"/>
  <c r="H139" i="49"/>
  <c r="I139" i="49" s="1"/>
  <c r="H135" i="49"/>
  <c r="H60" i="49"/>
  <c r="H48" i="49"/>
  <c r="H32" i="49"/>
  <c r="H15" i="49"/>
  <c r="I15" i="49" s="1"/>
  <c r="H280" i="49"/>
  <c r="H276" i="49"/>
  <c r="I276" i="49" s="1"/>
  <c r="H259" i="49"/>
  <c r="H235" i="49"/>
  <c r="H223" i="49"/>
  <c r="H183" i="49"/>
  <c r="I183" i="49" s="1"/>
  <c r="H127" i="49"/>
  <c r="I127" i="49" s="1"/>
  <c r="H123" i="49"/>
  <c r="I123" i="49" s="1"/>
  <c r="H119" i="49"/>
  <c r="I119" i="49" s="1"/>
  <c r="H115" i="49"/>
  <c r="I115" i="49" s="1"/>
  <c r="H103" i="49"/>
  <c r="I103" i="49" s="1"/>
  <c r="H91" i="49"/>
  <c r="I91" i="49" s="1"/>
  <c r="H77" i="49"/>
  <c r="H35" i="49"/>
  <c r="I35" i="49" s="1"/>
  <c r="H16" i="49"/>
  <c r="B315" i="25"/>
  <c r="L6" i="13"/>
  <c r="M6" i="13" s="1"/>
  <c r="D8" i="36"/>
  <c r="J8" i="36"/>
  <c r="I8" i="36"/>
  <c r="F8" i="36"/>
  <c r="H8" i="36"/>
  <c r="E8" i="36"/>
  <c r="G8" i="36"/>
  <c r="M7" i="13" l="1"/>
  <c r="I60" i="49"/>
  <c r="I90" i="49"/>
  <c r="I266" i="49"/>
  <c r="I226" i="49"/>
  <c r="I303" i="49"/>
  <c r="I16" i="49"/>
  <c r="I32" i="49"/>
  <c r="I84" i="49"/>
  <c r="I206" i="49"/>
  <c r="I125" i="49"/>
  <c r="I130" i="49"/>
  <c r="I85" i="49"/>
  <c r="I36" i="49"/>
  <c r="I157" i="49"/>
  <c r="I8" i="49"/>
  <c r="I47" i="49"/>
  <c r="I80" i="49"/>
  <c r="I164" i="49"/>
  <c r="I48" i="49"/>
  <c r="I51" i="49"/>
  <c r="I163" i="49"/>
  <c r="I150" i="49"/>
  <c r="I280" i="49"/>
  <c r="I265" i="49"/>
  <c r="I52" i="49"/>
  <c r="I68" i="49"/>
  <c r="I191" i="49"/>
  <c r="I172" i="49"/>
  <c r="I165" i="49"/>
  <c r="I248" i="49"/>
  <c r="I299" i="49"/>
  <c r="I176" i="49"/>
  <c r="I231" i="49"/>
  <c r="I106" i="49"/>
  <c r="I240" i="49"/>
  <c r="I235" i="49"/>
  <c r="I135" i="49"/>
  <c r="I273" i="49"/>
  <c r="I14" i="49"/>
  <c r="I56" i="49"/>
  <c r="I72" i="49"/>
  <c r="I114" i="49"/>
  <c r="I207" i="49"/>
  <c r="I77" i="49"/>
  <c r="I223" i="49"/>
  <c r="I13" i="49"/>
  <c r="I259" i="49"/>
  <c r="I175" i="49"/>
  <c r="I126" i="49"/>
  <c r="I230" i="49"/>
  <c r="I59" i="49"/>
  <c r="T316" i="42"/>
  <c r="H21" i="49"/>
  <c r="I21" i="49" s="1"/>
  <c r="E15" i="48"/>
  <c r="H12" i="49"/>
  <c r="I12" i="49" s="1"/>
  <c r="H54" i="49"/>
  <c r="I54" i="49" s="1"/>
  <c r="H111" i="49"/>
  <c r="I111" i="49" s="1"/>
  <c r="H227" i="49"/>
  <c r="I227" i="49" s="1"/>
  <c r="H284" i="49"/>
  <c r="I284" i="49" s="1"/>
  <c r="H98" i="49"/>
  <c r="I98" i="49" s="1"/>
  <c r="H128" i="49"/>
  <c r="I128" i="49" s="1"/>
  <c r="H148" i="49"/>
  <c r="I148" i="49" s="1"/>
  <c r="H192" i="49"/>
  <c r="I192" i="49" s="1"/>
  <c r="H208" i="49"/>
  <c r="I208" i="49" s="1"/>
  <c r="H252" i="49"/>
  <c r="I252" i="49" s="1"/>
  <c r="H281" i="49"/>
  <c r="I281" i="49" s="1"/>
  <c r="H297" i="49"/>
  <c r="I297" i="49" s="1"/>
  <c r="H30" i="49"/>
  <c r="I30" i="49" s="1"/>
  <c r="H62" i="49"/>
  <c r="I62" i="49" s="1"/>
  <c r="H86" i="49"/>
  <c r="I86" i="49" s="1"/>
  <c r="H109" i="49"/>
  <c r="I109" i="49" s="1"/>
  <c r="H136" i="49"/>
  <c r="I136" i="49" s="1"/>
  <c r="H154" i="49"/>
  <c r="I154" i="49" s="1"/>
  <c r="H171" i="49"/>
  <c r="I171" i="49" s="1"/>
  <c r="H185" i="49"/>
  <c r="I185" i="49" s="1"/>
  <c r="H205" i="49"/>
  <c r="I205" i="49" s="1"/>
  <c r="H225" i="49"/>
  <c r="I225" i="49" s="1"/>
  <c r="H257" i="49"/>
  <c r="I257" i="49" s="1"/>
  <c r="H274" i="49"/>
  <c r="I274" i="49" s="1"/>
  <c r="H294" i="49"/>
  <c r="I294" i="49" s="1"/>
  <c r="H308" i="49"/>
  <c r="I308" i="49" s="1"/>
  <c r="H102" i="49"/>
  <c r="I102" i="49" s="1"/>
  <c r="H122" i="49"/>
  <c r="I122" i="49" s="1"/>
  <c r="H137" i="49"/>
  <c r="I137" i="49" s="1"/>
  <c r="H186" i="49"/>
  <c r="I186" i="49" s="1"/>
  <c r="H202" i="49"/>
  <c r="I202" i="49" s="1"/>
  <c r="H218" i="49"/>
  <c r="I218" i="49" s="1"/>
  <c r="H246" i="49"/>
  <c r="I246" i="49" s="1"/>
  <c r="H271" i="49"/>
  <c r="I271" i="49" s="1"/>
  <c r="H287" i="49"/>
  <c r="I287" i="49" s="1"/>
  <c r="H305" i="49"/>
  <c r="I305" i="49" s="1"/>
  <c r="H104" i="49"/>
  <c r="I104" i="49" s="1"/>
  <c r="H151" i="49"/>
  <c r="I151" i="49" s="1"/>
  <c r="H33" i="49"/>
  <c r="I33" i="49" s="1"/>
  <c r="H129" i="49"/>
  <c r="I129" i="49" s="1"/>
  <c r="H7" i="49"/>
  <c r="I7" i="49" s="1"/>
  <c r="H177" i="49"/>
  <c r="I177" i="49" s="1"/>
  <c r="H295" i="49"/>
  <c r="I295" i="49" s="1"/>
  <c r="H199" i="49"/>
  <c r="I199" i="49" s="1"/>
  <c r="H41" i="49"/>
  <c r="I41" i="49" s="1"/>
  <c r="H243" i="49"/>
  <c r="I243" i="49" s="1"/>
  <c r="H88" i="49"/>
  <c r="I88" i="49" s="1"/>
  <c r="H251" i="49"/>
  <c r="I251" i="49" s="1"/>
  <c r="H43" i="49"/>
  <c r="I43" i="49" s="1"/>
  <c r="H50" i="49"/>
  <c r="I50" i="49" s="1"/>
  <c r="H82" i="49"/>
  <c r="I82" i="49" s="1"/>
  <c r="H233" i="49"/>
  <c r="I233" i="49" s="1"/>
  <c r="H26" i="49"/>
  <c r="I26" i="49" s="1"/>
  <c r="H73" i="49"/>
  <c r="I73" i="49" s="1"/>
  <c r="H92" i="49"/>
  <c r="I92" i="49" s="1"/>
  <c r="H134" i="49"/>
  <c r="I134" i="49" s="1"/>
  <c r="H215" i="49"/>
  <c r="I215" i="49" s="1"/>
  <c r="H232" i="49"/>
  <c r="I232" i="49" s="1"/>
  <c r="H264" i="49"/>
  <c r="I264" i="49" s="1"/>
  <c r="H314" i="49"/>
  <c r="I314" i="49" s="1"/>
  <c r="H105" i="49"/>
  <c r="I105" i="49" s="1"/>
  <c r="H152" i="49"/>
  <c r="I152" i="49" s="1"/>
  <c r="H180" i="49"/>
  <c r="I180" i="49" s="1"/>
  <c r="H212" i="49"/>
  <c r="I212" i="49" s="1"/>
  <c r="H224" i="49"/>
  <c r="I224" i="49" s="1"/>
  <c r="H256" i="49"/>
  <c r="I256" i="49" s="1"/>
  <c r="H269" i="49"/>
  <c r="I269" i="49" s="1"/>
  <c r="H285" i="49"/>
  <c r="I285" i="49" s="1"/>
  <c r="H66" i="49"/>
  <c r="I66" i="49" s="1"/>
  <c r="H89" i="49"/>
  <c r="I89" i="49" s="1"/>
  <c r="H113" i="49"/>
  <c r="I113" i="49" s="1"/>
  <c r="H140" i="49"/>
  <c r="I140" i="49" s="1"/>
  <c r="H158" i="49"/>
  <c r="I158" i="49" s="1"/>
  <c r="H174" i="49"/>
  <c r="I174" i="49" s="1"/>
  <c r="H193" i="49"/>
  <c r="I193" i="49" s="1"/>
  <c r="H209" i="49"/>
  <c r="I209" i="49" s="1"/>
  <c r="H229" i="49"/>
  <c r="I229" i="49" s="1"/>
  <c r="H245" i="49"/>
  <c r="I245" i="49" s="1"/>
  <c r="H262" i="49"/>
  <c r="I262" i="49" s="1"/>
  <c r="H282" i="49"/>
  <c r="I282" i="49" s="1"/>
  <c r="H298" i="49"/>
  <c r="I298" i="49" s="1"/>
  <c r="H17" i="49"/>
  <c r="I17" i="49" s="1"/>
  <c r="H53" i="49"/>
  <c r="I53" i="49" s="1"/>
  <c r="H110" i="49"/>
  <c r="I110" i="49" s="1"/>
  <c r="H142" i="49"/>
  <c r="I142" i="49" s="1"/>
  <c r="H190" i="49"/>
  <c r="I190" i="49" s="1"/>
  <c r="H222" i="49"/>
  <c r="I222" i="49" s="1"/>
  <c r="H250" i="49"/>
  <c r="I250" i="49" s="1"/>
  <c r="H275" i="49"/>
  <c r="I275" i="49" s="1"/>
  <c r="H291" i="49"/>
  <c r="I291" i="49" s="1"/>
  <c r="H309" i="49"/>
  <c r="I309" i="49" s="1"/>
  <c r="H64" i="49"/>
  <c r="I64" i="49" s="1"/>
  <c r="H138" i="49"/>
  <c r="I138" i="49" s="1"/>
  <c r="H160" i="49"/>
  <c r="I160" i="49" s="1"/>
  <c r="H203" i="49"/>
  <c r="I203" i="49" s="1"/>
  <c r="H34" i="49"/>
  <c r="I34" i="49" s="1"/>
  <c r="H153" i="49"/>
  <c r="I153" i="49" s="1"/>
  <c r="H117" i="49"/>
  <c r="I117" i="49" s="1"/>
  <c r="H181" i="49"/>
  <c r="I181" i="49" s="1"/>
  <c r="H18" i="49"/>
  <c r="I18" i="49" s="1"/>
  <c r="H173" i="49"/>
  <c r="I173" i="49" s="1"/>
  <c r="H236" i="49"/>
  <c r="I236" i="49" s="1"/>
  <c r="H211" i="49"/>
  <c r="I211" i="49" s="1"/>
  <c r="H112" i="49"/>
  <c r="I112" i="49" s="1"/>
  <c r="H247" i="49"/>
  <c r="I247" i="49" s="1"/>
  <c r="H306" i="49"/>
  <c r="I306" i="49" s="1"/>
  <c r="H44" i="49"/>
  <c r="I44" i="49" s="1"/>
  <c r="H93" i="49"/>
  <c r="I93" i="49" s="1"/>
  <c r="H99" i="49"/>
  <c r="I99" i="49" s="1"/>
  <c r="H267" i="49"/>
  <c r="I267" i="49" s="1"/>
  <c r="H23" i="49"/>
  <c r="I23" i="49" s="1"/>
  <c r="H27" i="49"/>
  <c r="I27" i="49" s="1"/>
  <c r="H155" i="49"/>
  <c r="I155" i="49" s="1"/>
  <c r="H166" i="49"/>
  <c r="I166" i="49" s="1"/>
  <c r="H238" i="49"/>
  <c r="I238" i="49" s="1"/>
  <c r="H97" i="49"/>
  <c r="I97" i="49" s="1"/>
  <c r="H156" i="49"/>
  <c r="I156" i="49" s="1"/>
  <c r="H65" i="49"/>
  <c r="I65" i="49" s="1"/>
  <c r="H116" i="49"/>
  <c r="I116" i="49" s="1"/>
  <c r="H184" i="49"/>
  <c r="I184" i="49" s="1"/>
  <c r="H200" i="49"/>
  <c r="I200" i="49" s="1"/>
  <c r="H216" i="49"/>
  <c r="I216" i="49" s="1"/>
  <c r="H260" i="49"/>
  <c r="I260" i="49" s="1"/>
  <c r="H37" i="49"/>
  <c r="I37" i="49" s="1"/>
  <c r="H94" i="49"/>
  <c r="I94" i="49" s="1"/>
  <c r="H121" i="49"/>
  <c r="I121" i="49" s="1"/>
  <c r="H145" i="49"/>
  <c r="I145" i="49" s="1"/>
  <c r="H162" i="49"/>
  <c r="I162" i="49" s="1"/>
  <c r="H197" i="49"/>
  <c r="I197" i="49" s="1"/>
  <c r="H213" i="49"/>
  <c r="I213" i="49" s="1"/>
  <c r="H234" i="49"/>
  <c r="I234" i="49" s="1"/>
  <c r="H249" i="49"/>
  <c r="I249" i="49" s="1"/>
  <c r="H286" i="49"/>
  <c r="I286" i="49" s="1"/>
  <c r="H300" i="49"/>
  <c r="I300" i="49" s="1"/>
  <c r="H9" i="49"/>
  <c r="I9" i="49" s="1"/>
  <c r="H22" i="49"/>
  <c r="I22" i="49" s="1"/>
  <c r="H57" i="49"/>
  <c r="I57" i="49" s="1"/>
  <c r="H132" i="49"/>
  <c r="I132" i="49" s="1"/>
  <c r="H146" i="49"/>
  <c r="I146" i="49" s="1"/>
  <c r="H178" i="49"/>
  <c r="I178" i="49" s="1"/>
  <c r="H194" i="49"/>
  <c r="I194" i="49" s="1"/>
  <c r="H210" i="49"/>
  <c r="I210" i="49" s="1"/>
  <c r="H254" i="49"/>
  <c r="I254" i="49" s="1"/>
  <c r="H279" i="49"/>
  <c r="I279" i="49" s="1"/>
  <c r="H311" i="49"/>
  <c r="I311" i="49" s="1"/>
  <c r="H69" i="49"/>
  <c r="I69" i="49" s="1"/>
  <c r="H179" i="49"/>
  <c r="I179" i="49" s="1"/>
  <c r="H302" i="49"/>
  <c r="I302" i="49" s="1"/>
  <c r="H228" i="49"/>
  <c r="I228" i="49" s="1"/>
  <c r="H131" i="49"/>
  <c r="I131" i="49" s="1"/>
  <c r="H221" i="49"/>
  <c r="I221" i="49" s="1"/>
  <c r="H96" i="49"/>
  <c r="I96" i="49" s="1"/>
  <c r="H307" i="49"/>
  <c r="I307" i="49" s="1"/>
  <c r="H292" i="49"/>
  <c r="I292" i="49" s="1"/>
  <c r="H124" i="49"/>
  <c r="I124" i="49" s="1"/>
  <c r="H272" i="49"/>
  <c r="I272" i="49" s="1"/>
  <c r="H29" i="49"/>
  <c r="I29" i="49" s="1"/>
  <c r="H45" i="49"/>
  <c r="I45" i="49" s="1"/>
  <c r="H74" i="49"/>
  <c r="I74" i="49" s="1"/>
  <c r="H189" i="49"/>
  <c r="I189" i="49" s="1"/>
  <c r="H24" i="49"/>
  <c r="I24" i="49" s="1"/>
  <c r="H46" i="49"/>
  <c r="I46" i="49" s="1"/>
  <c r="H81" i="49"/>
  <c r="I81" i="49" s="1"/>
  <c r="H167" i="49"/>
  <c r="I167" i="49" s="1"/>
  <c r="H242" i="49"/>
  <c r="I242" i="49" s="1"/>
  <c r="H70" i="49"/>
  <c r="I70" i="49" s="1"/>
  <c r="H120" i="49"/>
  <c r="I120" i="49" s="1"/>
  <c r="H144" i="49"/>
  <c r="I144" i="49" s="1"/>
  <c r="H161" i="49"/>
  <c r="I161" i="49" s="1"/>
  <c r="H188" i="49"/>
  <c r="I188" i="49" s="1"/>
  <c r="H204" i="49"/>
  <c r="I204" i="49" s="1"/>
  <c r="H261" i="49"/>
  <c r="I261" i="49" s="1"/>
  <c r="H277" i="49"/>
  <c r="I277" i="49" s="1"/>
  <c r="H293" i="49"/>
  <c r="I293" i="49" s="1"/>
  <c r="H38" i="49"/>
  <c r="I38" i="49" s="1"/>
  <c r="H61" i="49"/>
  <c r="I61" i="49" s="1"/>
  <c r="H149" i="49"/>
  <c r="I149" i="49" s="1"/>
  <c r="H201" i="49"/>
  <c r="I201" i="49" s="1"/>
  <c r="H217" i="49"/>
  <c r="I217" i="49" s="1"/>
  <c r="H237" i="49"/>
  <c r="I237" i="49" s="1"/>
  <c r="H253" i="49"/>
  <c r="I253" i="49" s="1"/>
  <c r="H270" i="49"/>
  <c r="I270" i="49" s="1"/>
  <c r="H290" i="49"/>
  <c r="I290" i="49" s="1"/>
  <c r="H304" i="49"/>
  <c r="I304" i="49" s="1"/>
  <c r="H58" i="49"/>
  <c r="I58" i="49" s="1"/>
  <c r="H76" i="49"/>
  <c r="I76" i="49" s="1"/>
  <c r="H100" i="49"/>
  <c r="I100" i="49" s="1"/>
  <c r="H118" i="49"/>
  <c r="I118" i="49" s="1"/>
  <c r="H133" i="49"/>
  <c r="I133" i="49" s="1"/>
  <c r="H159" i="49"/>
  <c r="I159" i="49" s="1"/>
  <c r="H182" i="49"/>
  <c r="I182" i="49" s="1"/>
  <c r="H198" i="49"/>
  <c r="I198" i="49" s="1"/>
  <c r="H214" i="49"/>
  <c r="I214" i="49" s="1"/>
  <c r="H241" i="49"/>
  <c r="I241" i="49" s="1"/>
  <c r="H258" i="49"/>
  <c r="I258" i="49" s="1"/>
  <c r="H283" i="49"/>
  <c r="I283" i="49" s="1"/>
  <c r="H301" i="49"/>
  <c r="I301" i="49" s="1"/>
  <c r="H101" i="49"/>
  <c r="I101" i="49" s="1"/>
  <c r="H147" i="49"/>
  <c r="I147" i="49" s="1"/>
  <c r="H187" i="49"/>
  <c r="I187" i="49" s="1"/>
  <c r="H268" i="49"/>
  <c r="I268" i="49" s="1"/>
  <c r="H310" i="49"/>
  <c r="I310" i="49" s="1"/>
  <c r="H40" i="49"/>
  <c r="I40" i="49" s="1"/>
  <c r="H313" i="49"/>
  <c r="I313" i="49" s="1"/>
  <c r="H278" i="49"/>
  <c r="I278" i="49" s="1"/>
  <c r="H168" i="49"/>
  <c r="I168" i="49" s="1"/>
  <c r="H263" i="49"/>
  <c r="I263" i="49" s="1"/>
  <c r="H141" i="49"/>
  <c r="I141" i="49" s="1"/>
  <c r="H312" i="49"/>
  <c r="I312" i="49" s="1"/>
  <c r="H42" i="49"/>
  <c r="I42" i="49" s="1"/>
  <c r="H169" i="49"/>
  <c r="I169" i="49" s="1"/>
  <c r="H10" i="49"/>
  <c r="I10" i="49" s="1"/>
  <c r="H49" i="49"/>
  <c r="I49" i="49" s="1"/>
  <c r="H78" i="49"/>
  <c r="I78" i="49" s="1"/>
  <c r="H108" i="49"/>
  <c r="I108" i="49" s="1"/>
  <c r="T7" i="19"/>
  <c r="H6" i="49" s="1"/>
  <c r="I6" i="49" s="1"/>
  <c r="H20" i="49"/>
  <c r="I20" i="49" s="1"/>
  <c r="H25" i="49"/>
  <c r="I25" i="49" s="1"/>
  <c r="H255" i="49"/>
  <c r="I255" i="49" s="1"/>
  <c r="C5" i="32"/>
  <c r="C314" i="32" s="1"/>
  <c r="Y316" i="19"/>
  <c r="F16" i="49"/>
  <c r="F60" i="49"/>
  <c r="F11" i="49"/>
  <c r="F191" i="49"/>
  <c r="F288" i="49"/>
  <c r="F235" i="49"/>
  <c r="F15" i="49"/>
  <c r="F196" i="49"/>
  <c r="F31" i="49"/>
  <c r="F13" i="49"/>
  <c r="F130" i="49"/>
  <c r="F91" i="49"/>
  <c r="F127" i="49"/>
  <c r="F183" i="49"/>
  <c r="F259" i="49"/>
  <c r="F48" i="49"/>
  <c r="F248" i="49"/>
  <c r="F14" i="49"/>
  <c r="F75" i="49"/>
  <c r="F85" i="49"/>
  <c r="F95" i="49"/>
  <c r="F125" i="49"/>
  <c r="F176" i="49"/>
  <c r="F72" i="49"/>
  <c r="F90" i="49"/>
  <c r="F114" i="49"/>
  <c r="F226" i="49"/>
  <c r="F296" i="49"/>
  <c r="F106" i="49"/>
  <c r="F19" i="49"/>
  <c r="F195" i="49"/>
  <c r="F51" i="49"/>
  <c r="F79" i="49"/>
  <c r="F240" i="49"/>
  <c r="F28" i="49"/>
  <c r="F230" i="49"/>
  <c r="F59" i="49"/>
  <c r="F164" i="49"/>
  <c r="F35" i="49"/>
  <c r="F77" i="49"/>
  <c r="F119" i="49"/>
  <c r="F276" i="49"/>
  <c r="F299" i="49"/>
  <c r="F52" i="49"/>
  <c r="F83" i="49"/>
  <c r="F80" i="49"/>
  <c r="F163" i="49"/>
  <c r="F231" i="49"/>
  <c r="F172" i="49"/>
  <c r="F165" i="49"/>
  <c r="F123" i="49"/>
  <c r="F223" i="49"/>
  <c r="F280" i="49"/>
  <c r="F32" i="49"/>
  <c r="F139" i="49"/>
  <c r="F157" i="49"/>
  <c r="F239" i="49"/>
  <c r="F289" i="49"/>
  <c r="F56" i="49"/>
  <c r="F84" i="49"/>
  <c r="F175" i="49"/>
  <c r="F266" i="49"/>
  <c r="F67" i="49"/>
  <c r="F68" i="49"/>
  <c r="F126" i="49"/>
  <c r="F206" i="49"/>
  <c r="F47" i="49"/>
  <c r="F143" i="49"/>
  <c r="F207" i="49"/>
  <c r="F39" i="49"/>
  <c r="F107" i="49"/>
  <c r="F150" i="49"/>
  <c r="O316" i="19"/>
  <c r="K8" i="36"/>
  <c r="I317" i="36"/>
  <c r="E317" i="36"/>
  <c r="J317" i="36"/>
  <c r="H317" i="36"/>
  <c r="F317" i="36"/>
  <c r="D317" i="36"/>
  <c r="G316" i="19"/>
  <c r="G317" i="36"/>
  <c r="H314" i="32" l="1"/>
  <c r="C5" i="9" s="1"/>
  <c r="K317" i="36"/>
  <c r="E5" i="32"/>
  <c r="E314" i="32" s="1"/>
  <c r="I315" i="49"/>
  <c r="J6" i="49" s="1"/>
  <c r="L6" i="49" s="1"/>
  <c r="E14" i="48"/>
  <c r="F15" i="48" s="1"/>
  <c r="H5" i="32"/>
  <c r="D11" i="9" s="1"/>
  <c r="D320" i="9" s="1"/>
  <c r="U7" i="19"/>
  <c r="G6" i="49" s="1"/>
  <c r="F6" i="49"/>
  <c r="F16" i="34"/>
  <c r="F28" i="48"/>
  <c r="F115" i="49"/>
  <c r="J233" i="13"/>
  <c r="F233" i="49"/>
  <c r="F251" i="49"/>
  <c r="F199" i="49"/>
  <c r="F129" i="49"/>
  <c r="F305" i="49"/>
  <c r="J218" i="13"/>
  <c r="F218" i="49"/>
  <c r="F122" i="49"/>
  <c r="F274" i="49"/>
  <c r="F154" i="49"/>
  <c r="F62" i="49"/>
  <c r="F297" i="49"/>
  <c r="F208" i="49"/>
  <c r="F128" i="49"/>
  <c r="F284" i="49"/>
  <c r="F12" i="49"/>
  <c r="F135" i="49"/>
  <c r="F63" i="49"/>
  <c r="F78" i="49"/>
  <c r="F168" i="49"/>
  <c r="F268" i="49"/>
  <c r="F301" i="49"/>
  <c r="F258" i="49"/>
  <c r="F182" i="49"/>
  <c r="F100" i="49"/>
  <c r="F58" i="49"/>
  <c r="F253" i="49"/>
  <c r="F261" i="49"/>
  <c r="F144" i="49"/>
  <c r="F70" i="49"/>
  <c r="F46" i="49"/>
  <c r="F74" i="49"/>
  <c r="F124" i="49"/>
  <c r="F96" i="49"/>
  <c r="F302" i="49"/>
  <c r="F279" i="49"/>
  <c r="J194" i="13"/>
  <c r="F194" i="49"/>
  <c r="F57" i="49"/>
  <c r="F286" i="49"/>
  <c r="J197" i="13"/>
  <c r="F197" i="49"/>
  <c r="F200" i="49"/>
  <c r="F97" i="49"/>
  <c r="J27" i="13"/>
  <c r="F27" i="49"/>
  <c r="F93" i="49"/>
  <c r="F112" i="49"/>
  <c r="F18" i="49"/>
  <c r="J34" i="13"/>
  <c r="F34" i="49"/>
  <c r="F138" i="49"/>
  <c r="F275" i="49"/>
  <c r="F142" i="49"/>
  <c r="J298" i="13"/>
  <c r="F298" i="49"/>
  <c r="F229" i="49"/>
  <c r="F158" i="49"/>
  <c r="F66" i="49"/>
  <c r="F224" i="49"/>
  <c r="J215" i="13"/>
  <c r="F215" i="49"/>
  <c r="J26" i="13"/>
  <c r="F26" i="49"/>
  <c r="F265" i="49"/>
  <c r="F88" i="49"/>
  <c r="F295" i="49"/>
  <c r="J7" i="13"/>
  <c r="F7" i="49"/>
  <c r="F33" i="49"/>
  <c r="F104" i="49"/>
  <c r="F287" i="49"/>
  <c r="J246" i="13"/>
  <c r="F246" i="49"/>
  <c r="F202" i="49"/>
  <c r="F137" i="49"/>
  <c r="F294" i="49"/>
  <c r="F257" i="49"/>
  <c r="F205" i="49"/>
  <c r="F171" i="49"/>
  <c r="F136" i="49"/>
  <c r="F30" i="49"/>
  <c r="F281" i="49"/>
  <c r="F192" i="49"/>
  <c r="F148" i="49"/>
  <c r="F98" i="49"/>
  <c r="F227" i="49"/>
  <c r="J54" i="13"/>
  <c r="F54" i="49"/>
  <c r="F8" i="49"/>
  <c r="F50" i="49"/>
  <c r="F243" i="49"/>
  <c r="F177" i="49"/>
  <c r="F151" i="49"/>
  <c r="J271" i="13"/>
  <c r="F271" i="49"/>
  <c r="F186" i="49"/>
  <c r="F308" i="49"/>
  <c r="F225" i="49"/>
  <c r="F185" i="49"/>
  <c r="F109" i="49"/>
  <c r="F252" i="49"/>
  <c r="J111" i="13"/>
  <c r="F111" i="49"/>
  <c r="F87" i="49"/>
  <c r="J303" i="13"/>
  <c r="F303" i="49"/>
  <c r="F220" i="49"/>
  <c r="F25" i="49"/>
  <c r="J10" i="13"/>
  <c r="F10" i="49"/>
  <c r="J141" i="13"/>
  <c r="F141" i="49"/>
  <c r="F40" i="49"/>
  <c r="F147" i="49"/>
  <c r="F214" i="49"/>
  <c r="F133" i="49"/>
  <c r="F290" i="49"/>
  <c r="J217" i="13"/>
  <c r="F217" i="49"/>
  <c r="F61" i="49"/>
  <c r="F293" i="49"/>
  <c r="F188" i="49"/>
  <c r="J167" i="13"/>
  <c r="F167" i="49"/>
  <c r="J24" i="13"/>
  <c r="F24" i="49"/>
  <c r="F307" i="49"/>
  <c r="J131" i="13"/>
  <c r="F131" i="49"/>
  <c r="F146" i="49"/>
  <c r="F9" i="49"/>
  <c r="F234" i="49"/>
  <c r="F145" i="49"/>
  <c r="F260" i="49"/>
  <c r="J116" i="13"/>
  <c r="F116" i="49"/>
  <c r="F166" i="49"/>
  <c r="F267" i="49"/>
  <c r="F306" i="49"/>
  <c r="J236" i="13"/>
  <c r="F236" i="49"/>
  <c r="F117" i="49"/>
  <c r="F203" i="49"/>
  <c r="F309" i="49"/>
  <c r="F190" i="49"/>
  <c r="J262" i="13"/>
  <c r="F262" i="49"/>
  <c r="F193" i="49"/>
  <c r="F113" i="49"/>
  <c r="F269" i="49"/>
  <c r="F180" i="49"/>
  <c r="F264" i="49"/>
  <c r="F92" i="49"/>
  <c r="F71" i="49"/>
  <c r="F273" i="49"/>
  <c r="F103" i="49"/>
  <c r="J255" i="13"/>
  <c r="F255" i="49"/>
  <c r="F20" i="49"/>
  <c r="F49" i="49"/>
  <c r="F169" i="49"/>
  <c r="F312" i="49"/>
  <c r="F263" i="49"/>
  <c r="F278" i="49"/>
  <c r="F313" i="49"/>
  <c r="F310" i="49"/>
  <c r="F187" i="49"/>
  <c r="F283" i="49"/>
  <c r="F241" i="49"/>
  <c r="F198" i="49"/>
  <c r="F159" i="49"/>
  <c r="F118" i="49"/>
  <c r="F304" i="49"/>
  <c r="F270" i="49"/>
  <c r="F237" i="49"/>
  <c r="F201" i="49"/>
  <c r="F149" i="49"/>
  <c r="F38" i="49"/>
  <c r="J277" i="13"/>
  <c r="F277" i="49"/>
  <c r="F204" i="49"/>
  <c r="F161" i="49"/>
  <c r="J120" i="13"/>
  <c r="F120" i="49"/>
  <c r="F242" i="49"/>
  <c r="F81" i="49"/>
  <c r="F189" i="49"/>
  <c r="J272" i="13"/>
  <c r="F272" i="49"/>
  <c r="F292" i="49"/>
  <c r="F221" i="49"/>
  <c r="F228" i="49"/>
  <c r="F179" i="49"/>
  <c r="F311" i="49"/>
  <c r="F254" i="49"/>
  <c r="J210" i="13"/>
  <c r="F210" i="49"/>
  <c r="F178" i="49"/>
  <c r="F132" i="49"/>
  <c r="F22" i="49"/>
  <c r="J300" i="13"/>
  <c r="F300" i="49"/>
  <c r="F249" i="49"/>
  <c r="F213" i="49"/>
  <c r="F162" i="49"/>
  <c r="J121" i="13"/>
  <c r="F121" i="49"/>
  <c r="F37" i="49"/>
  <c r="F216" i="49"/>
  <c r="F184" i="49"/>
  <c r="F65" i="49"/>
  <c r="F156" i="49"/>
  <c r="F238" i="49"/>
  <c r="F155" i="49"/>
  <c r="F99" i="49"/>
  <c r="F247" i="49"/>
  <c r="F211" i="49"/>
  <c r="J173" i="13"/>
  <c r="F173" i="49"/>
  <c r="F181" i="49"/>
  <c r="F153" i="49"/>
  <c r="F160" i="49"/>
  <c r="F64" i="49"/>
  <c r="F291" i="49"/>
  <c r="F250" i="49"/>
  <c r="F222" i="49"/>
  <c r="J110" i="13"/>
  <c r="F110" i="49"/>
  <c r="F17" i="49"/>
  <c r="F282" i="49"/>
  <c r="F245" i="49"/>
  <c r="F209" i="49"/>
  <c r="F174" i="49"/>
  <c r="F140" i="49"/>
  <c r="J285" i="13"/>
  <c r="F285" i="49"/>
  <c r="F256" i="49"/>
  <c r="F212" i="49"/>
  <c r="F152" i="49"/>
  <c r="F314" i="49"/>
  <c r="F232" i="49"/>
  <c r="F134" i="49"/>
  <c r="F73" i="49"/>
  <c r="F108" i="49"/>
  <c r="F105" i="49"/>
  <c r="F102" i="49"/>
  <c r="F101" i="49"/>
  <c r="F94" i="49"/>
  <c r="F89" i="49"/>
  <c r="F86" i="49"/>
  <c r="F82" i="49"/>
  <c r="F76" i="49"/>
  <c r="F69" i="49"/>
  <c r="F55" i="49"/>
  <c r="J53" i="13"/>
  <c r="F53" i="49"/>
  <c r="J45" i="13"/>
  <c r="F45" i="49"/>
  <c r="F44" i="49"/>
  <c r="F43" i="49"/>
  <c r="F42" i="49"/>
  <c r="F41" i="49"/>
  <c r="F36" i="49"/>
  <c r="F29" i="49"/>
  <c r="H315" i="49"/>
  <c r="F23" i="49"/>
  <c r="F21" i="49"/>
  <c r="T316" i="19"/>
  <c r="G206" i="49"/>
  <c r="G32" i="49"/>
  <c r="G172" i="49"/>
  <c r="G35" i="49"/>
  <c r="G59" i="49"/>
  <c r="G72" i="49"/>
  <c r="G85" i="49"/>
  <c r="G127" i="49"/>
  <c r="G207" i="49"/>
  <c r="G126" i="49"/>
  <c r="G56" i="49"/>
  <c r="G280" i="49"/>
  <c r="G231" i="49"/>
  <c r="G276" i="49"/>
  <c r="G230" i="49"/>
  <c r="G195" i="49"/>
  <c r="G176" i="49"/>
  <c r="G48" i="49"/>
  <c r="G235" i="49"/>
  <c r="G11" i="49"/>
  <c r="G143" i="49"/>
  <c r="G175" i="49"/>
  <c r="G157" i="49"/>
  <c r="G223" i="49"/>
  <c r="G165" i="49"/>
  <c r="G163" i="49"/>
  <c r="G52" i="49"/>
  <c r="G119" i="49"/>
  <c r="G164" i="49"/>
  <c r="G28" i="49"/>
  <c r="G51" i="49"/>
  <c r="G19" i="49"/>
  <c r="G114" i="49"/>
  <c r="G125" i="49"/>
  <c r="G14" i="49"/>
  <c r="G259" i="49"/>
  <c r="G31" i="49"/>
  <c r="G39" i="49"/>
  <c r="G67" i="49"/>
  <c r="G296" i="49"/>
  <c r="G15" i="49"/>
  <c r="G191" i="49"/>
  <c r="G150" i="49"/>
  <c r="G266" i="49"/>
  <c r="G239" i="49"/>
  <c r="G83" i="49"/>
  <c r="G79" i="49"/>
  <c r="G226" i="49"/>
  <c r="G75" i="49"/>
  <c r="G91" i="49"/>
  <c r="G13" i="49"/>
  <c r="G16" i="49"/>
  <c r="G107" i="49"/>
  <c r="G47" i="49"/>
  <c r="G68" i="49"/>
  <c r="G84" i="49"/>
  <c r="G289" i="49"/>
  <c r="G139" i="49"/>
  <c r="G123" i="49"/>
  <c r="G80" i="49"/>
  <c r="G299" i="49"/>
  <c r="G77" i="49"/>
  <c r="G240" i="49"/>
  <c r="G106" i="49"/>
  <c r="G90" i="49"/>
  <c r="G95" i="49"/>
  <c r="G248" i="49"/>
  <c r="G183" i="49"/>
  <c r="G130" i="49"/>
  <c r="G196" i="49"/>
  <c r="G288" i="49"/>
  <c r="G60" i="49"/>
  <c r="D315" i="25"/>
  <c r="D314" i="33"/>
  <c r="R316" i="19"/>
  <c r="J170" i="49" l="1"/>
  <c r="K170" i="49" s="1"/>
  <c r="L170" i="49" s="1"/>
  <c r="J244" i="49"/>
  <c r="J219" i="49"/>
  <c r="F325" i="34"/>
  <c r="J128" i="13"/>
  <c r="J46" i="13"/>
  <c r="J199" i="13"/>
  <c r="J112" i="13"/>
  <c r="J124" i="13"/>
  <c r="J158" i="13"/>
  <c r="J275" i="13"/>
  <c r="J9" i="13"/>
  <c r="J65" i="13"/>
  <c r="J228" i="13"/>
  <c r="J208" i="13"/>
  <c r="J50" i="13"/>
  <c r="J145" i="13"/>
  <c r="J8" i="49"/>
  <c r="K8" i="49" s="1"/>
  <c r="J297" i="13"/>
  <c r="C5" i="39"/>
  <c r="G36" i="49"/>
  <c r="J36" i="13"/>
  <c r="G42" i="49"/>
  <c r="J42" i="13"/>
  <c r="G44" i="49"/>
  <c r="G53" i="49"/>
  <c r="G82" i="49"/>
  <c r="G89" i="49"/>
  <c r="J89" i="13"/>
  <c r="G101" i="49"/>
  <c r="G105" i="49"/>
  <c r="G73" i="49"/>
  <c r="J73" i="13"/>
  <c r="G232" i="49"/>
  <c r="G152" i="49"/>
  <c r="G256" i="49"/>
  <c r="G140" i="49"/>
  <c r="J140" i="13"/>
  <c r="G209" i="49"/>
  <c r="J209" i="13"/>
  <c r="G282" i="49"/>
  <c r="G110" i="49"/>
  <c r="G222" i="49"/>
  <c r="G291" i="49"/>
  <c r="J291" i="13"/>
  <c r="G160" i="49"/>
  <c r="J160" i="13"/>
  <c r="G153" i="49"/>
  <c r="J153" i="13"/>
  <c r="G173" i="49"/>
  <c r="G247" i="49"/>
  <c r="J247" i="13"/>
  <c r="G155" i="49"/>
  <c r="J155" i="13"/>
  <c r="G156" i="49"/>
  <c r="G184" i="49"/>
  <c r="J184" i="13"/>
  <c r="G37" i="49"/>
  <c r="G162" i="49"/>
  <c r="G249" i="49"/>
  <c r="G22" i="49"/>
  <c r="G178" i="49"/>
  <c r="G254" i="49"/>
  <c r="G179" i="49"/>
  <c r="G221" i="49"/>
  <c r="J221" i="13"/>
  <c r="G292" i="49"/>
  <c r="G189" i="49"/>
  <c r="G81" i="49"/>
  <c r="G120" i="49"/>
  <c r="G204" i="49"/>
  <c r="G38" i="49"/>
  <c r="G201" i="49"/>
  <c r="G270" i="49"/>
  <c r="G118" i="49"/>
  <c r="G198" i="49"/>
  <c r="J198" i="13"/>
  <c r="G283" i="49"/>
  <c r="G310" i="49"/>
  <c r="G278" i="49"/>
  <c r="J278" i="13"/>
  <c r="G312" i="49"/>
  <c r="J312" i="13"/>
  <c r="G49" i="49"/>
  <c r="J49" i="13"/>
  <c r="G255" i="49"/>
  <c r="G273" i="49"/>
  <c r="J273" i="13"/>
  <c r="G92" i="49"/>
  <c r="J92" i="13"/>
  <c r="G180" i="49"/>
  <c r="J180" i="13"/>
  <c r="G113" i="49"/>
  <c r="J113" i="13"/>
  <c r="G262" i="49"/>
  <c r="G203" i="49"/>
  <c r="J203" i="13"/>
  <c r="G236" i="49"/>
  <c r="G267" i="49"/>
  <c r="J267" i="13"/>
  <c r="G260" i="49"/>
  <c r="J260" i="13"/>
  <c r="G234" i="49"/>
  <c r="G146" i="49"/>
  <c r="J146" i="13"/>
  <c r="G131" i="49"/>
  <c r="G24" i="49"/>
  <c r="G188" i="49"/>
  <c r="J188" i="13"/>
  <c r="G61" i="49"/>
  <c r="J61" i="13"/>
  <c r="G290" i="49"/>
  <c r="J290" i="13"/>
  <c r="G214" i="49"/>
  <c r="J214" i="13"/>
  <c r="G40" i="49"/>
  <c r="G141" i="49"/>
  <c r="G25" i="49"/>
  <c r="J25" i="13"/>
  <c r="G303" i="49"/>
  <c r="G111" i="49"/>
  <c r="G252" i="49"/>
  <c r="J252" i="13"/>
  <c r="G185" i="49"/>
  <c r="J185" i="13"/>
  <c r="G308" i="49"/>
  <c r="J308" i="13"/>
  <c r="G271" i="49"/>
  <c r="G177" i="49"/>
  <c r="J177" i="13"/>
  <c r="G50" i="49"/>
  <c r="G54" i="49"/>
  <c r="G98" i="49"/>
  <c r="J98" i="13"/>
  <c r="G192" i="49"/>
  <c r="J192" i="13"/>
  <c r="G281" i="49"/>
  <c r="J281" i="13"/>
  <c r="G136" i="49"/>
  <c r="J136" i="13"/>
  <c r="G205" i="49"/>
  <c r="J205" i="13"/>
  <c r="G294" i="49"/>
  <c r="J294" i="13"/>
  <c r="G202" i="49"/>
  <c r="J202" i="13"/>
  <c r="G287" i="49"/>
  <c r="J287" i="13"/>
  <c r="G33" i="49"/>
  <c r="J33" i="13"/>
  <c r="G295" i="49"/>
  <c r="J295" i="13"/>
  <c r="G265" i="49"/>
  <c r="J265" i="13"/>
  <c r="G215" i="49"/>
  <c r="G66" i="49"/>
  <c r="J66" i="13"/>
  <c r="G229" i="49"/>
  <c r="J229" i="13"/>
  <c r="G142" i="49"/>
  <c r="J142" i="13"/>
  <c r="G138" i="49"/>
  <c r="J138" i="13"/>
  <c r="G18" i="49"/>
  <c r="J18" i="13"/>
  <c r="G93" i="49"/>
  <c r="J93" i="13"/>
  <c r="G97" i="49"/>
  <c r="J97" i="13"/>
  <c r="G197" i="49"/>
  <c r="G57" i="49"/>
  <c r="J57" i="13"/>
  <c r="G279" i="49"/>
  <c r="J279" i="13"/>
  <c r="G96" i="49"/>
  <c r="G74" i="49"/>
  <c r="J74" i="13"/>
  <c r="G70" i="49"/>
  <c r="G261" i="49"/>
  <c r="J261" i="13"/>
  <c r="G253" i="49"/>
  <c r="J253" i="13"/>
  <c r="G100" i="49"/>
  <c r="J100" i="13"/>
  <c r="G258" i="49"/>
  <c r="J258" i="13"/>
  <c r="G268" i="49"/>
  <c r="J268" i="13"/>
  <c r="G78" i="49"/>
  <c r="J78" i="13"/>
  <c r="G135" i="49"/>
  <c r="J135" i="13"/>
  <c r="G284" i="49"/>
  <c r="J284" i="13"/>
  <c r="G208" i="49"/>
  <c r="G62" i="49"/>
  <c r="G274" i="49"/>
  <c r="G218" i="49"/>
  <c r="G129" i="49"/>
  <c r="J129" i="13"/>
  <c r="G251" i="49"/>
  <c r="J251" i="13"/>
  <c r="G115" i="49"/>
  <c r="J115" i="13"/>
  <c r="J62" i="13"/>
  <c r="J274" i="13"/>
  <c r="J105" i="13"/>
  <c r="J234" i="13"/>
  <c r="J40" i="13"/>
  <c r="J152" i="13"/>
  <c r="J118" i="13"/>
  <c r="G69" i="49"/>
  <c r="J69" i="13"/>
  <c r="J96" i="13"/>
  <c r="J70" i="13"/>
  <c r="J282" i="13"/>
  <c r="J310" i="13"/>
  <c r="G21" i="49"/>
  <c r="J159" i="13"/>
  <c r="C5" i="12"/>
  <c r="F5" i="32"/>
  <c r="I5" i="32" s="1"/>
  <c r="J6" i="13"/>
  <c r="J305" i="13"/>
  <c r="J302" i="13"/>
  <c r="C5" i="33"/>
  <c r="J7" i="49"/>
  <c r="L7" i="49" s="1"/>
  <c r="J9" i="49"/>
  <c r="J13" i="49"/>
  <c r="J17" i="49"/>
  <c r="J21" i="49"/>
  <c r="J25" i="49"/>
  <c r="J29" i="49"/>
  <c r="J33" i="49"/>
  <c r="J37" i="49"/>
  <c r="J41" i="49"/>
  <c r="J45" i="49"/>
  <c r="J49" i="49"/>
  <c r="J53" i="49"/>
  <c r="J57" i="49"/>
  <c r="J61" i="49"/>
  <c r="J65" i="49"/>
  <c r="J69" i="49"/>
  <c r="J12" i="49"/>
  <c r="J18" i="49"/>
  <c r="J23" i="49"/>
  <c r="J28" i="49"/>
  <c r="J34" i="49"/>
  <c r="J39" i="49"/>
  <c r="J44" i="49"/>
  <c r="J50" i="49"/>
  <c r="J55" i="49"/>
  <c r="J60" i="49"/>
  <c r="J66" i="49"/>
  <c r="J71" i="49"/>
  <c r="J75" i="49"/>
  <c r="J79" i="49"/>
  <c r="J83" i="49"/>
  <c r="J87" i="49"/>
  <c r="J91" i="49"/>
  <c r="J95" i="49"/>
  <c r="J99" i="49"/>
  <c r="J103" i="49"/>
  <c r="J107" i="49"/>
  <c r="J111" i="49"/>
  <c r="J115" i="49"/>
  <c r="J119" i="49"/>
  <c r="L119" i="49" s="1"/>
  <c r="J123" i="49"/>
  <c r="J127" i="49"/>
  <c r="L127" i="49" s="1"/>
  <c r="J131" i="49"/>
  <c r="L131" i="49" s="1"/>
  <c r="J135" i="49"/>
  <c r="L135" i="49" s="1"/>
  <c r="J139" i="49"/>
  <c r="J143" i="49"/>
  <c r="J147" i="49"/>
  <c r="J151" i="49"/>
  <c r="L151" i="49" s="1"/>
  <c r="J155" i="49"/>
  <c r="L155" i="49" s="1"/>
  <c r="J159" i="49"/>
  <c r="J163" i="49"/>
  <c r="J171" i="49"/>
  <c r="J178" i="49"/>
  <c r="J182" i="49"/>
  <c r="J186" i="49"/>
  <c r="J190" i="49"/>
  <c r="J194" i="49"/>
  <c r="J198" i="49"/>
  <c r="J202" i="49"/>
  <c r="L202" i="49" s="1"/>
  <c r="J206" i="49"/>
  <c r="J210" i="49"/>
  <c r="J214" i="49"/>
  <c r="J218" i="49"/>
  <c r="J221" i="49"/>
  <c r="J225" i="49"/>
  <c r="L225" i="49" s="1"/>
  <c r="J229" i="49"/>
  <c r="J11" i="49"/>
  <c r="J19" i="49"/>
  <c r="J26" i="49"/>
  <c r="J32" i="49"/>
  <c r="J40" i="49"/>
  <c r="J47" i="49"/>
  <c r="J54" i="49"/>
  <c r="J62" i="49"/>
  <c r="J68" i="49"/>
  <c r="J74" i="49"/>
  <c r="J80" i="49"/>
  <c r="J85" i="49"/>
  <c r="J90" i="49"/>
  <c r="J96" i="49"/>
  <c r="J101" i="49"/>
  <c r="J106" i="49"/>
  <c r="J112" i="49"/>
  <c r="L112" i="49" s="1"/>
  <c r="J117" i="49"/>
  <c r="L117" i="49" s="1"/>
  <c r="J122" i="49"/>
  <c r="L122" i="49" s="1"/>
  <c r="J128" i="49"/>
  <c r="L128" i="49" s="1"/>
  <c r="J133" i="49"/>
  <c r="J138" i="49"/>
  <c r="J144" i="49"/>
  <c r="L144" i="49" s="1"/>
  <c r="J149" i="49"/>
  <c r="L149" i="49" s="1"/>
  <c r="J154" i="49"/>
  <c r="L154" i="49" s="1"/>
  <c r="J160" i="49"/>
  <c r="J164" i="49"/>
  <c r="J167" i="49"/>
  <c r="J172" i="49"/>
  <c r="J176" i="49"/>
  <c r="J181" i="49"/>
  <c r="J187" i="49"/>
  <c r="J192" i="49"/>
  <c r="J197" i="49"/>
  <c r="J203" i="49"/>
  <c r="L203" i="49" s="1"/>
  <c r="J208" i="49"/>
  <c r="J213" i="49"/>
  <c r="J223" i="49"/>
  <c r="J228" i="49"/>
  <c r="J233" i="49"/>
  <c r="J236" i="49"/>
  <c r="J238" i="49"/>
  <c r="J242" i="49"/>
  <c r="J247" i="49"/>
  <c r="J251" i="49"/>
  <c r="J255" i="49"/>
  <c r="J259" i="49"/>
  <c r="J263" i="49"/>
  <c r="J267" i="49"/>
  <c r="J271" i="49"/>
  <c r="J275" i="49"/>
  <c r="L275" i="49" s="1"/>
  <c r="J279" i="49"/>
  <c r="L279" i="49" s="1"/>
  <c r="J283" i="49"/>
  <c r="L283" i="49" s="1"/>
  <c r="J287" i="49"/>
  <c r="J291" i="49"/>
  <c r="J295" i="49"/>
  <c r="J298" i="49"/>
  <c r="J302" i="49"/>
  <c r="J306" i="49"/>
  <c r="J310" i="49"/>
  <c r="J314" i="49"/>
  <c r="J10" i="49"/>
  <c r="J20" i="49"/>
  <c r="J30" i="49"/>
  <c r="J38" i="49"/>
  <c r="J48" i="49"/>
  <c r="J58" i="49"/>
  <c r="J67" i="49"/>
  <c r="J76" i="49"/>
  <c r="J82" i="49"/>
  <c r="J89" i="49"/>
  <c r="J97" i="49"/>
  <c r="J104" i="49"/>
  <c r="J110" i="49"/>
  <c r="J118" i="49"/>
  <c r="J125" i="49"/>
  <c r="J132" i="49"/>
  <c r="J140" i="49"/>
  <c r="J146" i="49"/>
  <c r="J153" i="49"/>
  <c r="J161" i="49"/>
  <c r="J177" i="49"/>
  <c r="J184" i="49"/>
  <c r="J191" i="49"/>
  <c r="L191" i="49" s="1"/>
  <c r="J199" i="49"/>
  <c r="J205" i="49"/>
  <c r="J212" i="49"/>
  <c r="J220" i="49"/>
  <c r="J226" i="49"/>
  <c r="J232" i="49"/>
  <c r="J240" i="49"/>
  <c r="J246" i="49"/>
  <c r="J252" i="49"/>
  <c r="J257" i="49"/>
  <c r="J262" i="49"/>
  <c r="J268" i="49"/>
  <c r="J273" i="49"/>
  <c r="J278" i="49"/>
  <c r="L278" i="49" s="1"/>
  <c r="J284" i="49"/>
  <c r="L284" i="49" s="1"/>
  <c r="J289" i="49"/>
  <c r="J294" i="49"/>
  <c r="J299" i="49"/>
  <c r="J304" i="49"/>
  <c r="J309" i="49"/>
  <c r="J14" i="49"/>
  <c r="L14" i="49" s="1"/>
  <c r="J22" i="49"/>
  <c r="J31" i="49"/>
  <c r="J42" i="49"/>
  <c r="J51" i="49"/>
  <c r="J59" i="49"/>
  <c r="J70" i="49"/>
  <c r="J77" i="49"/>
  <c r="J84" i="49"/>
  <c r="J92" i="49"/>
  <c r="J98" i="49"/>
  <c r="J105" i="49"/>
  <c r="J113" i="49"/>
  <c r="J120" i="49"/>
  <c r="L120" i="49" s="1"/>
  <c r="J126" i="49"/>
  <c r="L126" i="49" s="1"/>
  <c r="J134" i="49"/>
  <c r="L134" i="49" s="1"/>
  <c r="J141" i="49"/>
  <c r="J148" i="49"/>
  <c r="J156" i="49"/>
  <c r="L156" i="49" s="1"/>
  <c r="J162" i="49"/>
  <c r="J166" i="49"/>
  <c r="J173" i="49"/>
  <c r="J179" i="49"/>
  <c r="J185" i="49"/>
  <c r="J193" i="49"/>
  <c r="J200" i="49"/>
  <c r="J207" i="49"/>
  <c r="J215" i="49"/>
  <c r="J227" i="49"/>
  <c r="J234" i="49"/>
  <c r="J237" i="49"/>
  <c r="J241" i="49"/>
  <c r="J248" i="49"/>
  <c r="J253" i="49"/>
  <c r="J258" i="49"/>
  <c r="J264" i="49"/>
  <c r="J269" i="49"/>
  <c r="J274" i="49"/>
  <c r="J280" i="49"/>
  <c r="L280" i="49" s="1"/>
  <c r="J285" i="49"/>
  <c r="J290" i="49"/>
  <c r="J296" i="49"/>
  <c r="L296" i="49" s="1"/>
  <c r="J300" i="49"/>
  <c r="J305" i="49"/>
  <c r="L305" i="49" s="1"/>
  <c r="J311" i="49"/>
  <c r="J15" i="49"/>
  <c r="J24" i="49"/>
  <c r="J35" i="49"/>
  <c r="J43" i="49"/>
  <c r="J52" i="49"/>
  <c r="J63" i="49"/>
  <c r="J72" i="49"/>
  <c r="J78" i="49"/>
  <c r="J86" i="49"/>
  <c r="J93" i="49"/>
  <c r="J100" i="49"/>
  <c r="J108" i="49"/>
  <c r="J114" i="49"/>
  <c r="L114" i="49" s="1"/>
  <c r="J121" i="49"/>
  <c r="L121" i="49" s="1"/>
  <c r="J129" i="49"/>
  <c r="L129" i="49" s="1"/>
  <c r="J136" i="49"/>
  <c r="J142" i="49"/>
  <c r="J150" i="49"/>
  <c r="L150" i="49" s="1"/>
  <c r="J157" i="49"/>
  <c r="J168" i="49"/>
  <c r="J174" i="49"/>
  <c r="J180" i="49"/>
  <c r="J188" i="49"/>
  <c r="J195" i="49"/>
  <c r="J201" i="49"/>
  <c r="J209" i="49"/>
  <c r="J216" i="49"/>
  <c r="J222" i="49"/>
  <c r="J230" i="49"/>
  <c r="J243" i="49"/>
  <c r="J249" i="49"/>
  <c r="J254" i="49"/>
  <c r="J260" i="49"/>
  <c r="J265" i="49"/>
  <c r="J270" i="49"/>
  <c r="J276" i="49"/>
  <c r="L276" i="49" s="1"/>
  <c r="J281" i="49"/>
  <c r="L281" i="49" s="1"/>
  <c r="J286" i="49"/>
  <c r="J292" i="49"/>
  <c r="J301" i="49"/>
  <c r="J307" i="49"/>
  <c r="J312" i="49"/>
  <c r="J46" i="49"/>
  <c r="J81" i="49"/>
  <c r="J109" i="49"/>
  <c r="J137" i="49"/>
  <c r="L137" i="49" s="1"/>
  <c r="J165" i="49"/>
  <c r="J189" i="49"/>
  <c r="J217" i="49"/>
  <c r="J239" i="49"/>
  <c r="J261" i="49"/>
  <c r="J282" i="49"/>
  <c r="L282" i="49" s="1"/>
  <c r="J303" i="49"/>
  <c r="J64" i="49"/>
  <c r="J175" i="49"/>
  <c r="J250" i="49"/>
  <c r="J293" i="49"/>
  <c r="J36" i="49"/>
  <c r="J73" i="49"/>
  <c r="J102" i="49"/>
  <c r="J130" i="49"/>
  <c r="L130" i="49" s="1"/>
  <c r="J158" i="49"/>
  <c r="L158" i="49" s="1"/>
  <c r="J183" i="49"/>
  <c r="J211" i="49"/>
  <c r="J235" i="49"/>
  <c r="J256" i="49"/>
  <c r="J277" i="49"/>
  <c r="L277" i="49" s="1"/>
  <c r="J297" i="49"/>
  <c r="J16" i="49"/>
  <c r="J56" i="49"/>
  <c r="J88" i="49"/>
  <c r="J116" i="49"/>
  <c r="J145" i="49"/>
  <c r="J169" i="49"/>
  <c r="J196" i="49"/>
  <c r="J224" i="49"/>
  <c r="L224" i="49" s="1"/>
  <c r="J245" i="49"/>
  <c r="J266" i="49"/>
  <c r="J288" i="49"/>
  <c r="J308" i="49"/>
  <c r="J27" i="49"/>
  <c r="J94" i="49"/>
  <c r="J124" i="49"/>
  <c r="L124" i="49" s="1"/>
  <c r="J152" i="49"/>
  <c r="J204" i="49"/>
  <c r="J231" i="49"/>
  <c r="J272" i="49"/>
  <c r="J313" i="49"/>
  <c r="L313" i="49" s="1"/>
  <c r="J254" i="13"/>
  <c r="J222" i="13"/>
  <c r="J94" i="13"/>
  <c r="J44" i="13"/>
  <c r="J29" i="13"/>
  <c r="G23" i="49"/>
  <c r="G29" i="49"/>
  <c r="G41" i="49"/>
  <c r="J41" i="13"/>
  <c r="G43" i="49"/>
  <c r="G45" i="49"/>
  <c r="G55" i="49"/>
  <c r="G76" i="49"/>
  <c r="J76" i="13"/>
  <c r="G86" i="49"/>
  <c r="J86" i="13"/>
  <c r="G94" i="49"/>
  <c r="G102" i="49"/>
  <c r="J102" i="13"/>
  <c r="G108" i="49"/>
  <c r="J108" i="13"/>
  <c r="G134" i="49"/>
  <c r="J134" i="13"/>
  <c r="G314" i="49"/>
  <c r="G212" i="49"/>
  <c r="J212" i="13"/>
  <c r="G285" i="49"/>
  <c r="G174" i="49"/>
  <c r="J174" i="13"/>
  <c r="G245" i="49"/>
  <c r="J245" i="13"/>
  <c r="G17" i="49"/>
  <c r="J17" i="13"/>
  <c r="G250" i="49"/>
  <c r="J250" i="13"/>
  <c r="G64" i="49"/>
  <c r="J64" i="13"/>
  <c r="G181" i="49"/>
  <c r="J181" i="13"/>
  <c r="G211" i="49"/>
  <c r="J211" i="13"/>
  <c r="G99" i="49"/>
  <c r="J99" i="13"/>
  <c r="G238" i="49"/>
  <c r="J238" i="13"/>
  <c r="G65" i="49"/>
  <c r="G216" i="49"/>
  <c r="J216" i="13"/>
  <c r="G121" i="49"/>
  <c r="G213" i="49"/>
  <c r="J213" i="13"/>
  <c r="G300" i="49"/>
  <c r="G132" i="49"/>
  <c r="J132" i="13"/>
  <c r="G210" i="49"/>
  <c r="G311" i="49"/>
  <c r="J311" i="13"/>
  <c r="G228" i="49"/>
  <c r="G272" i="49"/>
  <c r="G242" i="49"/>
  <c r="G161" i="49"/>
  <c r="J161" i="13"/>
  <c r="G277" i="49"/>
  <c r="G149" i="49"/>
  <c r="J149" i="13"/>
  <c r="G237" i="49"/>
  <c r="G304" i="49"/>
  <c r="J304" i="13"/>
  <c r="G159" i="49"/>
  <c r="G241" i="49"/>
  <c r="J241" i="13"/>
  <c r="G187" i="49"/>
  <c r="J187" i="13"/>
  <c r="G313" i="49"/>
  <c r="J313" i="13"/>
  <c r="G263" i="49"/>
  <c r="J263" i="13"/>
  <c r="G169" i="49"/>
  <c r="J169" i="13"/>
  <c r="G20" i="49"/>
  <c r="J20" i="13"/>
  <c r="G103" i="49"/>
  <c r="J103" i="13"/>
  <c r="G71" i="49"/>
  <c r="J71" i="13"/>
  <c r="G264" i="49"/>
  <c r="G269" i="49"/>
  <c r="G193" i="49"/>
  <c r="J193" i="13"/>
  <c r="G190" i="49"/>
  <c r="J190" i="13"/>
  <c r="G309" i="49"/>
  <c r="J309" i="13"/>
  <c r="G117" i="49"/>
  <c r="J117" i="13"/>
  <c r="G306" i="49"/>
  <c r="J306" i="13"/>
  <c r="G166" i="49"/>
  <c r="J166" i="13"/>
  <c r="G116" i="49"/>
  <c r="G145" i="49"/>
  <c r="G9" i="49"/>
  <c r="G307" i="49"/>
  <c r="J307" i="13"/>
  <c r="G167" i="49"/>
  <c r="G293" i="49"/>
  <c r="J293" i="13"/>
  <c r="G217" i="49"/>
  <c r="G133" i="49"/>
  <c r="J133" i="13"/>
  <c r="G147" i="49"/>
  <c r="J147" i="13"/>
  <c r="G10" i="49"/>
  <c r="G220" i="49"/>
  <c r="J220" i="13"/>
  <c r="G87" i="49"/>
  <c r="J87" i="13"/>
  <c r="G109" i="49"/>
  <c r="J109" i="13"/>
  <c r="G225" i="49"/>
  <c r="J225" i="13"/>
  <c r="G186" i="49"/>
  <c r="J186" i="13"/>
  <c r="G151" i="49"/>
  <c r="J151" i="13"/>
  <c r="G243" i="49"/>
  <c r="J243" i="13"/>
  <c r="G8" i="49"/>
  <c r="J8" i="13"/>
  <c r="G227" i="49"/>
  <c r="G148" i="49"/>
  <c r="J148" i="13"/>
  <c r="G30" i="49"/>
  <c r="J30" i="13"/>
  <c r="G171" i="49"/>
  <c r="J171" i="13"/>
  <c r="G257" i="49"/>
  <c r="J257" i="13"/>
  <c r="G137" i="49"/>
  <c r="J137" i="13"/>
  <c r="G246" i="49"/>
  <c r="G104" i="49"/>
  <c r="J104" i="13"/>
  <c r="G7" i="49"/>
  <c r="G88" i="49"/>
  <c r="J88" i="13"/>
  <c r="G26" i="49"/>
  <c r="G224" i="49"/>
  <c r="J224" i="13"/>
  <c r="G158" i="49"/>
  <c r="G298" i="49"/>
  <c r="G275" i="49"/>
  <c r="G34" i="49"/>
  <c r="G112" i="49"/>
  <c r="G27" i="49"/>
  <c r="G200" i="49"/>
  <c r="J200" i="13"/>
  <c r="G286" i="49"/>
  <c r="J286" i="13"/>
  <c r="G194" i="49"/>
  <c r="G302" i="49"/>
  <c r="G124" i="49"/>
  <c r="G46" i="49"/>
  <c r="G144" i="49"/>
  <c r="J144" i="13"/>
  <c r="G58" i="49"/>
  <c r="G182" i="49"/>
  <c r="J182" i="13"/>
  <c r="G301" i="49"/>
  <c r="G168" i="49"/>
  <c r="J168" i="13"/>
  <c r="G63" i="49"/>
  <c r="J63" i="13"/>
  <c r="G12" i="49"/>
  <c r="J12" i="13"/>
  <c r="G128" i="49"/>
  <c r="G297" i="49"/>
  <c r="G154" i="49"/>
  <c r="G122" i="49"/>
  <c r="G305" i="49"/>
  <c r="G199" i="49"/>
  <c r="G233" i="49"/>
  <c r="J154" i="13"/>
  <c r="J122" i="13"/>
  <c r="J264" i="13"/>
  <c r="J269" i="13"/>
  <c r="J58" i="13"/>
  <c r="J301" i="13"/>
  <c r="J227" i="13"/>
  <c r="J314" i="13"/>
  <c r="J242" i="13"/>
  <c r="J237" i="13"/>
  <c r="J82" i="13"/>
  <c r="J21" i="13"/>
  <c r="J232" i="13"/>
  <c r="J256" i="13"/>
  <c r="J156" i="13"/>
  <c r="J37" i="13"/>
  <c r="J162" i="13"/>
  <c r="J249" i="13"/>
  <c r="J22" i="13"/>
  <c r="J178" i="13"/>
  <c r="J179" i="13"/>
  <c r="J292" i="13"/>
  <c r="J189" i="13"/>
  <c r="J81" i="13"/>
  <c r="J204" i="13"/>
  <c r="J38" i="13"/>
  <c r="J201" i="13"/>
  <c r="J270" i="13"/>
  <c r="J283" i="13"/>
  <c r="J101" i="13"/>
  <c r="J55" i="13"/>
  <c r="J43" i="13"/>
  <c r="J23" i="13"/>
  <c r="F315" i="49"/>
  <c r="J196" i="13"/>
  <c r="J289" i="13"/>
  <c r="J16" i="13"/>
  <c r="J239" i="13"/>
  <c r="J67" i="13"/>
  <c r="J51" i="13"/>
  <c r="J143" i="13"/>
  <c r="J230" i="13"/>
  <c r="J207" i="13"/>
  <c r="J32" i="13"/>
  <c r="J90" i="13"/>
  <c r="J13" i="13"/>
  <c r="J266" i="13"/>
  <c r="J125" i="13"/>
  <c r="J52" i="13"/>
  <c r="U316" i="19"/>
  <c r="J11" i="13"/>
  <c r="J56" i="13"/>
  <c r="J35" i="13"/>
  <c r="J60" i="13"/>
  <c r="J183" i="13"/>
  <c r="J106" i="13"/>
  <c r="J299" i="13"/>
  <c r="J123" i="13"/>
  <c r="J84" i="13"/>
  <c r="J91" i="13"/>
  <c r="J79" i="13"/>
  <c r="J150" i="13"/>
  <c r="J15" i="13"/>
  <c r="J31" i="13"/>
  <c r="J114" i="13"/>
  <c r="J28" i="13"/>
  <c r="J163" i="13"/>
  <c r="J157" i="13"/>
  <c r="J176" i="13"/>
  <c r="J276" i="13"/>
  <c r="J126" i="13"/>
  <c r="J85" i="13"/>
  <c r="J95" i="13"/>
  <c r="J68" i="13"/>
  <c r="J75" i="13"/>
  <c r="J191" i="13"/>
  <c r="J14" i="13"/>
  <c r="J119" i="13"/>
  <c r="J223" i="13"/>
  <c r="J48" i="13"/>
  <c r="J280" i="13"/>
  <c r="J59" i="13"/>
  <c r="J130" i="13"/>
  <c r="J77" i="13"/>
  <c r="J47" i="13"/>
  <c r="J226" i="13"/>
  <c r="J39" i="13"/>
  <c r="J127" i="13"/>
  <c r="J206" i="13"/>
  <c r="J288" i="13"/>
  <c r="J248" i="13"/>
  <c r="J240" i="13"/>
  <c r="J80" i="13"/>
  <c r="J139" i="13"/>
  <c r="J107" i="13"/>
  <c r="J83" i="13"/>
  <c r="J296" i="13"/>
  <c r="J259" i="13"/>
  <c r="J19" i="13"/>
  <c r="J164" i="13"/>
  <c r="J165" i="13"/>
  <c r="J175" i="13"/>
  <c r="J235" i="13"/>
  <c r="J195" i="13"/>
  <c r="J231" i="13"/>
  <c r="J72" i="13"/>
  <c r="J172" i="13"/>
  <c r="F9" i="48" l="1"/>
  <c r="E6" i="25"/>
  <c r="M6" i="49"/>
  <c r="C5" i="11"/>
  <c r="C16" i="34"/>
  <c r="C314" i="39"/>
  <c r="K219" i="49"/>
  <c r="L219" i="49" s="1"/>
  <c r="K244" i="49"/>
  <c r="L244" i="49" s="1"/>
  <c r="J315" i="13"/>
  <c r="E5" i="33"/>
  <c r="D5" i="37" s="1"/>
  <c r="G5" i="32"/>
  <c r="F314" i="32"/>
  <c r="I314" i="32" s="1"/>
  <c r="S316" i="19"/>
  <c r="K231" i="49"/>
  <c r="L231" i="49" s="1"/>
  <c r="K266" i="49"/>
  <c r="L266" i="49" s="1"/>
  <c r="K56" i="49"/>
  <c r="L56" i="49" s="1"/>
  <c r="K64" i="49"/>
  <c r="L64" i="49" s="1"/>
  <c r="K254" i="49"/>
  <c r="L254" i="49" s="1"/>
  <c r="K180" i="49"/>
  <c r="L180" i="49" s="1"/>
  <c r="K72" i="49"/>
  <c r="L72" i="49" s="1"/>
  <c r="K35" i="49"/>
  <c r="L35" i="49" s="1"/>
  <c r="K285" i="49"/>
  <c r="L285" i="49" s="1"/>
  <c r="K241" i="49"/>
  <c r="L241" i="49" s="1"/>
  <c r="K193" i="49"/>
  <c r="L193" i="49" s="1"/>
  <c r="K141" i="49"/>
  <c r="L141" i="49" s="1"/>
  <c r="K84" i="49"/>
  <c r="L84" i="49" s="1"/>
  <c r="K51" i="49"/>
  <c r="L51" i="49" s="1"/>
  <c r="K294" i="49"/>
  <c r="L294" i="49" s="1"/>
  <c r="K252" i="49"/>
  <c r="L252" i="49" s="1"/>
  <c r="K232" i="49"/>
  <c r="L232" i="49" s="1"/>
  <c r="K177" i="49"/>
  <c r="L177" i="49" s="1"/>
  <c r="K125" i="49"/>
  <c r="L125" i="49" s="1"/>
  <c r="K67" i="49"/>
  <c r="L67" i="49" s="1"/>
  <c r="K310" i="49"/>
  <c r="L310" i="49" s="1"/>
  <c r="K295" i="49"/>
  <c r="L295" i="49" s="1"/>
  <c r="K263" i="49"/>
  <c r="L263" i="49" s="1"/>
  <c r="K233" i="49"/>
  <c r="L233" i="49" s="1"/>
  <c r="K192" i="49"/>
  <c r="L192" i="49" s="1"/>
  <c r="K172" i="49"/>
  <c r="L172" i="49" s="1"/>
  <c r="K133" i="49"/>
  <c r="L133" i="49" s="1"/>
  <c r="K90" i="49"/>
  <c r="L90" i="49" s="1"/>
  <c r="K40" i="49"/>
  <c r="L40" i="49" s="1"/>
  <c r="K171" i="49"/>
  <c r="L171" i="49" s="1"/>
  <c r="K95" i="49"/>
  <c r="L95" i="49" s="1"/>
  <c r="K79" i="49"/>
  <c r="L79" i="49" s="1"/>
  <c r="K18" i="49"/>
  <c r="L18" i="49" s="1"/>
  <c r="K45" i="49"/>
  <c r="L45" i="49" s="1"/>
  <c r="K13" i="49"/>
  <c r="L13" i="49" s="1"/>
  <c r="K204" i="49"/>
  <c r="L204" i="49" s="1"/>
  <c r="K245" i="49"/>
  <c r="L245" i="49" s="1"/>
  <c r="K16" i="49"/>
  <c r="L16" i="49" s="1"/>
  <c r="K235" i="49"/>
  <c r="L235" i="49" s="1"/>
  <c r="K293" i="49"/>
  <c r="L293" i="49" s="1"/>
  <c r="K217" i="49"/>
  <c r="L217" i="49" s="1"/>
  <c r="K312" i="49"/>
  <c r="L312" i="49" s="1"/>
  <c r="K270" i="49"/>
  <c r="L270" i="49" s="1"/>
  <c r="K249" i="49"/>
  <c r="L249" i="49" s="1"/>
  <c r="K201" i="49"/>
  <c r="L201" i="49" s="1"/>
  <c r="K174" i="49"/>
  <c r="L174" i="49" s="1"/>
  <c r="K63" i="49"/>
  <c r="L63" i="49" s="1"/>
  <c r="K237" i="49"/>
  <c r="L237" i="49" s="1"/>
  <c r="K185" i="49"/>
  <c r="L185" i="49" s="1"/>
  <c r="K77" i="49"/>
  <c r="L77" i="49" s="1"/>
  <c r="K309" i="49"/>
  <c r="L309" i="49" s="1"/>
  <c r="K268" i="49"/>
  <c r="L268" i="49" s="1"/>
  <c r="K226" i="49"/>
  <c r="L226" i="49" s="1"/>
  <c r="K118" i="49"/>
  <c r="L118" i="49" s="1"/>
  <c r="K58" i="49"/>
  <c r="L58" i="49" s="1"/>
  <c r="K306" i="49"/>
  <c r="K242" i="49"/>
  <c r="L242" i="49" s="1"/>
  <c r="K187" i="49"/>
  <c r="L187" i="49" s="1"/>
  <c r="K106" i="49"/>
  <c r="L106" i="49" s="1"/>
  <c r="K62" i="49"/>
  <c r="L62" i="49" s="1"/>
  <c r="K229" i="49"/>
  <c r="L229" i="49" s="1"/>
  <c r="K198" i="49"/>
  <c r="L198" i="49" s="1"/>
  <c r="K182" i="49"/>
  <c r="L182" i="49" s="1"/>
  <c r="K139" i="49"/>
  <c r="L139" i="49" s="1"/>
  <c r="K123" i="49"/>
  <c r="L123" i="49" s="1"/>
  <c r="K107" i="49"/>
  <c r="L107" i="49" s="1"/>
  <c r="K91" i="49"/>
  <c r="L91" i="49" s="1"/>
  <c r="K75" i="49"/>
  <c r="L75" i="49" s="1"/>
  <c r="K55" i="49"/>
  <c r="L55" i="49" s="1"/>
  <c r="K34" i="49"/>
  <c r="L34" i="49" s="1"/>
  <c r="K12" i="49"/>
  <c r="L12" i="49" s="1"/>
  <c r="K57" i="49"/>
  <c r="L57" i="49" s="1"/>
  <c r="K41" i="49"/>
  <c r="L41" i="49" s="1"/>
  <c r="K9" i="49"/>
  <c r="L9" i="49" s="1"/>
  <c r="K272" i="49"/>
  <c r="L272" i="49" s="1"/>
  <c r="K288" i="49"/>
  <c r="L288" i="49" s="1"/>
  <c r="K196" i="49"/>
  <c r="L196" i="49" s="1"/>
  <c r="K88" i="49"/>
  <c r="L88" i="49" s="1"/>
  <c r="K183" i="49"/>
  <c r="L183" i="49" s="1"/>
  <c r="K73" i="49"/>
  <c r="L73" i="49" s="1"/>
  <c r="K175" i="49"/>
  <c r="L175" i="49" s="1"/>
  <c r="K261" i="49"/>
  <c r="L261" i="49" s="1"/>
  <c r="K165" i="49"/>
  <c r="L165" i="49" s="1"/>
  <c r="K46" i="49"/>
  <c r="L46" i="49" s="1"/>
  <c r="K301" i="49"/>
  <c r="L301" i="49" s="1"/>
  <c r="K260" i="49"/>
  <c r="L260" i="49" s="1"/>
  <c r="K216" i="49"/>
  <c r="L216" i="49" s="1"/>
  <c r="K188" i="49"/>
  <c r="L188" i="49" s="1"/>
  <c r="K136" i="49"/>
  <c r="L136" i="49" s="1"/>
  <c r="K108" i="49"/>
  <c r="L108" i="49" s="1"/>
  <c r="K78" i="49"/>
  <c r="L78" i="49" s="1"/>
  <c r="K43" i="49"/>
  <c r="L43" i="49" s="1"/>
  <c r="K311" i="49"/>
  <c r="L311" i="49" s="1"/>
  <c r="K290" i="49"/>
  <c r="L290" i="49" s="1"/>
  <c r="K269" i="49"/>
  <c r="L269" i="49" s="1"/>
  <c r="K248" i="49"/>
  <c r="L248" i="49" s="1"/>
  <c r="K227" i="49"/>
  <c r="L227" i="49" s="1"/>
  <c r="K200" i="49"/>
  <c r="L200" i="49" s="1"/>
  <c r="K173" i="49"/>
  <c r="L173" i="49" s="1"/>
  <c r="K148" i="49"/>
  <c r="L148" i="49" s="1"/>
  <c r="K92" i="49"/>
  <c r="L92" i="49" s="1"/>
  <c r="K59" i="49"/>
  <c r="L59" i="49" s="1"/>
  <c r="K22" i="49"/>
  <c r="L22" i="49" s="1"/>
  <c r="K299" i="49"/>
  <c r="L299" i="49" s="1"/>
  <c r="K257" i="49"/>
  <c r="L257" i="49" s="1"/>
  <c r="K212" i="49"/>
  <c r="L212" i="49" s="1"/>
  <c r="K184" i="49"/>
  <c r="L184" i="49" s="1"/>
  <c r="K161" i="49"/>
  <c r="L161" i="49" s="1"/>
  <c r="K132" i="49"/>
  <c r="L132" i="49" s="1"/>
  <c r="K104" i="49"/>
  <c r="L104" i="49" s="1"/>
  <c r="K76" i="49"/>
  <c r="L76" i="49" s="1"/>
  <c r="K38" i="49"/>
  <c r="L38" i="49" s="1"/>
  <c r="K314" i="49"/>
  <c r="L314" i="49" s="1"/>
  <c r="K298" i="49"/>
  <c r="L298" i="49" s="1"/>
  <c r="K267" i="49"/>
  <c r="L267" i="49" s="1"/>
  <c r="K251" i="49"/>
  <c r="L251" i="49" s="1"/>
  <c r="K236" i="49"/>
  <c r="L236" i="49" s="1"/>
  <c r="K197" i="49"/>
  <c r="L197" i="49" s="1"/>
  <c r="K176" i="49"/>
  <c r="L176" i="49" s="1"/>
  <c r="K160" i="49"/>
  <c r="L160" i="49" s="1"/>
  <c r="K138" i="49"/>
  <c r="L138" i="49" s="1"/>
  <c r="K96" i="49"/>
  <c r="L96" i="49" s="1"/>
  <c r="K74" i="49"/>
  <c r="L74" i="49" s="1"/>
  <c r="K47" i="49"/>
  <c r="L47" i="49" s="1"/>
  <c r="K19" i="49"/>
  <c r="L19" i="49" s="1"/>
  <c r="K221" i="49"/>
  <c r="L221" i="49" s="1"/>
  <c r="K206" i="49"/>
  <c r="L206" i="49" s="1"/>
  <c r="K190" i="49"/>
  <c r="L190" i="49" s="1"/>
  <c r="K163" i="49"/>
  <c r="L163" i="49" s="1"/>
  <c r="K147" i="49"/>
  <c r="L147" i="49" s="1"/>
  <c r="K115" i="49"/>
  <c r="L115" i="49" s="1"/>
  <c r="K99" i="49"/>
  <c r="L99" i="49" s="1"/>
  <c r="K83" i="49"/>
  <c r="L83" i="49" s="1"/>
  <c r="K66" i="49"/>
  <c r="L66" i="49" s="1"/>
  <c r="K44" i="49"/>
  <c r="L44" i="49" s="1"/>
  <c r="K23" i="49"/>
  <c r="L23" i="49" s="1"/>
  <c r="K65" i="49"/>
  <c r="L65" i="49" s="1"/>
  <c r="K49" i="49"/>
  <c r="L49" i="49" s="1"/>
  <c r="K33" i="49"/>
  <c r="L33" i="49" s="1"/>
  <c r="K17" i="49"/>
  <c r="L17" i="49" s="1"/>
  <c r="K94" i="49"/>
  <c r="L94" i="49" s="1"/>
  <c r="K169" i="49"/>
  <c r="L169" i="49" s="1"/>
  <c r="K256" i="49"/>
  <c r="L256" i="49" s="1"/>
  <c r="K36" i="49"/>
  <c r="L36" i="49" s="1"/>
  <c r="K239" i="49"/>
  <c r="L239" i="49" s="1"/>
  <c r="K209" i="49"/>
  <c r="L209" i="49" s="1"/>
  <c r="K157" i="49"/>
  <c r="L157" i="49" s="1"/>
  <c r="K100" i="49"/>
  <c r="L100" i="49" s="1"/>
  <c r="K264" i="49"/>
  <c r="L264" i="49" s="1"/>
  <c r="K166" i="49"/>
  <c r="L166" i="49" s="1"/>
  <c r="K113" i="49"/>
  <c r="L113" i="49" s="1"/>
  <c r="K273" i="49"/>
  <c r="L273" i="49" s="1"/>
  <c r="K205" i="49"/>
  <c r="L205" i="49" s="1"/>
  <c r="K153" i="49"/>
  <c r="L153" i="49" s="1"/>
  <c r="K97" i="49"/>
  <c r="L97" i="49" s="1"/>
  <c r="K30" i="49"/>
  <c r="L30" i="49" s="1"/>
  <c r="K247" i="49"/>
  <c r="L247" i="49" s="1"/>
  <c r="K213" i="49"/>
  <c r="L213" i="49" s="1"/>
  <c r="K68" i="49"/>
  <c r="L68" i="49" s="1"/>
  <c r="K11" i="49"/>
  <c r="L11" i="49" s="1"/>
  <c r="K218" i="49"/>
  <c r="L218" i="49" s="1"/>
  <c r="K186" i="49"/>
  <c r="L186" i="49" s="1"/>
  <c r="K159" i="49"/>
  <c r="L159" i="49" s="1"/>
  <c r="K143" i="49"/>
  <c r="L143" i="49" s="1"/>
  <c r="K111" i="49"/>
  <c r="L111" i="49" s="1"/>
  <c r="K60" i="49"/>
  <c r="L60" i="49" s="1"/>
  <c r="K39" i="49"/>
  <c r="L39" i="49" s="1"/>
  <c r="K61" i="49"/>
  <c r="L61" i="49" s="1"/>
  <c r="K29" i="49"/>
  <c r="L29" i="49" s="1"/>
  <c r="K27" i="49"/>
  <c r="L27" i="49" s="1"/>
  <c r="K145" i="49"/>
  <c r="L145" i="49" s="1"/>
  <c r="L303" i="49"/>
  <c r="K109" i="49"/>
  <c r="L109" i="49" s="1"/>
  <c r="K292" i="49"/>
  <c r="L292" i="49" s="1"/>
  <c r="K230" i="49"/>
  <c r="L230" i="49" s="1"/>
  <c r="K93" i="49"/>
  <c r="L93" i="49" s="1"/>
  <c r="K24" i="49"/>
  <c r="L24" i="49" s="1"/>
  <c r="K300" i="49"/>
  <c r="L300" i="49" s="1"/>
  <c r="K258" i="49"/>
  <c r="L258" i="49" s="1"/>
  <c r="K215" i="49"/>
  <c r="L215" i="49" s="1"/>
  <c r="K162" i="49"/>
  <c r="L162" i="49" s="1"/>
  <c r="K105" i="49"/>
  <c r="L105" i="49" s="1"/>
  <c r="K42" i="49"/>
  <c r="L42" i="49" s="1"/>
  <c r="K289" i="49"/>
  <c r="L289" i="49" s="1"/>
  <c r="K246" i="49"/>
  <c r="L246" i="49" s="1"/>
  <c r="K199" i="49"/>
  <c r="L199" i="49" s="1"/>
  <c r="K146" i="49"/>
  <c r="L146" i="49" s="1"/>
  <c r="K89" i="49"/>
  <c r="L89" i="49" s="1"/>
  <c r="K20" i="49"/>
  <c r="L20" i="49" s="1"/>
  <c r="K291" i="49"/>
  <c r="K259" i="49"/>
  <c r="L259" i="49" s="1"/>
  <c r="K228" i="49"/>
  <c r="L228" i="49" s="1"/>
  <c r="K208" i="49"/>
  <c r="L208" i="49" s="1"/>
  <c r="K167" i="49"/>
  <c r="L167" i="49" s="1"/>
  <c r="K85" i="49"/>
  <c r="L85" i="49" s="1"/>
  <c r="K32" i="49"/>
  <c r="L32" i="49" s="1"/>
  <c r="K214" i="49"/>
  <c r="L214" i="49" s="1"/>
  <c r="K25" i="49"/>
  <c r="L25" i="49" s="1"/>
  <c r="K152" i="49"/>
  <c r="L152" i="49" s="1"/>
  <c r="K308" i="49"/>
  <c r="L308" i="49" s="1"/>
  <c r="K116" i="49"/>
  <c r="L116" i="49" s="1"/>
  <c r="K297" i="49"/>
  <c r="K211" i="49"/>
  <c r="L211" i="49" s="1"/>
  <c r="K102" i="49"/>
  <c r="L102" i="49" s="1"/>
  <c r="K250" i="49"/>
  <c r="L250" i="49" s="1"/>
  <c r="K189" i="49"/>
  <c r="L189" i="49" s="1"/>
  <c r="K81" i="49"/>
  <c r="L81" i="49" s="1"/>
  <c r="K307" i="49"/>
  <c r="K286" i="49"/>
  <c r="L286" i="49" s="1"/>
  <c r="K265" i="49"/>
  <c r="L265" i="49" s="1"/>
  <c r="K243" i="49"/>
  <c r="L243" i="49" s="1"/>
  <c r="K222" i="49"/>
  <c r="L222" i="49" s="1"/>
  <c r="K195" i="49"/>
  <c r="L195" i="49" s="1"/>
  <c r="K168" i="49"/>
  <c r="L168" i="49" s="1"/>
  <c r="K142" i="49"/>
  <c r="L142" i="49" s="1"/>
  <c r="K86" i="49"/>
  <c r="L86" i="49" s="1"/>
  <c r="K52" i="49"/>
  <c r="L52" i="49" s="1"/>
  <c r="K15" i="49"/>
  <c r="L15" i="49" s="1"/>
  <c r="K274" i="49"/>
  <c r="L274" i="49" s="1"/>
  <c r="K253" i="49"/>
  <c r="L253" i="49" s="1"/>
  <c r="K234" i="49"/>
  <c r="L234" i="49" s="1"/>
  <c r="K207" i="49"/>
  <c r="L207" i="49" s="1"/>
  <c r="K179" i="49"/>
  <c r="L179" i="49" s="1"/>
  <c r="K98" i="49"/>
  <c r="L98" i="49" s="1"/>
  <c r="K70" i="49"/>
  <c r="L70" i="49" s="1"/>
  <c r="K31" i="49"/>
  <c r="L31" i="49" s="1"/>
  <c r="K304" i="49"/>
  <c r="L304" i="49" s="1"/>
  <c r="K262" i="49"/>
  <c r="L262" i="49" s="1"/>
  <c r="K240" i="49"/>
  <c r="L240" i="49" s="1"/>
  <c r="K220" i="49"/>
  <c r="L220" i="49" s="1"/>
  <c r="K140" i="49"/>
  <c r="L140" i="49" s="1"/>
  <c r="K110" i="49"/>
  <c r="L110" i="49" s="1"/>
  <c r="K82" i="49"/>
  <c r="L82" i="49" s="1"/>
  <c r="K48" i="49"/>
  <c r="L48" i="49" s="1"/>
  <c r="K10" i="49"/>
  <c r="L10" i="49" s="1"/>
  <c r="K302" i="49"/>
  <c r="L302" i="49" s="1"/>
  <c r="K287" i="49"/>
  <c r="K271" i="49"/>
  <c r="L271" i="49" s="1"/>
  <c r="K255" i="49"/>
  <c r="L255" i="49" s="1"/>
  <c r="K238" i="49"/>
  <c r="L238" i="49" s="1"/>
  <c r="K223" i="49"/>
  <c r="L223" i="49" s="1"/>
  <c r="K181" i="49"/>
  <c r="L181" i="49" s="1"/>
  <c r="K164" i="49"/>
  <c r="L164" i="49" s="1"/>
  <c r="K101" i="49"/>
  <c r="L101" i="49" s="1"/>
  <c r="K80" i="49"/>
  <c r="L80" i="49" s="1"/>
  <c r="K54" i="49"/>
  <c r="L54" i="49" s="1"/>
  <c r="K26" i="49"/>
  <c r="L26" i="49" s="1"/>
  <c r="K210" i="49"/>
  <c r="L210" i="49" s="1"/>
  <c r="K194" i="49"/>
  <c r="L194" i="49" s="1"/>
  <c r="K178" i="49"/>
  <c r="L178" i="49" s="1"/>
  <c r="K103" i="49"/>
  <c r="L103" i="49" s="1"/>
  <c r="K87" i="49"/>
  <c r="L87" i="49" s="1"/>
  <c r="K71" i="49"/>
  <c r="L71" i="49" s="1"/>
  <c r="K50" i="49"/>
  <c r="L50" i="49" s="1"/>
  <c r="K28" i="49"/>
  <c r="L28" i="49" s="1"/>
  <c r="K69" i="49"/>
  <c r="L69" i="49" s="1"/>
  <c r="K53" i="49"/>
  <c r="L53" i="49" s="1"/>
  <c r="K37" i="49"/>
  <c r="L37" i="49" s="1"/>
  <c r="K21" i="49"/>
  <c r="L21" i="49" s="1"/>
  <c r="J315" i="49"/>
  <c r="G315" i="49"/>
  <c r="C314" i="12"/>
  <c r="L315" i="13" l="1"/>
  <c r="L291" i="49"/>
  <c r="L287" i="49"/>
  <c r="L297" i="49"/>
  <c r="L307" i="49"/>
  <c r="L306" i="49"/>
  <c r="E47" i="48"/>
  <c r="L8" i="49"/>
  <c r="K315" i="49"/>
  <c r="N315" i="49" s="1"/>
  <c r="G314" i="37"/>
  <c r="G314" i="32"/>
  <c r="C314" i="33"/>
  <c r="B60" i="40" s="1"/>
  <c r="H27" i="37" l="1"/>
  <c r="H36" i="37"/>
  <c r="H11" i="37"/>
  <c r="H52" i="37"/>
  <c r="H68" i="37"/>
  <c r="H72" i="37"/>
  <c r="H76" i="37"/>
  <c r="H83" i="37"/>
  <c r="H111" i="37"/>
  <c r="H151" i="37"/>
  <c r="H188" i="37"/>
  <c r="H213" i="37"/>
  <c r="H228" i="37"/>
  <c r="H242" i="37"/>
  <c r="H48" i="37"/>
  <c r="H79" i="37"/>
  <c r="H178" i="37"/>
  <c r="H181" i="37"/>
  <c r="H44" i="37"/>
  <c r="H51" i="37"/>
  <c r="H67" i="37"/>
  <c r="H75" i="37"/>
  <c r="H123" i="37"/>
  <c r="H147" i="37"/>
  <c r="H28" i="37"/>
  <c r="H31" i="37"/>
  <c r="H40" i="37"/>
  <c r="H60" i="37"/>
  <c r="H131" i="37"/>
  <c r="H155" i="37"/>
  <c r="H230" i="37"/>
  <c r="H249" i="37"/>
  <c r="H19" i="37"/>
  <c r="H59" i="37"/>
  <c r="H92" i="37"/>
  <c r="H108" i="37"/>
  <c r="H119" i="37"/>
  <c r="H8" i="37"/>
  <c r="H39" i="37"/>
  <c r="H84" i="37"/>
  <c r="H100" i="37"/>
  <c r="H163" i="37"/>
  <c r="H176" i="37"/>
  <c r="H87" i="37"/>
  <c r="H91" i="37"/>
  <c r="H103" i="37"/>
  <c r="H202" i="37"/>
  <c r="H210" i="37"/>
  <c r="H238" i="37"/>
  <c r="H246" i="37"/>
  <c r="H257" i="37"/>
  <c r="H279" i="37"/>
  <c r="H288" i="37"/>
  <c r="H308" i="37"/>
  <c r="H224" i="37"/>
  <c r="H260" i="37"/>
  <c r="H268" i="37"/>
  <c r="H278" i="37"/>
  <c r="H291" i="37"/>
  <c r="H296" i="37"/>
  <c r="H300" i="37"/>
  <c r="H205" i="37"/>
  <c r="H216" i="37"/>
  <c r="H229" i="37"/>
  <c r="H245" i="37"/>
  <c r="H263" i="37"/>
  <c r="H271" i="37"/>
  <c r="H274" i="37"/>
  <c r="H307" i="37"/>
  <c r="H184" i="37"/>
  <c r="H277" i="37"/>
  <c r="H290" i="37"/>
  <c r="H299" i="37"/>
  <c r="H311" i="37"/>
  <c r="H244" i="37"/>
  <c r="H258" i="37"/>
  <c r="H276" i="37"/>
  <c r="H302" i="37"/>
  <c r="H310" i="37"/>
  <c r="H197" i="37"/>
  <c r="H214" i="37"/>
  <c r="H220" i="37"/>
  <c r="H236" i="37"/>
  <c r="H241" i="37"/>
  <c r="H252" i="37"/>
  <c r="H217" i="37"/>
  <c r="H283" i="37"/>
  <c r="H292" i="37"/>
  <c r="H294" i="37"/>
  <c r="H253" i="37"/>
  <c r="H275" i="37"/>
  <c r="H80" i="37"/>
  <c r="H305" i="37"/>
  <c r="H250" i="37"/>
  <c r="H266" i="37"/>
  <c r="H101" i="37"/>
  <c r="H35" i="37"/>
  <c r="H248" i="37"/>
  <c r="H194" i="37"/>
  <c r="H225" i="37"/>
  <c r="H179" i="37"/>
  <c r="H15" i="37"/>
  <c r="H222" i="37"/>
  <c r="H46" i="37"/>
  <c r="H146" i="37"/>
  <c r="H73" i="37"/>
  <c r="H164" i="37"/>
  <c r="H85" i="37"/>
  <c r="H161" i="37"/>
  <c r="H34" i="37"/>
  <c r="H254" i="37"/>
  <c r="H175" i="37"/>
  <c r="H14" i="37"/>
  <c r="H148" i="37"/>
  <c r="H78" i="37"/>
  <c r="H280" i="37"/>
  <c r="H313" i="37"/>
  <c r="H233" i="37"/>
  <c r="H20" i="37"/>
  <c r="H293" i="37"/>
  <c r="H223" i="37"/>
  <c r="H99" i="37"/>
  <c r="H303" i="37"/>
  <c r="H240" i="37"/>
  <c r="H192" i="37"/>
  <c r="H297" i="37"/>
  <c r="H112" i="37"/>
  <c r="H203" i="37"/>
  <c r="H136" i="37"/>
  <c r="H30" i="37"/>
  <c r="H183" i="37"/>
  <c r="H140" i="37"/>
  <c r="H70" i="37"/>
  <c r="H158" i="37"/>
  <c r="H150" i="37"/>
  <c r="H106" i="37"/>
  <c r="H251" i="37"/>
  <c r="H171" i="37"/>
  <c r="H97" i="37"/>
  <c r="H215" i="37"/>
  <c r="H137" i="37"/>
  <c r="H239" i="37"/>
  <c r="H177" i="37"/>
  <c r="H116" i="37"/>
  <c r="H22" i="37"/>
  <c r="H270" i="37"/>
  <c r="H16" i="37"/>
  <c r="H209" i="37"/>
  <c r="H298" i="37"/>
  <c r="H200" i="37"/>
  <c r="H234" i="37"/>
  <c r="H95" i="37"/>
  <c r="H232" i="37"/>
  <c r="H174" i="37"/>
  <c r="H195" i="37"/>
  <c r="H58" i="37"/>
  <c r="H157" i="37"/>
  <c r="H189" i="37"/>
  <c r="H133" i="37"/>
  <c r="H125" i="37"/>
  <c r="H66" i="37"/>
  <c r="H134" i="37"/>
  <c r="H9" i="37"/>
  <c r="H94" i="37"/>
  <c r="H159" i="37"/>
  <c r="H64" i="37"/>
  <c r="H206" i="37"/>
  <c r="H130" i="37"/>
  <c r="H50" i="37"/>
  <c r="H231" i="37"/>
  <c r="H74" i="37"/>
  <c r="H17" i="37"/>
  <c r="H262" i="37"/>
  <c r="H199" i="37"/>
  <c r="H12" i="37"/>
  <c r="H191" i="37"/>
  <c r="H218" i="37"/>
  <c r="H93" i="37"/>
  <c r="H287" i="37"/>
  <c r="H154" i="37"/>
  <c r="H173" i="37"/>
  <c r="H122" i="37"/>
  <c r="H56" i="37"/>
  <c r="H47" i="37"/>
  <c r="H153" i="37"/>
  <c r="H90" i="37"/>
  <c r="H141" i="37"/>
  <c r="H61" i="37"/>
  <c r="H193" i="37"/>
  <c r="H114" i="37"/>
  <c r="H45" i="37"/>
  <c r="H226" i="37"/>
  <c r="H156" i="37"/>
  <c r="H69" i="37"/>
  <c r="H212" i="37"/>
  <c r="H304" i="37"/>
  <c r="H190" i="37"/>
  <c r="H272" i="37"/>
  <c r="H286" i="37"/>
  <c r="H186" i="37"/>
  <c r="H143" i="37"/>
  <c r="H89" i="37"/>
  <c r="H312" i="37"/>
  <c r="H196" i="37"/>
  <c r="H282" i="37"/>
  <c r="H168" i="37"/>
  <c r="H55" i="37"/>
  <c r="H142" i="37"/>
  <c r="H62" i="37"/>
  <c r="H166" i="37"/>
  <c r="H33" i="37"/>
  <c r="H128" i="37"/>
  <c r="H25" i="37"/>
  <c r="H120" i="37"/>
  <c r="H57" i="37"/>
  <c r="H247" i="37"/>
  <c r="H135" i="37"/>
  <c r="H102" i="37"/>
  <c r="H145" i="37"/>
  <c r="H42" i="37"/>
  <c r="H295" i="37"/>
  <c r="H301" i="37"/>
  <c r="H185" i="37"/>
  <c r="H264" i="37"/>
  <c r="H284" i="37"/>
  <c r="H139" i="37"/>
  <c r="H71" i="37"/>
  <c r="H187" i="37"/>
  <c r="H165" i="37"/>
  <c r="H41" i="37"/>
  <c r="H127" i="37"/>
  <c r="H172" i="37"/>
  <c r="H65" i="37"/>
  <c r="H219" i="37"/>
  <c r="H81" i="37"/>
  <c r="H6" i="37"/>
  <c r="H170" i="37"/>
  <c r="H109" i="37"/>
  <c r="H144" i="37"/>
  <c r="H23" i="37"/>
  <c r="H237" i="37"/>
  <c r="H38" i="37"/>
  <c r="H169" i="37"/>
  <c r="H207" i="37"/>
  <c r="H138" i="37"/>
  <c r="H37" i="37"/>
  <c r="H269" i="37"/>
  <c r="H104" i="37"/>
  <c r="H204" i="37"/>
  <c r="H273" i="37"/>
  <c r="H107" i="37"/>
  <c r="H63" i="37"/>
  <c r="H267" i="37"/>
  <c r="H285" i="37"/>
  <c r="H182" i="37"/>
  <c r="H227" i="37"/>
  <c r="H259" i="37"/>
  <c r="H121" i="37"/>
  <c r="H32" i="37"/>
  <c r="H118" i="37"/>
  <c r="H243" i="37"/>
  <c r="H53" i="37"/>
  <c r="H211" i="37"/>
  <c r="H152" i="37"/>
  <c r="H167" i="37"/>
  <c r="H54" i="37"/>
  <c r="H132" i="37"/>
  <c r="H221" i="37"/>
  <c r="H129" i="37"/>
  <c r="H29" i="37"/>
  <c r="H162" i="37"/>
  <c r="H86" i="37"/>
  <c r="H18" i="37"/>
  <c r="H10" i="37"/>
  <c r="H306" i="37"/>
  <c r="H261" i="37"/>
  <c r="H88" i="37"/>
  <c r="H309" i="37"/>
  <c r="H255" i="37"/>
  <c r="H105" i="37"/>
  <c r="H43" i="37"/>
  <c r="H256" i="37"/>
  <c r="H180" i="37"/>
  <c r="H201" i="37"/>
  <c r="H98" i="37"/>
  <c r="H21" i="37"/>
  <c r="H115" i="37"/>
  <c r="H24" i="37"/>
  <c r="H235" i="37"/>
  <c r="H160" i="37"/>
  <c r="H49" i="37"/>
  <c r="H208" i="37"/>
  <c r="H149" i="37"/>
  <c r="H77" i="37"/>
  <c r="H96" i="37"/>
  <c r="H126" i="37"/>
  <c r="H7" i="37"/>
  <c r="H110" i="37"/>
  <c r="H26" i="37"/>
  <c r="H82" i="37"/>
  <c r="H13" i="37"/>
  <c r="H198" i="37"/>
  <c r="H124" i="37"/>
  <c r="H289" i="37"/>
  <c r="H117" i="37"/>
  <c r="H281" i="37"/>
  <c r="H113" i="37"/>
  <c r="H265" i="37"/>
  <c r="G40" i="40"/>
  <c r="E4" i="9"/>
  <c r="E314" i="33"/>
  <c r="L315" i="49"/>
  <c r="H314" i="37"/>
  <c r="H5" i="37"/>
  <c r="F23" i="33" l="1"/>
  <c r="F31" i="33"/>
  <c r="F39" i="33"/>
  <c r="F47" i="33"/>
  <c r="F11" i="33"/>
  <c r="F19" i="33"/>
  <c r="F27" i="33"/>
  <c r="F59" i="33"/>
  <c r="F75" i="33"/>
  <c r="F62" i="33"/>
  <c r="F78" i="33"/>
  <c r="F63" i="33"/>
  <c r="F88" i="33"/>
  <c r="F67" i="33"/>
  <c r="F54" i="33"/>
  <c r="F70" i="33"/>
  <c r="F106" i="33"/>
  <c r="F133" i="33"/>
  <c r="F112" i="33"/>
  <c r="F148" i="33"/>
  <c r="F114" i="33"/>
  <c r="F156" i="33"/>
  <c r="F161" i="33"/>
  <c r="F180" i="33"/>
  <c r="F183" i="33"/>
  <c r="F140" i="33"/>
  <c r="F177" i="33"/>
  <c r="F225" i="33"/>
  <c r="F172" i="33"/>
  <c r="F120" i="33"/>
  <c r="F209" i="33"/>
  <c r="F233" i="33"/>
  <c r="F244" i="33"/>
  <c r="F185" i="33"/>
  <c r="F276" i="33"/>
  <c r="F268" i="33"/>
  <c r="F219" i="33"/>
  <c r="F310" i="33"/>
  <c r="F303" i="33"/>
  <c r="F293" i="33"/>
  <c r="F312" i="33"/>
  <c r="F309" i="33"/>
  <c r="F298" i="33"/>
  <c r="F305" i="33"/>
  <c r="F261" i="33"/>
  <c r="F282" i="33"/>
  <c r="F250" i="33"/>
  <c r="F256" i="33"/>
  <c r="F249" i="33"/>
  <c r="F263" i="33"/>
  <c r="F206" i="33"/>
  <c r="F295" i="33"/>
  <c r="F157" i="33"/>
  <c r="F280" i="33"/>
  <c r="F251" i="33"/>
  <c r="F201" i="33"/>
  <c r="F235" i="33"/>
  <c r="F272" i="33"/>
  <c r="F243" i="33"/>
  <c r="F228" i="33"/>
  <c r="F255" i="33"/>
  <c r="F223" i="33"/>
  <c r="F169" i="33"/>
  <c r="F186" i="33"/>
  <c r="F290" i="33"/>
  <c r="F291" i="33"/>
  <c r="F296" i="33"/>
  <c r="F260" i="33"/>
  <c r="F300" i="33"/>
  <c r="F193" i="33"/>
  <c r="F229" i="33"/>
  <c r="F234" i="33"/>
  <c r="F217" i="33"/>
  <c r="F283" i="33"/>
  <c r="F254" i="33"/>
  <c r="F226" i="33"/>
  <c r="F224" i="33"/>
  <c r="F275" i="33"/>
  <c r="F246" i="33"/>
  <c r="F216" i="33"/>
  <c r="F239" i="33"/>
  <c r="F196" i="33"/>
  <c r="F220" i="33"/>
  <c r="F194" i="33"/>
  <c r="F171" i="33"/>
  <c r="F230" i="33"/>
  <c r="F212" i="33"/>
  <c r="F299" i="33"/>
  <c r="F311" i="33"/>
  <c r="F301" i="33"/>
  <c r="F265" i="33"/>
  <c r="F241" i="33"/>
  <c r="F252" i="33"/>
  <c r="F237" i="33"/>
  <c r="F145" i="33"/>
  <c r="F214" i="33"/>
  <c r="F204" i="33"/>
  <c r="F160" i="33"/>
  <c r="F119" i="33"/>
  <c r="F175" i="33"/>
  <c r="F131" i="33"/>
  <c r="F109" i="33"/>
  <c r="F84" i="33"/>
  <c r="F313" i="33"/>
  <c r="F222" i="33"/>
  <c r="F208" i="33"/>
  <c r="F286" i="33"/>
  <c r="F267" i="33"/>
  <c r="F287" i="33"/>
  <c r="F259" i="33"/>
  <c r="F253" i="33"/>
  <c r="F277" i="33"/>
  <c r="F232" i="33"/>
  <c r="F191" i="33"/>
  <c r="F203" i="33"/>
  <c r="F182" i="33"/>
  <c r="F266" i="33"/>
  <c r="F269" i="33"/>
  <c r="F279" i="33"/>
  <c r="F181" i="33"/>
  <c r="F192" i="33"/>
  <c r="F150" i="33"/>
  <c r="F184" i="33"/>
  <c r="F144" i="33"/>
  <c r="F132" i="33"/>
  <c r="F155" i="33"/>
  <c r="F141" i="33"/>
  <c r="F134" i="33"/>
  <c r="F165" i="33"/>
  <c r="F97" i="33"/>
  <c r="F178" i="33"/>
  <c r="F51" i="33"/>
  <c r="F79" i="33"/>
  <c r="F41" i="33"/>
  <c r="F101" i="33"/>
  <c r="F76" i="33"/>
  <c r="F60" i="33"/>
  <c r="F22" i="33"/>
  <c r="F43" i="33"/>
  <c r="F294" i="33"/>
  <c r="F307" i="33"/>
  <c r="F308" i="33"/>
  <c r="F238" i="33"/>
  <c r="F274" i="33"/>
  <c r="F242" i="33"/>
  <c r="F258" i="33"/>
  <c r="F248" i="33"/>
  <c r="F284" i="33"/>
  <c r="F271" i="33"/>
  <c r="F190" i="33"/>
  <c r="F159" i="33"/>
  <c r="F127" i="33"/>
  <c r="F142" i="33"/>
  <c r="F122" i="33"/>
  <c r="F128" i="33"/>
  <c r="F170" i="33"/>
  <c r="F94" i="33"/>
  <c r="F72" i="33"/>
  <c r="F93" i="33"/>
  <c r="F64" i="33"/>
  <c r="F37" i="33"/>
  <c r="F49" i="33"/>
  <c r="F45" i="33"/>
  <c r="F302" i="33"/>
  <c r="F306" i="33"/>
  <c r="F292" i="33"/>
  <c r="F288" i="33"/>
  <c r="F227" i="33"/>
  <c r="F281" i="33"/>
  <c r="F240" i="33"/>
  <c r="F247" i="33"/>
  <c r="F202" i="33"/>
  <c r="F164" i="33"/>
  <c r="F200" i="33"/>
  <c r="F158" i="33"/>
  <c r="F123" i="33"/>
  <c r="F205" i="33"/>
  <c r="F168" i="33"/>
  <c r="F297" i="33"/>
  <c r="F289" i="33"/>
  <c r="F264" i="33"/>
  <c r="F262" i="33"/>
  <c r="F257" i="33"/>
  <c r="F126" i="33"/>
  <c r="F199" i="33"/>
  <c r="F221" i="33"/>
  <c r="F211" i="33"/>
  <c r="F166" i="33"/>
  <c r="F153" i="33"/>
  <c r="F188" i="33"/>
  <c r="F198" i="33"/>
  <c r="F207" i="33"/>
  <c r="F187" i="33"/>
  <c r="F124" i="33"/>
  <c r="F197" i="33"/>
  <c r="F138" i="33"/>
  <c r="F99" i="33"/>
  <c r="F107" i="33"/>
  <c r="F89" i="33"/>
  <c r="F81" i="33"/>
  <c r="F87" i="33"/>
  <c r="F52" i="33"/>
  <c r="F12" i="33"/>
  <c r="F85" i="33"/>
  <c r="F30" i="33"/>
  <c r="F17" i="33"/>
  <c r="F26" i="33"/>
  <c r="F13" i="33"/>
  <c r="F71" i="33"/>
  <c r="F38" i="33"/>
  <c r="F48" i="33"/>
  <c r="F32" i="33"/>
  <c r="F278" i="33"/>
  <c r="F236" i="33"/>
  <c r="F129" i="33"/>
  <c r="F149" i="33"/>
  <c r="F151" i="33"/>
  <c r="F86" i="33"/>
  <c r="F82" i="33"/>
  <c r="F56" i="33"/>
  <c r="F57" i="33"/>
  <c r="F80" i="33"/>
  <c r="F50" i="33"/>
  <c r="F10" i="33"/>
  <c r="F270" i="33"/>
  <c r="F215" i="33"/>
  <c r="F113" i="33"/>
  <c r="F98" i="33"/>
  <c r="F9" i="33"/>
  <c r="F152" i="33"/>
  <c r="F176" i="33"/>
  <c r="F137" i="33"/>
  <c r="F116" i="33"/>
  <c r="F125" i="33"/>
  <c r="F108" i="33"/>
  <c r="F66" i="33"/>
  <c r="F68" i="33"/>
  <c r="F35" i="33"/>
  <c r="F44" i="33"/>
  <c r="F304" i="33"/>
  <c r="F245" i="33"/>
  <c r="F210" i="33"/>
  <c r="F162" i="33"/>
  <c r="F146" i="33"/>
  <c r="F110" i="33"/>
  <c r="F73" i="33"/>
  <c r="F46" i="33"/>
  <c r="F15" i="33"/>
  <c r="F33" i="33"/>
  <c r="F20" i="33"/>
  <c r="F7" i="33"/>
  <c r="F92" i="33"/>
  <c r="F24" i="33"/>
  <c r="F273" i="33"/>
  <c r="F174" i="33"/>
  <c r="F173" i="33"/>
  <c r="F115" i="33"/>
  <c r="F179" i="33"/>
  <c r="F103" i="33"/>
  <c r="F100" i="33"/>
  <c r="F96" i="33"/>
  <c r="F18" i="33"/>
  <c r="F25" i="33"/>
  <c r="F6" i="33"/>
  <c r="F55" i="33"/>
  <c r="F285" i="33"/>
  <c r="F143" i="33"/>
  <c r="F111" i="33"/>
  <c r="F117" i="33"/>
  <c r="F104" i="33"/>
  <c r="F90" i="33"/>
  <c r="F21" i="33"/>
  <c r="F16" i="33"/>
  <c r="F36" i="33"/>
  <c r="F189" i="33"/>
  <c r="F95" i="33"/>
  <c r="F34" i="33"/>
  <c r="F58" i="33"/>
  <c r="F8" i="33"/>
  <c r="F213" i="33"/>
  <c r="F167" i="33"/>
  <c r="F130" i="33"/>
  <c r="F102" i="33"/>
  <c r="F91" i="33"/>
  <c r="F42" i="33"/>
  <c r="F28" i="33"/>
  <c r="F195" i="33"/>
  <c r="F154" i="33"/>
  <c r="F121" i="33"/>
  <c r="F83" i="33"/>
  <c r="F14" i="33"/>
  <c r="F74" i="33"/>
  <c r="F29" i="33"/>
  <c r="F40" i="33"/>
  <c r="F105" i="33"/>
  <c r="F163" i="33"/>
  <c r="F61" i="33"/>
  <c r="F231" i="33"/>
  <c r="F65" i="33"/>
  <c r="F53" i="33"/>
  <c r="F77" i="33"/>
  <c r="F147" i="33"/>
  <c r="F139" i="33"/>
  <c r="F135" i="33"/>
  <c r="F118" i="33"/>
  <c r="F218" i="33"/>
  <c r="F69" i="33"/>
  <c r="F136" i="33"/>
  <c r="D314" i="37"/>
  <c r="G2" i="33"/>
  <c r="I2" i="33"/>
  <c r="F5" i="33"/>
  <c r="K2" i="33"/>
  <c r="H2" i="33"/>
  <c r="J2" i="33"/>
  <c r="B62" i="40"/>
  <c r="B63" i="40"/>
  <c r="B50" i="40" s="1"/>
  <c r="E30" i="37" l="1"/>
  <c r="F30" i="37" s="1"/>
  <c r="I30" i="37" s="1"/>
  <c r="G41" i="34" s="1"/>
  <c r="H41" i="34" s="1"/>
  <c r="E35" i="37"/>
  <c r="F35" i="37" s="1"/>
  <c r="I35" i="37" s="1"/>
  <c r="G46" i="34" s="1"/>
  <c r="H46" i="34" s="1"/>
  <c r="E18" i="37"/>
  <c r="F18" i="37" s="1"/>
  <c r="I18" i="37" s="1"/>
  <c r="G29" i="34" s="1"/>
  <c r="H29" i="34" s="1"/>
  <c r="E23" i="37"/>
  <c r="F23" i="37" s="1"/>
  <c r="I23" i="37" s="1"/>
  <c r="G34" i="34" s="1"/>
  <c r="H34" i="34" s="1"/>
  <c r="E50" i="37"/>
  <c r="F50" i="37" s="1"/>
  <c r="I50" i="37" s="1"/>
  <c r="G61" i="34" s="1"/>
  <c r="H61" i="34" s="1"/>
  <c r="E55" i="37"/>
  <c r="F55" i="37" s="1"/>
  <c r="I55" i="37" s="1"/>
  <c r="G66" i="34" s="1"/>
  <c r="H66" i="34" s="1"/>
  <c r="E78" i="37"/>
  <c r="F78" i="37" s="1"/>
  <c r="I78" i="37" s="1"/>
  <c r="G89" i="34" s="1"/>
  <c r="H89" i="34" s="1"/>
  <c r="E119" i="37"/>
  <c r="F119" i="37" s="1"/>
  <c r="I119" i="37" s="1"/>
  <c r="G130" i="34" s="1"/>
  <c r="H130" i="34" s="1"/>
  <c r="E120" i="37"/>
  <c r="F120" i="37" s="1"/>
  <c r="I120" i="37" s="1"/>
  <c r="G131" i="34" s="1"/>
  <c r="H131" i="34" s="1"/>
  <c r="E127" i="37"/>
  <c r="F127" i="37" s="1"/>
  <c r="I127" i="37" s="1"/>
  <c r="G138" i="34" s="1"/>
  <c r="H138" i="34" s="1"/>
  <c r="E134" i="37"/>
  <c r="F134" i="37" s="1"/>
  <c r="I134" i="37" s="1"/>
  <c r="G145" i="34" s="1"/>
  <c r="H145" i="34" s="1"/>
  <c r="E159" i="37"/>
  <c r="F159" i="37" s="1"/>
  <c r="I159" i="37" s="1"/>
  <c r="G170" i="34" s="1"/>
  <c r="H170" i="34" s="1"/>
  <c r="E166" i="37"/>
  <c r="F166" i="37" s="1"/>
  <c r="I166" i="37" s="1"/>
  <c r="G177" i="34" s="1"/>
  <c r="H177" i="34" s="1"/>
  <c r="E171" i="37"/>
  <c r="F171" i="37" s="1"/>
  <c r="I171" i="37" s="1"/>
  <c r="G182" i="34" s="1"/>
  <c r="H182" i="34" s="1"/>
  <c r="E189" i="37"/>
  <c r="F189" i="37" s="1"/>
  <c r="I189" i="37" s="1"/>
  <c r="G200" i="34" s="1"/>
  <c r="H200" i="34" s="1"/>
  <c r="E211" i="37"/>
  <c r="F211" i="37" s="1"/>
  <c r="I211" i="37" s="1"/>
  <c r="G222" i="34" s="1"/>
  <c r="H222" i="34" s="1"/>
  <c r="E215" i="37"/>
  <c r="F215" i="37" s="1"/>
  <c r="I215" i="37" s="1"/>
  <c r="G226" i="34" s="1"/>
  <c r="H226" i="34" s="1"/>
  <c r="E220" i="37"/>
  <c r="F220" i="37" s="1"/>
  <c r="I220" i="37" s="1"/>
  <c r="G231" i="34" s="1"/>
  <c r="H231" i="34" s="1"/>
  <c r="E221" i="37"/>
  <c r="F221" i="37" s="1"/>
  <c r="I221" i="37" s="1"/>
  <c r="G232" i="34" s="1"/>
  <c r="H232" i="34" s="1"/>
  <c r="E237" i="37"/>
  <c r="F237" i="37" s="1"/>
  <c r="I237" i="37" s="1"/>
  <c r="G248" i="34" s="1"/>
  <c r="H248" i="34" s="1"/>
  <c r="E26" i="37"/>
  <c r="F26" i="37" s="1"/>
  <c r="I26" i="37" s="1"/>
  <c r="G37" i="34" s="1"/>
  <c r="H37" i="34" s="1"/>
  <c r="E31" i="37"/>
  <c r="F31" i="37" s="1"/>
  <c r="I31" i="37" s="1"/>
  <c r="G42" i="34" s="1"/>
  <c r="H42" i="34" s="1"/>
  <c r="E58" i="37"/>
  <c r="F58" i="37" s="1"/>
  <c r="I58" i="37" s="1"/>
  <c r="G69" i="34" s="1"/>
  <c r="H69" i="34" s="1"/>
  <c r="E63" i="37"/>
  <c r="F63" i="37" s="1"/>
  <c r="I63" i="37" s="1"/>
  <c r="G74" i="34" s="1"/>
  <c r="H74" i="34" s="1"/>
  <c r="E90" i="37"/>
  <c r="F90" i="37" s="1"/>
  <c r="I90" i="37" s="1"/>
  <c r="G101" i="34" s="1"/>
  <c r="H101" i="34" s="1"/>
  <c r="E95" i="37"/>
  <c r="F95" i="37" s="1"/>
  <c r="I95" i="37" s="1"/>
  <c r="G106" i="34" s="1"/>
  <c r="H106" i="34" s="1"/>
  <c r="E106" i="37"/>
  <c r="F106" i="37" s="1"/>
  <c r="I106" i="37" s="1"/>
  <c r="G117" i="34" s="1"/>
  <c r="H117" i="34" s="1"/>
  <c r="E118" i="37"/>
  <c r="F118" i="37" s="1"/>
  <c r="I118" i="37" s="1"/>
  <c r="G129" i="34" s="1"/>
  <c r="H129" i="34" s="1"/>
  <c r="E126" i="37"/>
  <c r="F126" i="37" s="1"/>
  <c r="I126" i="37" s="1"/>
  <c r="G137" i="34" s="1"/>
  <c r="H137" i="34" s="1"/>
  <c r="E151" i="37"/>
  <c r="F151" i="37" s="1"/>
  <c r="I151" i="37" s="1"/>
  <c r="G162" i="34" s="1"/>
  <c r="H162" i="34" s="1"/>
  <c r="E158" i="37"/>
  <c r="F158" i="37" s="1"/>
  <c r="I158" i="37" s="1"/>
  <c r="G169" i="34" s="1"/>
  <c r="H169" i="34" s="1"/>
  <c r="E175" i="37"/>
  <c r="F175" i="37" s="1"/>
  <c r="I175" i="37" s="1"/>
  <c r="G186" i="34" s="1"/>
  <c r="H186" i="34" s="1"/>
  <c r="E184" i="37"/>
  <c r="F184" i="37" s="1"/>
  <c r="I184" i="37" s="1"/>
  <c r="G195" i="34" s="1"/>
  <c r="H195" i="34" s="1"/>
  <c r="E205" i="37"/>
  <c r="F205" i="37" s="1"/>
  <c r="I205" i="37" s="1"/>
  <c r="G216" i="34" s="1"/>
  <c r="H216" i="34" s="1"/>
  <c r="E219" i="37"/>
  <c r="F219" i="37" s="1"/>
  <c r="I219" i="37" s="1"/>
  <c r="G230" i="34" s="1"/>
  <c r="H230" i="34" s="1"/>
  <c r="E224" i="37"/>
  <c r="F224" i="37" s="1"/>
  <c r="I224" i="37" s="1"/>
  <c r="G235" i="34" s="1"/>
  <c r="H235" i="34" s="1"/>
  <c r="E225" i="37"/>
  <c r="F225" i="37" s="1"/>
  <c r="I225" i="37" s="1"/>
  <c r="G236" i="34" s="1"/>
  <c r="H236" i="34" s="1"/>
  <c r="E7" i="37"/>
  <c r="F7" i="37" s="1"/>
  <c r="I7" i="37" s="1"/>
  <c r="G18" i="34" s="1"/>
  <c r="H18" i="34" s="1"/>
  <c r="E34" i="37"/>
  <c r="F34" i="37" s="1"/>
  <c r="I34" i="37" s="1"/>
  <c r="G45" i="34" s="1"/>
  <c r="H45" i="34" s="1"/>
  <c r="E51" i="37"/>
  <c r="F51" i="37" s="1"/>
  <c r="I51" i="37" s="1"/>
  <c r="G62" i="34" s="1"/>
  <c r="H62" i="34" s="1"/>
  <c r="E67" i="37"/>
  <c r="F67" i="37" s="1"/>
  <c r="I67" i="37" s="1"/>
  <c r="G78" i="34" s="1"/>
  <c r="H78" i="34" s="1"/>
  <c r="E75" i="37"/>
  <c r="F75" i="37" s="1"/>
  <c r="I75" i="37" s="1"/>
  <c r="G86" i="34" s="1"/>
  <c r="H86" i="34" s="1"/>
  <c r="E82" i="37"/>
  <c r="F82" i="37" s="1"/>
  <c r="I82" i="37" s="1"/>
  <c r="G93" i="34" s="1"/>
  <c r="H93" i="34" s="1"/>
  <c r="E94" i="37"/>
  <c r="F94" i="37" s="1"/>
  <c r="I94" i="37" s="1"/>
  <c r="G105" i="34" s="1"/>
  <c r="H105" i="34" s="1"/>
  <c r="E123" i="37"/>
  <c r="F123" i="37" s="1"/>
  <c r="I123" i="37" s="1"/>
  <c r="G134" i="34" s="1"/>
  <c r="H134" i="34" s="1"/>
  <c r="E147" i="37"/>
  <c r="F147" i="37" s="1"/>
  <c r="I147" i="37" s="1"/>
  <c r="G158" i="34" s="1"/>
  <c r="H158" i="34" s="1"/>
  <c r="E174" i="37"/>
  <c r="F174" i="37" s="1"/>
  <c r="I174" i="37" s="1"/>
  <c r="G185" i="34" s="1"/>
  <c r="H185" i="34" s="1"/>
  <c r="E197" i="37"/>
  <c r="F197" i="37" s="1"/>
  <c r="I197" i="37" s="1"/>
  <c r="G208" i="34" s="1"/>
  <c r="H208" i="34" s="1"/>
  <c r="E232" i="37"/>
  <c r="F232" i="37" s="1"/>
  <c r="I232" i="37" s="1"/>
  <c r="G243" i="34" s="1"/>
  <c r="H243" i="34" s="1"/>
  <c r="E233" i="37"/>
  <c r="F233" i="37" s="1"/>
  <c r="I233" i="37" s="1"/>
  <c r="G244" i="34" s="1"/>
  <c r="H244" i="34" s="1"/>
  <c r="E241" i="37"/>
  <c r="F241" i="37" s="1"/>
  <c r="I241" i="37" s="1"/>
  <c r="G252" i="34" s="1"/>
  <c r="H252" i="34" s="1"/>
  <c r="E245" i="37"/>
  <c r="F245" i="37" s="1"/>
  <c r="I245" i="37" s="1"/>
  <c r="G256" i="34" s="1"/>
  <c r="H256" i="34" s="1"/>
  <c r="E54" i="37"/>
  <c r="F54" i="37" s="1"/>
  <c r="I54" i="37" s="1"/>
  <c r="G65" i="34" s="1"/>
  <c r="H65" i="34" s="1"/>
  <c r="E71" i="37"/>
  <c r="F71" i="37" s="1"/>
  <c r="I71" i="37" s="1"/>
  <c r="G82" i="34" s="1"/>
  <c r="H82" i="34" s="1"/>
  <c r="E74" i="37"/>
  <c r="F74" i="37" s="1"/>
  <c r="I74" i="37" s="1"/>
  <c r="G85" i="34" s="1"/>
  <c r="H85" i="34" s="1"/>
  <c r="E150" i="37"/>
  <c r="F150" i="37" s="1"/>
  <c r="I150" i="37" s="1"/>
  <c r="G161" i="34" s="1"/>
  <c r="H161" i="34" s="1"/>
  <c r="E167" i="37"/>
  <c r="F167" i="37" s="1"/>
  <c r="I167" i="37" s="1"/>
  <c r="G178" i="34" s="1"/>
  <c r="H178" i="34" s="1"/>
  <c r="E170" i="37"/>
  <c r="F170" i="37" s="1"/>
  <c r="I170" i="37" s="1"/>
  <c r="G181" i="34" s="1"/>
  <c r="H181" i="34" s="1"/>
  <c r="E47" i="37"/>
  <c r="F47" i="37" s="1"/>
  <c r="I47" i="37" s="1"/>
  <c r="G58" i="34" s="1"/>
  <c r="H58" i="34" s="1"/>
  <c r="E66" i="37"/>
  <c r="F66" i="37" s="1"/>
  <c r="I66" i="37" s="1"/>
  <c r="G77" i="34" s="1"/>
  <c r="H77" i="34" s="1"/>
  <c r="E70" i="37"/>
  <c r="F70" i="37" s="1"/>
  <c r="I70" i="37" s="1"/>
  <c r="G81" i="34" s="1"/>
  <c r="H81" i="34" s="1"/>
  <c r="E131" i="37"/>
  <c r="F131" i="37" s="1"/>
  <c r="I131" i="37" s="1"/>
  <c r="G142" i="34" s="1"/>
  <c r="H142" i="34" s="1"/>
  <c r="E155" i="37"/>
  <c r="F155" i="37" s="1"/>
  <c r="I155" i="37" s="1"/>
  <c r="G166" i="34" s="1"/>
  <c r="H166" i="34" s="1"/>
  <c r="E6" i="37"/>
  <c r="F6" i="37" s="1"/>
  <c r="I6" i="37" s="1"/>
  <c r="G17" i="34" s="1"/>
  <c r="H17" i="34" s="1"/>
  <c r="E19" i="37"/>
  <c r="F19" i="37" s="1"/>
  <c r="I19" i="37" s="1"/>
  <c r="G30" i="34" s="1"/>
  <c r="H30" i="34" s="1"/>
  <c r="E22" i="37"/>
  <c r="F22" i="37" s="1"/>
  <c r="I22" i="37" s="1"/>
  <c r="G33" i="34" s="1"/>
  <c r="H33" i="34" s="1"/>
  <c r="E43" i="37"/>
  <c r="F43" i="37" s="1"/>
  <c r="I43" i="37" s="1"/>
  <c r="G54" i="34" s="1"/>
  <c r="H54" i="34" s="1"/>
  <c r="E59" i="37"/>
  <c r="F59" i="37" s="1"/>
  <c r="I59" i="37" s="1"/>
  <c r="G70" i="34" s="1"/>
  <c r="H70" i="34" s="1"/>
  <c r="E108" i="37"/>
  <c r="F108" i="37" s="1"/>
  <c r="I108" i="37" s="1"/>
  <c r="G119" i="34" s="1"/>
  <c r="H119" i="34" s="1"/>
  <c r="E116" i="37"/>
  <c r="F116" i="37" s="1"/>
  <c r="I116" i="37" s="1"/>
  <c r="G127" i="34" s="1"/>
  <c r="H127" i="34" s="1"/>
  <c r="E122" i="37"/>
  <c r="F122" i="37" s="1"/>
  <c r="I122" i="37" s="1"/>
  <c r="G133" i="34" s="1"/>
  <c r="H133" i="34" s="1"/>
  <c r="E143" i="37"/>
  <c r="F143" i="37" s="1"/>
  <c r="I143" i="37" s="1"/>
  <c r="G154" i="34" s="1"/>
  <c r="H154" i="34" s="1"/>
  <c r="E146" i="37"/>
  <c r="F146" i="37" s="1"/>
  <c r="I146" i="37" s="1"/>
  <c r="G157" i="34" s="1"/>
  <c r="H157" i="34" s="1"/>
  <c r="E200" i="37"/>
  <c r="F200" i="37" s="1"/>
  <c r="I200" i="37" s="1"/>
  <c r="G211" i="34" s="1"/>
  <c r="H211" i="34" s="1"/>
  <c r="E27" i="37"/>
  <c r="F27" i="37" s="1"/>
  <c r="I27" i="37" s="1"/>
  <c r="G38" i="34" s="1"/>
  <c r="H38" i="34" s="1"/>
  <c r="E39" i="37"/>
  <c r="F39" i="37" s="1"/>
  <c r="I39" i="37" s="1"/>
  <c r="G50" i="34" s="1"/>
  <c r="H50" i="34" s="1"/>
  <c r="E42" i="37"/>
  <c r="F42" i="37" s="1"/>
  <c r="I42" i="37" s="1"/>
  <c r="G53" i="34" s="1"/>
  <c r="H53" i="34" s="1"/>
  <c r="E46" i="37"/>
  <c r="F46" i="37" s="1"/>
  <c r="I46" i="37" s="1"/>
  <c r="G57" i="34" s="1"/>
  <c r="H57" i="34" s="1"/>
  <c r="E62" i="37"/>
  <c r="F62" i="37" s="1"/>
  <c r="I62" i="37" s="1"/>
  <c r="G73" i="34" s="1"/>
  <c r="H73" i="34" s="1"/>
  <c r="E99" i="37"/>
  <c r="F99" i="37" s="1"/>
  <c r="I99" i="37" s="1"/>
  <c r="G110" i="34" s="1"/>
  <c r="H110" i="34" s="1"/>
  <c r="E100" i="37"/>
  <c r="F100" i="37" s="1"/>
  <c r="I100" i="37" s="1"/>
  <c r="G111" i="34" s="1"/>
  <c r="H111" i="34" s="1"/>
  <c r="E130" i="37"/>
  <c r="F130" i="37" s="1"/>
  <c r="I130" i="37" s="1"/>
  <c r="G141" i="34" s="1"/>
  <c r="H141" i="34" s="1"/>
  <c r="E163" i="37"/>
  <c r="F163" i="37" s="1"/>
  <c r="I163" i="37" s="1"/>
  <c r="G174" i="34" s="1"/>
  <c r="H174" i="34" s="1"/>
  <c r="E176" i="37"/>
  <c r="F176" i="37" s="1"/>
  <c r="I176" i="37" s="1"/>
  <c r="G187" i="34" s="1"/>
  <c r="H187" i="34" s="1"/>
  <c r="E199" i="37"/>
  <c r="F199" i="37" s="1"/>
  <c r="I199" i="37" s="1"/>
  <c r="G210" i="34" s="1"/>
  <c r="H210" i="34" s="1"/>
  <c r="E203" i="37"/>
  <c r="F203" i="37" s="1"/>
  <c r="I203" i="37" s="1"/>
  <c r="G214" i="34" s="1"/>
  <c r="H214" i="34" s="1"/>
  <c r="E207" i="37"/>
  <c r="F207" i="37" s="1"/>
  <c r="I207" i="37" s="1"/>
  <c r="G218" i="34" s="1"/>
  <c r="H218" i="34" s="1"/>
  <c r="E239" i="37"/>
  <c r="F239" i="37" s="1"/>
  <c r="I239" i="37" s="1"/>
  <c r="G250" i="34" s="1"/>
  <c r="H250" i="34" s="1"/>
  <c r="E243" i="37"/>
  <c r="F243" i="37" s="1"/>
  <c r="I243" i="37" s="1"/>
  <c r="G254" i="34" s="1"/>
  <c r="H254" i="34" s="1"/>
  <c r="E15" i="37"/>
  <c r="F15" i="37" s="1"/>
  <c r="I15" i="37" s="1"/>
  <c r="G26" i="34" s="1"/>
  <c r="H26" i="34" s="1"/>
  <c r="E87" i="37"/>
  <c r="F87" i="37" s="1"/>
  <c r="I87" i="37" s="1"/>
  <c r="G98" i="34" s="1"/>
  <c r="H98" i="34" s="1"/>
  <c r="E91" i="37"/>
  <c r="F91" i="37" s="1"/>
  <c r="I91" i="37" s="1"/>
  <c r="G102" i="34" s="1"/>
  <c r="H102" i="34" s="1"/>
  <c r="E98" i="37"/>
  <c r="F98" i="37" s="1"/>
  <c r="I98" i="37" s="1"/>
  <c r="G109" i="34" s="1"/>
  <c r="H109" i="34" s="1"/>
  <c r="E103" i="37"/>
  <c r="F103" i="37" s="1"/>
  <c r="I103" i="37" s="1"/>
  <c r="G114" i="34" s="1"/>
  <c r="H114" i="34" s="1"/>
  <c r="E107" i="37"/>
  <c r="F107" i="37" s="1"/>
  <c r="I107" i="37" s="1"/>
  <c r="G118" i="34" s="1"/>
  <c r="H118" i="34" s="1"/>
  <c r="E111" i="37"/>
  <c r="F111" i="37" s="1"/>
  <c r="I111" i="37" s="1"/>
  <c r="G122" i="34" s="1"/>
  <c r="H122" i="34" s="1"/>
  <c r="E112" i="37"/>
  <c r="F112" i="37" s="1"/>
  <c r="I112" i="37" s="1"/>
  <c r="G123" i="34" s="1"/>
  <c r="H123" i="34" s="1"/>
  <c r="E115" i="37"/>
  <c r="F115" i="37" s="1"/>
  <c r="I115" i="37" s="1"/>
  <c r="G126" i="34" s="1"/>
  <c r="H126" i="34" s="1"/>
  <c r="E139" i="37"/>
  <c r="F139" i="37" s="1"/>
  <c r="I139" i="37" s="1"/>
  <c r="G150" i="34" s="1"/>
  <c r="H150" i="34" s="1"/>
  <c r="E142" i="37"/>
  <c r="F142" i="37" s="1"/>
  <c r="I142" i="37" s="1"/>
  <c r="G153" i="34" s="1"/>
  <c r="H153" i="34" s="1"/>
  <c r="E154" i="37"/>
  <c r="F154" i="37" s="1"/>
  <c r="I154" i="37" s="1"/>
  <c r="G165" i="34" s="1"/>
  <c r="H165" i="34" s="1"/>
  <c r="E179" i="37"/>
  <c r="F179" i="37" s="1"/>
  <c r="I179" i="37" s="1"/>
  <c r="G190" i="34" s="1"/>
  <c r="H190" i="34" s="1"/>
  <c r="E192" i="37"/>
  <c r="F192" i="37" s="1"/>
  <c r="I192" i="37" s="1"/>
  <c r="G203" i="34" s="1"/>
  <c r="H203" i="34" s="1"/>
  <c r="E255" i="37"/>
  <c r="F255" i="37" s="1"/>
  <c r="I255" i="37" s="1"/>
  <c r="G266" i="34" s="1"/>
  <c r="H266" i="34" s="1"/>
  <c r="E303" i="37"/>
  <c r="F303" i="37" s="1"/>
  <c r="I303" i="37" s="1"/>
  <c r="G314" i="34" s="1"/>
  <c r="H314" i="34" s="1"/>
  <c r="E309" i="37"/>
  <c r="F309" i="37" s="1"/>
  <c r="I309" i="37" s="1"/>
  <c r="G320" i="34" s="1"/>
  <c r="H320" i="34" s="1"/>
  <c r="E11" i="37"/>
  <c r="F11" i="37" s="1"/>
  <c r="I11" i="37" s="1"/>
  <c r="G22" i="34" s="1"/>
  <c r="H22" i="34" s="1"/>
  <c r="E38" i="37"/>
  <c r="F38" i="37" s="1"/>
  <c r="I38" i="37" s="1"/>
  <c r="G49" i="34" s="1"/>
  <c r="H49" i="34" s="1"/>
  <c r="E83" i="37"/>
  <c r="F83" i="37" s="1"/>
  <c r="I83" i="37" s="1"/>
  <c r="G94" i="34" s="1"/>
  <c r="H94" i="34" s="1"/>
  <c r="E162" i="37"/>
  <c r="F162" i="37" s="1"/>
  <c r="I162" i="37" s="1"/>
  <c r="G173" i="34" s="1"/>
  <c r="H173" i="34" s="1"/>
  <c r="E10" i="37"/>
  <c r="F10" i="37" s="1"/>
  <c r="I10" i="37" s="1"/>
  <c r="G21" i="34" s="1"/>
  <c r="H21" i="34" s="1"/>
  <c r="E14" i="37"/>
  <c r="F14" i="37" s="1"/>
  <c r="I14" i="37" s="1"/>
  <c r="G25" i="34" s="1"/>
  <c r="H25" i="34" s="1"/>
  <c r="E79" i="37"/>
  <c r="F79" i="37" s="1"/>
  <c r="I79" i="37" s="1"/>
  <c r="G90" i="34" s="1"/>
  <c r="H90" i="34" s="1"/>
  <c r="E86" i="37"/>
  <c r="F86" i="37" s="1"/>
  <c r="I86" i="37" s="1"/>
  <c r="G97" i="34" s="1"/>
  <c r="H97" i="34" s="1"/>
  <c r="E102" i="37"/>
  <c r="F102" i="37" s="1"/>
  <c r="I102" i="37" s="1"/>
  <c r="G113" i="34" s="1"/>
  <c r="H113" i="34" s="1"/>
  <c r="E110" i="37"/>
  <c r="F110" i="37" s="1"/>
  <c r="I110" i="37" s="1"/>
  <c r="G121" i="34" s="1"/>
  <c r="H121" i="34" s="1"/>
  <c r="E114" i="37"/>
  <c r="F114" i="37" s="1"/>
  <c r="I114" i="37" s="1"/>
  <c r="G125" i="34" s="1"/>
  <c r="H125" i="34" s="1"/>
  <c r="E135" i="37"/>
  <c r="F135" i="37" s="1"/>
  <c r="I135" i="37" s="1"/>
  <c r="G146" i="34" s="1"/>
  <c r="H146" i="34" s="1"/>
  <c r="E138" i="37"/>
  <c r="F138" i="37" s="1"/>
  <c r="I138" i="37" s="1"/>
  <c r="G149" i="34" s="1"/>
  <c r="H149" i="34" s="1"/>
  <c r="E181" i="37"/>
  <c r="F181" i="37" s="1"/>
  <c r="I181" i="37" s="1"/>
  <c r="G192" i="34" s="1"/>
  <c r="H192" i="34" s="1"/>
  <c r="E191" i="37"/>
  <c r="F191" i="37" s="1"/>
  <c r="I191" i="37" s="1"/>
  <c r="G202" i="34" s="1"/>
  <c r="H202" i="34" s="1"/>
  <c r="E251" i="37"/>
  <c r="F251" i="37" s="1"/>
  <c r="I251" i="37" s="1"/>
  <c r="G262" i="34" s="1"/>
  <c r="H262" i="34" s="1"/>
  <c r="E263" i="37"/>
  <c r="F263" i="37" s="1"/>
  <c r="I263" i="37" s="1"/>
  <c r="G274" i="34" s="1"/>
  <c r="H274" i="34" s="1"/>
  <c r="E271" i="37"/>
  <c r="F271" i="37" s="1"/>
  <c r="I271" i="37" s="1"/>
  <c r="G282" i="34" s="1"/>
  <c r="H282" i="34" s="1"/>
  <c r="E187" i="37"/>
  <c r="F187" i="37" s="1"/>
  <c r="I187" i="37" s="1"/>
  <c r="G198" i="34" s="1"/>
  <c r="H198" i="34" s="1"/>
  <c r="E216" i="37"/>
  <c r="F216" i="37" s="1"/>
  <c r="I216" i="37" s="1"/>
  <c r="G227" i="34" s="1"/>
  <c r="H227" i="34" s="1"/>
  <c r="E267" i="37"/>
  <c r="F267" i="37" s="1"/>
  <c r="I267" i="37" s="1"/>
  <c r="G278" i="34" s="1"/>
  <c r="H278" i="34" s="1"/>
  <c r="E274" i="37"/>
  <c r="F274" i="37" s="1"/>
  <c r="I274" i="37" s="1"/>
  <c r="G285" i="34" s="1"/>
  <c r="H285" i="34" s="1"/>
  <c r="E285" i="37"/>
  <c r="F285" i="37" s="1"/>
  <c r="I285" i="37" s="1"/>
  <c r="G296" i="34" s="1"/>
  <c r="H296" i="34" s="1"/>
  <c r="E307" i="37"/>
  <c r="F307" i="37" s="1"/>
  <c r="I307" i="37" s="1"/>
  <c r="G318" i="34" s="1"/>
  <c r="H318" i="34" s="1"/>
  <c r="E208" i="37"/>
  <c r="F208" i="37" s="1"/>
  <c r="I208" i="37" s="1"/>
  <c r="G219" i="34" s="1"/>
  <c r="H219" i="34" s="1"/>
  <c r="E256" i="37"/>
  <c r="F256" i="37" s="1"/>
  <c r="I256" i="37" s="1"/>
  <c r="G267" i="34" s="1"/>
  <c r="H267" i="34" s="1"/>
  <c r="E259" i="37"/>
  <c r="F259" i="37" s="1"/>
  <c r="I259" i="37" s="1"/>
  <c r="G270" i="34" s="1"/>
  <c r="H270" i="34" s="1"/>
  <c r="E266" i="37"/>
  <c r="F266" i="37" s="1"/>
  <c r="I266" i="37" s="1"/>
  <c r="G277" i="34" s="1"/>
  <c r="H277" i="34" s="1"/>
  <c r="E281" i="37"/>
  <c r="F281" i="37" s="1"/>
  <c r="I281" i="37" s="1"/>
  <c r="G292" i="34" s="1"/>
  <c r="H292" i="34" s="1"/>
  <c r="E290" i="37"/>
  <c r="F290" i="37" s="1"/>
  <c r="I290" i="37" s="1"/>
  <c r="G301" i="34" s="1"/>
  <c r="H301" i="34" s="1"/>
  <c r="E299" i="37"/>
  <c r="F299" i="37" s="1"/>
  <c r="I299" i="37" s="1"/>
  <c r="G310" i="34" s="1"/>
  <c r="H310" i="34" s="1"/>
  <c r="E306" i="37"/>
  <c r="F306" i="37" s="1"/>
  <c r="I306" i="37" s="1"/>
  <c r="G317" i="34" s="1"/>
  <c r="H317" i="34" s="1"/>
  <c r="E294" i="37"/>
  <c r="F294" i="37" s="1"/>
  <c r="I294" i="37" s="1"/>
  <c r="G305" i="34" s="1"/>
  <c r="H305" i="34" s="1"/>
  <c r="E295" i="37"/>
  <c r="F295" i="37" s="1"/>
  <c r="I295" i="37" s="1"/>
  <c r="G306" i="34" s="1"/>
  <c r="H306" i="34" s="1"/>
  <c r="E310" i="37"/>
  <c r="F310" i="37" s="1"/>
  <c r="I310" i="37" s="1"/>
  <c r="G321" i="34" s="1"/>
  <c r="H321" i="34" s="1"/>
  <c r="E311" i="37"/>
  <c r="F311" i="37" s="1"/>
  <c r="I311" i="37" s="1"/>
  <c r="G322" i="34" s="1"/>
  <c r="H322" i="34" s="1"/>
  <c r="E173" i="37"/>
  <c r="F173" i="37" s="1"/>
  <c r="I173" i="37" s="1"/>
  <c r="G184" i="34" s="1"/>
  <c r="H184" i="34" s="1"/>
  <c r="E223" i="37"/>
  <c r="F223" i="37" s="1"/>
  <c r="I223" i="37" s="1"/>
  <c r="G234" i="34" s="1"/>
  <c r="H234" i="34" s="1"/>
  <c r="E231" i="37"/>
  <c r="F231" i="37" s="1"/>
  <c r="I231" i="37" s="1"/>
  <c r="G242" i="34" s="1"/>
  <c r="H242" i="34" s="1"/>
  <c r="E265" i="37"/>
  <c r="F265" i="37" s="1"/>
  <c r="I265" i="37" s="1"/>
  <c r="G276" i="34" s="1"/>
  <c r="H276" i="34" s="1"/>
  <c r="E273" i="37"/>
  <c r="F273" i="37" s="1"/>
  <c r="I273" i="37" s="1"/>
  <c r="G284" i="34" s="1"/>
  <c r="H284" i="34" s="1"/>
  <c r="E276" i="37"/>
  <c r="F276" i="37" s="1"/>
  <c r="I276" i="37" s="1"/>
  <c r="G287" i="34" s="1"/>
  <c r="H287" i="34" s="1"/>
  <c r="E298" i="37"/>
  <c r="F298" i="37" s="1"/>
  <c r="I298" i="37" s="1"/>
  <c r="G309" i="34" s="1"/>
  <c r="H309" i="34" s="1"/>
  <c r="E195" i="37"/>
  <c r="F195" i="37" s="1"/>
  <c r="I195" i="37" s="1"/>
  <c r="G206" i="34" s="1"/>
  <c r="H206" i="34" s="1"/>
  <c r="E228" i="37"/>
  <c r="F228" i="37" s="1"/>
  <c r="I228" i="37" s="1"/>
  <c r="G239" i="34" s="1"/>
  <c r="H239" i="34" s="1"/>
  <c r="E247" i="37"/>
  <c r="F247" i="37" s="1"/>
  <c r="I247" i="37" s="1"/>
  <c r="G258" i="34" s="1"/>
  <c r="H258" i="34" s="1"/>
  <c r="E289" i="37"/>
  <c r="F289" i="37" s="1"/>
  <c r="I289" i="37" s="1"/>
  <c r="G300" i="34" s="1"/>
  <c r="H300" i="34" s="1"/>
  <c r="E293" i="37"/>
  <c r="F293" i="37" s="1"/>
  <c r="I293" i="37" s="1"/>
  <c r="G304" i="34" s="1"/>
  <c r="H304" i="34" s="1"/>
  <c r="E305" i="37"/>
  <c r="F305" i="37" s="1"/>
  <c r="I305" i="37" s="1"/>
  <c r="G316" i="34" s="1"/>
  <c r="H316" i="34" s="1"/>
  <c r="E183" i="37"/>
  <c r="F183" i="37" s="1"/>
  <c r="I183" i="37" s="1"/>
  <c r="G194" i="34" s="1"/>
  <c r="H194" i="34" s="1"/>
  <c r="E269" i="37"/>
  <c r="F269" i="37" s="1"/>
  <c r="I269" i="37" s="1"/>
  <c r="G280" i="34" s="1"/>
  <c r="H280" i="34" s="1"/>
  <c r="E283" i="37"/>
  <c r="F283" i="37" s="1"/>
  <c r="I283" i="37" s="1"/>
  <c r="G294" i="34" s="1"/>
  <c r="H294" i="34" s="1"/>
  <c r="E297" i="37"/>
  <c r="F297" i="37" s="1"/>
  <c r="I297" i="37" s="1"/>
  <c r="G308" i="34" s="1"/>
  <c r="H308" i="34" s="1"/>
  <c r="E313" i="37"/>
  <c r="F313" i="37" s="1"/>
  <c r="I313" i="37" s="1"/>
  <c r="G324" i="34" s="1"/>
  <c r="H324" i="34" s="1"/>
  <c r="E249" i="37"/>
  <c r="F249" i="37" s="1"/>
  <c r="I249" i="37" s="1"/>
  <c r="G260" i="34" s="1"/>
  <c r="H260" i="34" s="1"/>
  <c r="E268" i="37"/>
  <c r="F268" i="37" s="1"/>
  <c r="I268" i="37" s="1"/>
  <c r="G279" i="34" s="1"/>
  <c r="H279" i="34" s="1"/>
  <c r="E275" i="37"/>
  <c r="F275" i="37" s="1"/>
  <c r="I275" i="37" s="1"/>
  <c r="G286" i="34" s="1"/>
  <c r="H286" i="34" s="1"/>
  <c r="E279" i="37"/>
  <c r="F279" i="37" s="1"/>
  <c r="I279" i="37" s="1"/>
  <c r="G290" i="34" s="1"/>
  <c r="H290" i="34" s="1"/>
  <c r="E301" i="37"/>
  <c r="F301" i="37" s="1"/>
  <c r="I301" i="37" s="1"/>
  <c r="G312" i="34" s="1"/>
  <c r="H312" i="34" s="1"/>
  <c r="E227" i="37"/>
  <c r="F227" i="37" s="1"/>
  <c r="I227" i="37" s="1"/>
  <c r="G238" i="34" s="1"/>
  <c r="H238" i="34" s="1"/>
  <c r="E235" i="37"/>
  <c r="F235" i="37" s="1"/>
  <c r="I235" i="37" s="1"/>
  <c r="G246" i="34" s="1"/>
  <c r="H246" i="34" s="1"/>
  <c r="E260" i="37"/>
  <c r="F260" i="37" s="1"/>
  <c r="I260" i="37" s="1"/>
  <c r="G271" i="34" s="1"/>
  <c r="H271" i="34" s="1"/>
  <c r="E282" i="37"/>
  <c r="F282" i="37" s="1"/>
  <c r="I282" i="37" s="1"/>
  <c r="G293" i="34" s="1"/>
  <c r="H293" i="34" s="1"/>
  <c r="E291" i="37"/>
  <c r="F291" i="37" s="1"/>
  <c r="I291" i="37" s="1"/>
  <c r="G302" i="34" s="1"/>
  <c r="H302" i="34" s="1"/>
  <c r="E133" i="37"/>
  <c r="F133" i="37" s="1"/>
  <c r="I133" i="37" s="1"/>
  <c r="G144" i="34" s="1"/>
  <c r="H144" i="34" s="1"/>
  <c r="E84" i="37"/>
  <c r="F84" i="37" s="1"/>
  <c r="I84" i="37" s="1"/>
  <c r="G95" i="34" s="1"/>
  <c r="H95" i="34" s="1"/>
  <c r="E287" i="37"/>
  <c r="F287" i="37" s="1"/>
  <c r="I287" i="37" s="1"/>
  <c r="G298" i="34" s="1"/>
  <c r="H298" i="34" s="1"/>
  <c r="E80" i="37"/>
  <c r="F80" i="37" s="1"/>
  <c r="I80" i="37" s="1"/>
  <c r="G91" i="34" s="1"/>
  <c r="H91" i="34" s="1"/>
  <c r="E69" i="37"/>
  <c r="F69" i="37" s="1"/>
  <c r="I69" i="37" s="1"/>
  <c r="G80" i="34" s="1"/>
  <c r="H80" i="34" s="1"/>
  <c r="E193" i="37"/>
  <c r="F193" i="37" s="1"/>
  <c r="I193" i="37" s="1"/>
  <c r="G204" i="34" s="1"/>
  <c r="H204" i="34" s="1"/>
  <c r="E161" i="37"/>
  <c r="F161" i="37" s="1"/>
  <c r="I161" i="37" s="1"/>
  <c r="G172" i="34" s="1"/>
  <c r="H172" i="34" s="1"/>
  <c r="E204" i="37"/>
  <c r="F204" i="37" s="1"/>
  <c r="I204" i="37" s="1"/>
  <c r="G215" i="34" s="1"/>
  <c r="H215" i="34" s="1"/>
  <c r="E125" i="37"/>
  <c r="F125" i="37" s="1"/>
  <c r="I125" i="37" s="1"/>
  <c r="G136" i="34" s="1"/>
  <c r="H136" i="34" s="1"/>
  <c r="E57" i="37"/>
  <c r="F57" i="37" s="1"/>
  <c r="I57" i="37" s="1"/>
  <c r="G68" i="34" s="1"/>
  <c r="H68" i="34" s="1"/>
  <c r="E244" i="37"/>
  <c r="F244" i="37" s="1"/>
  <c r="I244" i="37" s="1"/>
  <c r="G255" i="34" s="1"/>
  <c r="H255" i="34" s="1"/>
  <c r="E286" i="37"/>
  <c r="F286" i="37" s="1"/>
  <c r="I286" i="37" s="1"/>
  <c r="G297" i="34" s="1"/>
  <c r="H297" i="34" s="1"/>
  <c r="E145" i="37"/>
  <c r="F145" i="37" s="1"/>
  <c r="I145" i="37" s="1"/>
  <c r="G156" i="34" s="1"/>
  <c r="H156" i="34" s="1"/>
  <c r="E250" i="37"/>
  <c r="F250" i="37" s="1"/>
  <c r="I250" i="37" s="1"/>
  <c r="G261" i="34" s="1"/>
  <c r="H261" i="34" s="1"/>
  <c r="E21" i="37"/>
  <c r="F21" i="37" s="1"/>
  <c r="I21" i="37" s="1"/>
  <c r="G32" i="34" s="1"/>
  <c r="H32" i="34" s="1"/>
  <c r="E230" i="37"/>
  <c r="F230" i="37" s="1"/>
  <c r="I230" i="37" s="1"/>
  <c r="G241" i="34" s="1"/>
  <c r="H241" i="34" s="1"/>
  <c r="E68" i="37"/>
  <c r="F68" i="37" s="1"/>
  <c r="I68" i="37" s="1"/>
  <c r="G79" i="34" s="1"/>
  <c r="H79" i="34" s="1"/>
  <c r="E28" i="37"/>
  <c r="F28" i="37" s="1"/>
  <c r="I28" i="37" s="1"/>
  <c r="G39" i="34" s="1"/>
  <c r="H39" i="34" s="1"/>
  <c r="E164" i="37"/>
  <c r="F164" i="37" s="1"/>
  <c r="I164" i="37" s="1"/>
  <c r="G175" i="34" s="1"/>
  <c r="H175" i="34" s="1"/>
  <c r="E92" i="37"/>
  <c r="F92" i="37" s="1"/>
  <c r="I92" i="37" s="1"/>
  <c r="G103" i="34" s="1"/>
  <c r="H103" i="34" s="1"/>
  <c r="E165" i="37"/>
  <c r="F165" i="37" s="1"/>
  <c r="I165" i="37" s="1"/>
  <c r="G176" i="34" s="1"/>
  <c r="H176" i="34" s="1"/>
  <c r="E202" i="37"/>
  <c r="F202" i="37" s="1"/>
  <c r="I202" i="37" s="1"/>
  <c r="G213" i="34" s="1"/>
  <c r="H213" i="34" s="1"/>
  <c r="E149" i="37"/>
  <c r="F149" i="37" s="1"/>
  <c r="I149" i="37" s="1"/>
  <c r="G160" i="34" s="1"/>
  <c r="H160" i="34" s="1"/>
  <c r="E72" i="37"/>
  <c r="F72" i="37" s="1"/>
  <c r="I72" i="37" s="1"/>
  <c r="G83" i="34" s="1"/>
  <c r="H83" i="34" s="1"/>
  <c r="E137" i="37"/>
  <c r="F137" i="37" s="1"/>
  <c r="I137" i="37" s="1"/>
  <c r="G148" i="34" s="1"/>
  <c r="H148" i="34" s="1"/>
  <c r="E16" i="37"/>
  <c r="F16" i="37" s="1"/>
  <c r="I16" i="37" s="1"/>
  <c r="G27" i="34" s="1"/>
  <c r="H27" i="34" s="1"/>
  <c r="E136" i="37"/>
  <c r="F136" i="37" s="1"/>
  <c r="I136" i="37" s="1"/>
  <c r="G147" i="34" s="1"/>
  <c r="H147" i="34" s="1"/>
  <c r="E226" i="37"/>
  <c r="F226" i="37" s="1"/>
  <c r="I226" i="37" s="1"/>
  <c r="G237" i="34" s="1"/>
  <c r="H237" i="34" s="1"/>
  <c r="E157" i="37"/>
  <c r="F157" i="37" s="1"/>
  <c r="I157" i="37" s="1"/>
  <c r="G168" i="34" s="1"/>
  <c r="H168" i="34" s="1"/>
  <c r="E52" i="37"/>
  <c r="F52" i="37" s="1"/>
  <c r="I52" i="37" s="1"/>
  <c r="G63" i="34" s="1"/>
  <c r="H63" i="34" s="1"/>
  <c r="E76" i="37"/>
  <c r="F76" i="37" s="1"/>
  <c r="I76" i="37" s="1"/>
  <c r="G87" i="34" s="1"/>
  <c r="H87" i="34" s="1"/>
  <c r="E156" i="37"/>
  <c r="F156" i="37" s="1"/>
  <c r="I156" i="37" s="1"/>
  <c r="G167" i="34" s="1"/>
  <c r="H167" i="34" s="1"/>
  <c r="E270" i="37"/>
  <c r="F270" i="37" s="1"/>
  <c r="I270" i="37" s="1"/>
  <c r="G281" i="34" s="1"/>
  <c r="H281" i="34" s="1"/>
  <c r="E258" i="37"/>
  <c r="F258" i="37" s="1"/>
  <c r="I258" i="37" s="1"/>
  <c r="G269" i="34" s="1"/>
  <c r="H269" i="34" s="1"/>
  <c r="E36" i="37"/>
  <c r="F36" i="37" s="1"/>
  <c r="I36" i="37" s="1"/>
  <c r="G47" i="34" s="1"/>
  <c r="H47" i="34" s="1"/>
  <c r="E17" i="37"/>
  <c r="F17" i="37" s="1"/>
  <c r="I17" i="37" s="1"/>
  <c r="G28" i="34" s="1"/>
  <c r="H28" i="34" s="1"/>
  <c r="E48" i="37"/>
  <c r="F48" i="37" s="1"/>
  <c r="I48" i="37" s="1"/>
  <c r="G59" i="34" s="1"/>
  <c r="H59" i="34" s="1"/>
  <c r="E182" i="37"/>
  <c r="F182" i="37" s="1"/>
  <c r="I182" i="37" s="1"/>
  <c r="G193" i="34" s="1"/>
  <c r="H193" i="34" s="1"/>
  <c r="E304" i="37"/>
  <c r="F304" i="37" s="1"/>
  <c r="I304" i="37" s="1"/>
  <c r="G315" i="34" s="1"/>
  <c r="H315" i="34" s="1"/>
  <c r="E41" i="37"/>
  <c r="F41" i="37" s="1"/>
  <c r="I41" i="37" s="1"/>
  <c r="G52" i="34" s="1"/>
  <c r="H52" i="34" s="1"/>
  <c r="E29" i="37"/>
  <c r="F29" i="37" s="1"/>
  <c r="I29" i="37" s="1"/>
  <c r="G40" i="34" s="1"/>
  <c r="H40" i="34" s="1"/>
  <c r="E61" i="37"/>
  <c r="F61" i="37" s="1"/>
  <c r="I61" i="37" s="1"/>
  <c r="G72" i="34" s="1"/>
  <c r="H72" i="34" s="1"/>
  <c r="E212" i="37"/>
  <c r="F212" i="37" s="1"/>
  <c r="I212" i="37" s="1"/>
  <c r="G223" i="34" s="1"/>
  <c r="H223" i="34" s="1"/>
  <c r="E49" i="37"/>
  <c r="F49" i="37" s="1"/>
  <c r="I49" i="37" s="1"/>
  <c r="G60" i="34" s="1"/>
  <c r="H60" i="34" s="1"/>
  <c r="E198" i="37"/>
  <c r="F198" i="37" s="1"/>
  <c r="I198" i="37" s="1"/>
  <c r="G209" i="34" s="1"/>
  <c r="H209" i="34" s="1"/>
  <c r="E252" i="37"/>
  <c r="F252" i="37" s="1"/>
  <c r="I252" i="37" s="1"/>
  <c r="G263" i="34" s="1"/>
  <c r="H263" i="34" s="1"/>
  <c r="E254" i="37"/>
  <c r="F254" i="37" s="1"/>
  <c r="I254" i="37" s="1"/>
  <c r="G265" i="34" s="1"/>
  <c r="H265" i="34" s="1"/>
  <c r="E302" i="37"/>
  <c r="F302" i="37" s="1"/>
  <c r="I302" i="37" s="1"/>
  <c r="G313" i="34" s="1"/>
  <c r="H313" i="34" s="1"/>
  <c r="E121" i="37"/>
  <c r="F121" i="37" s="1"/>
  <c r="I121" i="37" s="1"/>
  <c r="G132" i="34" s="1"/>
  <c r="H132" i="34" s="1"/>
  <c r="E169" i="37"/>
  <c r="F169" i="37" s="1"/>
  <c r="I169" i="37" s="1"/>
  <c r="G180" i="34" s="1"/>
  <c r="H180" i="34" s="1"/>
  <c r="E101" i="37"/>
  <c r="F101" i="37" s="1"/>
  <c r="I101" i="37" s="1"/>
  <c r="G112" i="34" s="1"/>
  <c r="H112" i="34" s="1"/>
  <c r="E186" i="37"/>
  <c r="F186" i="37" s="1"/>
  <c r="I186" i="37" s="1"/>
  <c r="G197" i="34" s="1"/>
  <c r="H197" i="34" s="1"/>
  <c r="E242" i="37"/>
  <c r="F242" i="37" s="1"/>
  <c r="I242" i="37" s="1"/>
  <c r="G253" i="34" s="1"/>
  <c r="H253" i="34" s="1"/>
  <c r="E44" i="37"/>
  <c r="F44" i="37" s="1"/>
  <c r="I44" i="37" s="1"/>
  <c r="G55" i="34" s="1"/>
  <c r="H55" i="34" s="1"/>
  <c r="E32" i="37"/>
  <c r="F32" i="37" s="1"/>
  <c r="I32" i="37" s="1"/>
  <c r="G43" i="34" s="1"/>
  <c r="H43" i="34" s="1"/>
  <c r="E238" i="37"/>
  <c r="F238" i="37" s="1"/>
  <c r="I238" i="37" s="1"/>
  <c r="G249" i="34" s="1"/>
  <c r="H249" i="34" s="1"/>
  <c r="E248" i="37"/>
  <c r="F248" i="37" s="1"/>
  <c r="I248" i="37" s="1"/>
  <c r="G259" i="34" s="1"/>
  <c r="H259" i="34" s="1"/>
  <c r="E140" i="37"/>
  <c r="F140" i="37" s="1"/>
  <c r="I140" i="37" s="1"/>
  <c r="G151" i="34" s="1"/>
  <c r="H151" i="34" s="1"/>
  <c r="E218" i="37"/>
  <c r="F218" i="37" s="1"/>
  <c r="I218" i="37" s="1"/>
  <c r="G229" i="34" s="1"/>
  <c r="H229" i="34" s="1"/>
  <c r="E132" i="37"/>
  <c r="F132" i="37" s="1"/>
  <c r="I132" i="37" s="1"/>
  <c r="G143" i="34" s="1"/>
  <c r="H143" i="34" s="1"/>
  <c r="E213" i="37"/>
  <c r="F213" i="37" s="1"/>
  <c r="I213" i="37" s="1"/>
  <c r="G224" i="34" s="1"/>
  <c r="H224" i="34" s="1"/>
  <c r="E124" i="37"/>
  <c r="F124" i="37" s="1"/>
  <c r="I124" i="37" s="1"/>
  <c r="G135" i="34" s="1"/>
  <c r="H135" i="34" s="1"/>
  <c r="E168" i="37"/>
  <c r="F168" i="37" s="1"/>
  <c r="I168" i="37" s="1"/>
  <c r="G179" i="34" s="1"/>
  <c r="H179" i="34" s="1"/>
  <c r="E73" i="37"/>
  <c r="F73" i="37" s="1"/>
  <c r="I73" i="37" s="1"/>
  <c r="G84" i="34" s="1"/>
  <c r="H84" i="34" s="1"/>
  <c r="E24" i="37"/>
  <c r="F24" i="37" s="1"/>
  <c r="I24" i="37" s="1"/>
  <c r="G35" i="34" s="1"/>
  <c r="H35" i="34" s="1"/>
  <c r="E234" i="37"/>
  <c r="F234" i="37" s="1"/>
  <c r="I234" i="37" s="1"/>
  <c r="G245" i="34" s="1"/>
  <c r="H245" i="34" s="1"/>
  <c r="E20" i="37"/>
  <c r="F20" i="37" s="1"/>
  <c r="I20" i="37" s="1"/>
  <c r="G31" i="34" s="1"/>
  <c r="H31" i="34" s="1"/>
  <c r="E201" i="37"/>
  <c r="F201" i="37" s="1"/>
  <c r="I201" i="37" s="1"/>
  <c r="G212" i="34" s="1"/>
  <c r="H212" i="34" s="1"/>
  <c r="E77" i="37"/>
  <c r="F77" i="37" s="1"/>
  <c r="I77" i="37" s="1"/>
  <c r="G88" i="34" s="1"/>
  <c r="H88" i="34" s="1"/>
  <c r="E141" i="37"/>
  <c r="F141" i="37" s="1"/>
  <c r="I141" i="37" s="1"/>
  <c r="G152" i="34" s="1"/>
  <c r="H152" i="34" s="1"/>
  <c r="E25" i="37"/>
  <c r="F25" i="37" s="1"/>
  <c r="I25" i="37" s="1"/>
  <c r="G36" i="34" s="1"/>
  <c r="H36" i="34" s="1"/>
  <c r="E9" i="37"/>
  <c r="F9" i="37" s="1"/>
  <c r="I9" i="37" s="1"/>
  <c r="G20" i="34" s="1"/>
  <c r="H20" i="34" s="1"/>
  <c r="E210" i="37"/>
  <c r="F210" i="37" s="1"/>
  <c r="I210" i="37" s="1"/>
  <c r="G221" i="34" s="1"/>
  <c r="H221" i="34" s="1"/>
  <c r="E85" i="37"/>
  <c r="F85" i="37" s="1"/>
  <c r="I85" i="37" s="1"/>
  <c r="G96" i="34" s="1"/>
  <c r="H96" i="34" s="1"/>
  <c r="E153" i="37"/>
  <c r="F153" i="37" s="1"/>
  <c r="I153" i="37" s="1"/>
  <c r="G164" i="34" s="1"/>
  <c r="H164" i="34" s="1"/>
  <c r="E81" i="37"/>
  <c r="F81" i="37" s="1"/>
  <c r="I81" i="37" s="1"/>
  <c r="G92" i="34" s="1"/>
  <c r="H92" i="34" s="1"/>
  <c r="E246" i="37"/>
  <c r="F246" i="37" s="1"/>
  <c r="I246" i="37" s="1"/>
  <c r="G257" i="34" s="1"/>
  <c r="H257" i="34" s="1"/>
  <c r="E37" i="37"/>
  <c r="F37" i="37" s="1"/>
  <c r="I37" i="37" s="1"/>
  <c r="G48" i="34" s="1"/>
  <c r="H48" i="34" s="1"/>
  <c r="E240" i="37"/>
  <c r="F240" i="37" s="1"/>
  <c r="I240" i="37" s="1"/>
  <c r="G251" i="34" s="1"/>
  <c r="H251" i="34" s="1"/>
  <c r="E278" i="37"/>
  <c r="F278" i="37" s="1"/>
  <c r="I278" i="37" s="1"/>
  <c r="G289" i="34" s="1"/>
  <c r="H289" i="34" s="1"/>
  <c r="E236" i="37"/>
  <c r="F236" i="37" s="1"/>
  <c r="I236" i="37" s="1"/>
  <c r="G247" i="34" s="1"/>
  <c r="H247" i="34" s="1"/>
  <c r="E8" i="37"/>
  <c r="F8" i="37" s="1"/>
  <c r="I8" i="37" s="1"/>
  <c r="G19" i="34" s="1"/>
  <c r="H19" i="34" s="1"/>
  <c r="E253" i="37"/>
  <c r="F253" i="37" s="1"/>
  <c r="I253" i="37" s="1"/>
  <c r="G264" i="34" s="1"/>
  <c r="H264" i="34" s="1"/>
  <c r="E209" i="37"/>
  <c r="F209" i="37" s="1"/>
  <c r="I209" i="37" s="1"/>
  <c r="G220" i="34" s="1"/>
  <c r="H220" i="34" s="1"/>
  <c r="E128" i="37"/>
  <c r="F128" i="37" s="1"/>
  <c r="I128" i="37" s="1"/>
  <c r="G139" i="34" s="1"/>
  <c r="H139" i="34" s="1"/>
  <c r="E64" i="37"/>
  <c r="F64" i="37" s="1"/>
  <c r="I64" i="37" s="1"/>
  <c r="G75" i="34" s="1"/>
  <c r="H75" i="34" s="1"/>
  <c r="E45" i="37"/>
  <c r="F45" i="37" s="1"/>
  <c r="I45" i="37" s="1"/>
  <c r="G56" i="34" s="1"/>
  <c r="H56" i="34" s="1"/>
  <c r="E152" i="37"/>
  <c r="F152" i="37" s="1"/>
  <c r="I152" i="37" s="1"/>
  <c r="G163" i="34" s="1"/>
  <c r="H163" i="34" s="1"/>
  <c r="E56" i="37"/>
  <c r="F56" i="37" s="1"/>
  <c r="I56" i="37" s="1"/>
  <c r="G67" i="34" s="1"/>
  <c r="H67" i="34" s="1"/>
  <c r="E185" i="37"/>
  <c r="F185" i="37" s="1"/>
  <c r="I185" i="37" s="1"/>
  <c r="G196" i="34" s="1"/>
  <c r="H196" i="34" s="1"/>
  <c r="E177" i="37"/>
  <c r="F177" i="37" s="1"/>
  <c r="I177" i="37" s="1"/>
  <c r="G188" i="34" s="1"/>
  <c r="H188" i="34" s="1"/>
  <c r="E88" i="37"/>
  <c r="F88" i="37" s="1"/>
  <c r="I88" i="37" s="1"/>
  <c r="G99" i="34" s="1"/>
  <c r="H99" i="34" s="1"/>
  <c r="E148" i="37"/>
  <c r="F148" i="37" s="1"/>
  <c r="I148" i="37" s="1"/>
  <c r="G159" i="34" s="1"/>
  <c r="H159" i="34" s="1"/>
  <c r="E214" i="37"/>
  <c r="F214" i="37" s="1"/>
  <c r="I214" i="37" s="1"/>
  <c r="G225" i="34" s="1"/>
  <c r="H225" i="34" s="1"/>
  <c r="E206" i="37"/>
  <c r="F206" i="37" s="1"/>
  <c r="I206" i="37" s="1"/>
  <c r="G217" i="34" s="1"/>
  <c r="H217" i="34" s="1"/>
  <c r="E65" i="37"/>
  <c r="F65" i="37" s="1"/>
  <c r="I65" i="37" s="1"/>
  <c r="G76" i="34" s="1"/>
  <c r="H76" i="34" s="1"/>
  <c r="E53" i="37"/>
  <c r="F53" i="37" s="1"/>
  <c r="I53" i="37" s="1"/>
  <c r="G64" i="34" s="1"/>
  <c r="H64" i="34" s="1"/>
  <c r="E296" i="37"/>
  <c r="F296" i="37" s="1"/>
  <c r="I296" i="37" s="1"/>
  <c r="G307" i="34" s="1"/>
  <c r="H307" i="34" s="1"/>
  <c r="E190" i="37"/>
  <c r="F190" i="37" s="1"/>
  <c r="I190" i="37" s="1"/>
  <c r="G201" i="34" s="1"/>
  <c r="H201" i="34" s="1"/>
  <c r="E194" i="37"/>
  <c r="F194" i="37" s="1"/>
  <c r="I194" i="37" s="1"/>
  <c r="G205" i="34" s="1"/>
  <c r="H205" i="34" s="1"/>
  <c r="E12" i="37"/>
  <c r="F12" i="37" s="1"/>
  <c r="I12" i="37" s="1"/>
  <c r="G23" i="34" s="1"/>
  <c r="H23" i="34" s="1"/>
  <c r="E222" i="37"/>
  <c r="F222" i="37" s="1"/>
  <c r="I222" i="37" s="1"/>
  <c r="G233" i="34" s="1"/>
  <c r="H233" i="34" s="1"/>
  <c r="E312" i="37"/>
  <c r="F312" i="37" s="1"/>
  <c r="I312" i="37" s="1"/>
  <c r="G323" i="34" s="1"/>
  <c r="H323" i="34" s="1"/>
  <c r="E217" i="37"/>
  <c r="F217" i="37" s="1"/>
  <c r="I217" i="37" s="1"/>
  <c r="G228" i="34" s="1"/>
  <c r="H228" i="34" s="1"/>
  <c r="E257" i="37"/>
  <c r="F257" i="37" s="1"/>
  <c r="I257" i="37" s="1"/>
  <c r="G268" i="34" s="1"/>
  <c r="H268" i="34" s="1"/>
  <c r="E288" i="37"/>
  <c r="F288" i="37" s="1"/>
  <c r="I288" i="37" s="1"/>
  <c r="G299" i="34" s="1"/>
  <c r="H299" i="34" s="1"/>
  <c r="E33" i="37"/>
  <c r="F33" i="37" s="1"/>
  <c r="I33" i="37" s="1"/>
  <c r="G44" i="34" s="1"/>
  <c r="H44" i="34" s="1"/>
  <c r="E109" i="37"/>
  <c r="F109" i="37" s="1"/>
  <c r="I109" i="37" s="1"/>
  <c r="G120" i="34" s="1"/>
  <c r="H120" i="34" s="1"/>
  <c r="E60" i="37"/>
  <c r="F60" i="37" s="1"/>
  <c r="I60" i="37" s="1"/>
  <c r="G71" i="34" s="1"/>
  <c r="H71" i="34" s="1"/>
  <c r="E261" i="37"/>
  <c r="F261" i="37" s="1"/>
  <c r="I261" i="37" s="1"/>
  <c r="G272" i="34" s="1"/>
  <c r="H272" i="34" s="1"/>
  <c r="E40" i="37"/>
  <c r="F40" i="37" s="1"/>
  <c r="I40" i="37" s="1"/>
  <c r="G51" i="34" s="1"/>
  <c r="H51" i="34" s="1"/>
  <c r="E13" i="37"/>
  <c r="F13" i="37" s="1"/>
  <c r="I13" i="37" s="1"/>
  <c r="G24" i="34" s="1"/>
  <c r="H24" i="34" s="1"/>
  <c r="E277" i="37"/>
  <c r="F277" i="37" s="1"/>
  <c r="I277" i="37" s="1"/>
  <c r="G288" i="34" s="1"/>
  <c r="H288" i="34" s="1"/>
  <c r="E117" i="37"/>
  <c r="F117" i="37" s="1"/>
  <c r="I117" i="37" s="1"/>
  <c r="G128" i="34" s="1"/>
  <c r="H128" i="34" s="1"/>
  <c r="E144" i="37"/>
  <c r="F144" i="37" s="1"/>
  <c r="I144" i="37" s="1"/>
  <c r="G155" i="34" s="1"/>
  <c r="H155" i="34" s="1"/>
  <c r="E129" i="37"/>
  <c r="F129" i="37" s="1"/>
  <c r="I129" i="37" s="1"/>
  <c r="G140" i="34" s="1"/>
  <c r="H140" i="34" s="1"/>
  <c r="E229" i="37"/>
  <c r="F229" i="37" s="1"/>
  <c r="I229" i="37" s="1"/>
  <c r="G240" i="34" s="1"/>
  <c r="H240" i="34" s="1"/>
  <c r="E160" i="37"/>
  <c r="F160" i="37" s="1"/>
  <c r="I160" i="37" s="1"/>
  <c r="G171" i="34" s="1"/>
  <c r="H171" i="34" s="1"/>
  <c r="E188" i="37"/>
  <c r="F188" i="37" s="1"/>
  <c r="I188" i="37" s="1"/>
  <c r="G199" i="34" s="1"/>
  <c r="H199" i="34" s="1"/>
  <c r="E104" i="37"/>
  <c r="F104" i="37" s="1"/>
  <c r="I104" i="37" s="1"/>
  <c r="G115" i="34" s="1"/>
  <c r="H115" i="34" s="1"/>
  <c r="E300" i="37"/>
  <c r="F300" i="37" s="1"/>
  <c r="I300" i="37" s="1"/>
  <c r="G311" i="34" s="1"/>
  <c r="H311" i="34" s="1"/>
  <c r="E93" i="37"/>
  <c r="F93" i="37" s="1"/>
  <c r="I93" i="37" s="1"/>
  <c r="G104" i="34" s="1"/>
  <c r="H104" i="34" s="1"/>
  <c r="E180" i="37"/>
  <c r="F180" i="37" s="1"/>
  <c r="I180" i="37" s="1"/>
  <c r="G191" i="34" s="1"/>
  <c r="H191" i="34" s="1"/>
  <c r="E89" i="37"/>
  <c r="F89" i="37" s="1"/>
  <c r="I89" i="37" s="1"/>
  <c r="G100" i="34" s="1"/>
  <c r="H100" i="34" s="1"/>
  <c r="E284" i="37"/>
  <c r="F284" i="37" s="1"/>
  <c r="I284" i="37" s="1"/>
  <c r="G295" i="34" s="1"/>
  <c r="H295" i="34" s="1"/>
  <c r="E262" i="37"/>
  <c r="F262" i="37" s="1"/>
  <c r="I262" i="37" s="1"/>
  <c r="G273" i="34" s="1"/>
  <c r="H273" i="34" s="1"/>
  <c r="E308" i="37"/>
  <c r="F308" i="37" s="1"/>
  <c r="I308" i="37" s="1"/>
  <c r="G319" i="34" s="1"/>
  <c r="H319" i="34" s="1"/>
  <c r="E292" i="37"/>
  <c r="F292" i="37" s="1"/>
  <c r="I292" i="37" s="1"/>
  <c r="G303" i="34" s="1"/>
  <c r="H303" i="34" s="1"/>
  <c r="E97" i="37"/>
  <c r="F97" i="37" s="1"/>
  <c r="I97" i="37" s="1"/>
  <c r="G108" i="34" s="1"/>
  <c r="H108" i="34" s="1"/>
  <c r="E105" i="37"/>
  <c r="F105" i="37" s="1"/>
  <c r="I105" i="37" s="1"/>
  <c r="G116" i="34" s="1"/>
  <c r="H116" i="34" s="1"/>
  <c r="E178" i="37"/>
  <c r="F178" i="37" s="1"/>
  <c r="I178" i="37" s="1"/>
  <c r="G189" i="34" s="1"/>
  <c r="H189" i="34" s="1"/>
  <c r="E196" i="37"/>
  <c r="F196" i="37" s="1"/>
  <c r="I196" i="37" s="1"/>
  <c r="G207" i="34" s="1"/>
  <c r="H207" i="34" s="1"/>
  <c r="E172" i="37"/>
  <c r="F172" i="37" s="1"/>
  <c r="I172" i="37" s="1"/>
  <c r="G183" i="34" s="1"/>
  <c r="H183" i="34" s="1"/>
  <c r="E272" i="37"/>
  <c r="F272" i="37" s="1"/>
  <c r="I272" i="37" s="1"/>
  <c r="G283" i="34" s="1"/>
  <c r="H283" i="34" s="1"/>
  <c r="E113" i="37"/>
  <c r="F113" i="37" s="1"/>
  <c r="I113" i="37" s="1"/>
  <c r="G124" i="34" s="1"/>
  <c r="H124" i="34" s="1"/>
  <c r="E264" i="37"/>
  <c r="F264" i="37" s="1"/>
  <c r="I264" i="37" s="1"/>
  <c r="G275" i="34" s="1"/>
  <c r="H275" i="34" s="1"/>
  <c r="E96" i="37"/>
  <c r="F96" i="37" s="1"/>
  <c r="I96" i="37" s="1"/>
  <c r="G107" i="34" s="1"/>
  <c r="H107" i="34" s="1"/>
  <c r="E280" i="37"/>
  <c r="F280" i="37" s="1"/>
  <c r="I280" i="37" s="1"/>
  <c r="G291" i="34" s="1"/>
  <c r="H291" i="34" s="1"/>
  <c r="I11" i="33"/>
  <c r="I19" i="33"/>
  <c r="I27" i="33"/>
  <c r="I24" i="33"/>
  <c r="I32" i="33"/>
  <c r="I48" i="33"/>
  <c r="I39" i="33"/>
  <c r="I47" i="33"/>
  <c r="I59" i="33"/>
  <c r="I75" i="33"/>
  <c r="I60" i="33"/>
  <c r="I76" i="33"/>
  <c r="I63" i="33"/>
  <c r="I64" i="33"/>
  <c r="I67" i="33"/>
  <c r="I79" i="33"/>
  <c r="I88" i="33"/>
  <c r="I133" i="33"/>
  <c r="I104" i="33"/>
  <c r="I183" i="33"/>
  <c r="I162" i="33"/>
  <c r="I119" i="33"/>
  <c r="I165" i="33"/>
  <c r="I170" i="33"/>
  <c r="I173" i="33"/>
  <c r="I202" i="33"/>
  <c r="I233" i="33"/>
  <c r="I112" i="33"/>
  <c r="I222" i="33"/>
  <c r="I225" i="33"/>
  <c r="I154" i="33"/>
  <c r="I230" i="33"/>
  <c r="I178" i="33"/>
  <c r="I261" i="33"/>
  <c r="I292" i="33"/>
  <c r="I300" i="33"/>
  <c r="I308" i="33"/>
  <c r="I269" i="33"/>
  <c r="I220" i="33"/>
  <c r="I234" i="33"/>
  <c r="I253" i="33"/>
  <c r="I290" i="33"/>
  <c r="I295" i="33"/>
  <c r="I293" i="33"/>
  <c r="I307" i="33"/>
  <c r="I273" i="33"/>
  <c r="I288" i="33"/>
  <c r="I294" i="33"/>
  <c r="I278" i="33"/>
  <c r="I208" i="33"/>
  <c r="I196" i="33"/>
  <c r="I223" i="33"/>
  <c r="I214" i="33"/>
  <c r="I184" i="33"/>
  <c r="I143" i="33"/>
  <c r="I197" i="33"/>
  <c r="I148" i="33"/>
  <c r="I129" i="33"/>
  <c r="I299" i="33"/>
  <c r="I297" i="33"/>
  <c r="I237" i="33"/>
  <c r="I311" i="33"/>
  <c r="I270" i="33"/>
  <c r="I268" i="33"/>
  <c r="I239" i="33"/>
  <c r="I274" i="33"/>
  <c r="I257" i="33"/>
  <c r="I252" i="33"/>
  <c r="I281" i="33"/>
  <c r="I224" i="33"/>
  <c r="I216" i="33"/>
  <c r="I203" i="33"/>
  <c r="I209" i="33"/>
  <c r="I158" i="33"/>
  <c r="I212" i="33"/>
  <c r="I303" i="33"/>
  <c r="I312" i="33"/>
  <c r="I313" i="33"/>
  <c r="I309" i="33"/>
  <c r="I247" i="33"/>
  <c r="I287" i="33"/>
  <c r="I256" i="33"/>
  <c r="I260" i="33"/>
  <c r="I249" i="33"/>
  <c r="I228" i="33"/>
  <c r="I219" i="33"/>
  <c r="I153" i="33"/>
  <c r="I206" i="33"/>
  <c r="I149" i="33"/>
  <c r="I291" i="33"/>
  <c r="I264" i="33"/>
  <c r="I266" i="33"/>
  <c r="I232" i="33"/>
  <c r="I272" i="33"/>
  <c r="I166" i="33"/>
  <c r="I200" i="33"/>
  <c r="I138" i="33"/>
  <c r="I187" i="33"/>
  <c r="I145" i="33"/>
  <c r="I132" i="33"/>
  <c r="I123" i="33"/>
  <c r="I168" i="33"/>
  <c r="I164" i="33"/>
  <c r="I117" i="33"/>
  <c r="I277" i="33"/>
  <c r="I304" i="33"/>
  <c r="I305" i="33"/>
  <c r="I282" i="33"/>
  <c r="I265" i="33"/>
  <c r="I262" i="33"/>
  <c r="I310" i="33"/>
  <c r="I242" i="33"/>
  <c r="I284" i="33"/>
  <c r="I251" i="33"/>
  <c r="I191" i="33"/>
  <c r="I301" i="33"/>
  <c r="I186" i="33"/>
  <c r="I302" i="33"/>
  <c r="I258" i="33"/>
  <c r="I243" i="33"/>
  <c r="I141" i="33"/>
  <c r="I306" i="33"/>
  <c r="I245" i="33"/>
  <c r="I250" i="33"/>
  <c r="I229" i="33"/>
  <c r="I271" i="33"/>
  <c r="I217" i="33"/>
  <c r="I241" i="33"/>
  <c r="I263" i="33"/>
  <c r="I221" i="33"/>
  <c r="I227" i="33"/>
  <c r="I193" i="33"/>
  <c r="I205" i="33"/>
  <c r="I137" i="33"/>
  <c r="I160" i="33"/>
  <c r="I131" i="33"/>
  <c r="I111" i="33"/>
  <c r="I100" i="33"/>
  <c r="I101" i="33"/>
  <c r="I83" i="33"/>
  <c r="I73" i="33"/>
  <c r="I57" i="33"/>
  <c r="I34" i="33"/>
  <c r="I25" i="33"/>
  <c r="I30" i="33"/>
  <c r="I66" i="33"/>
  <c r="I38" i="33"/>
  <c r="I286" i="33"/>
  <c r="I289" i="33"/>
  <c r="I296" i="33"/>
  <c r="I259" i="33"/>
  <c r="I199" i="33"/>
  <c r="I283" i="33"/>
  <c r="I235" i="33"/>
  <c r="I185" i="33"/>
  <c r="I207" i="33"/>
  <c r="I189" i="33"/>
  <c r="I176" i="33"/>
  <c r="I167" i="33"/>
  <c r="I113" i="33"/>
  <c r="I179" i="33"/>
  <c r="I151" i="33"/>
  <c r="I180" i="33"/>
  <c r="I91" i="33"/>
  <c r="I120" i="33"/>
  <c r="I96" i="33"/>
  <c r="I18" i="33"/>
  <c r="I14" i="33"/>
  <c r="I21" i="33"/>
  <c r="I95" i="33"/>
  <c r="I42" i="33"/>
  <c r="I33" i="33"/>
  <c r="I62" i="33"/>
  <c r="I55" i="33"/>
  <c r="I20" i="33"/>
  <c r="I80" i="33"/>
  <c r="I29" i="33"/>
  <c r="I9" i="33"/>
  <c r="I36" i="33"/>
  <c r="I23" i="33"/>
  <c r="I35" i="33"/>
  <c r="I285" i="33"/>
  <c r="I267" i="33"/>
  <c r="I182" i="33"/>
  <c r="I276" i="33"/>
  <c r="I248" i="33"/>
  <c r="I194" i="33"/>
  <c r="I275" i="33"/>
  <c r="I188" i="33"/>
  <c r="I213" i="33"/>
  <c r="I192" i="33"/>
  <c r="I174" i="33"/>
  <c r="I146" i="33"/>
  <c r="I140" i="33"/>
  <c r="I116" i="33"/>
  <c r="I161" i="33"/>
  <c r="I175" i="33"/>
  <c r="I298" i="33"/>
  <c r="I279" i="33"/>
  <c r="I210" i="33"/>
  <c r="I254" i="33"/>
  <c r="I226" i="33"/>
  <c r="I240" i="33"/>
  <c r="I236" i="33"/>
  <c r="I150" i="33"/>
  <c r="I215" i="33"/>
  <c r="I204" i="33"/>
  <c r="I144" i="33"/>
  <c r="I155" i="33"/>
  <c r="I128" i="33"/>
  <c r="I97" i="33"/>
  <c r="I124" i="33"/>
  <c r="I82" i="33"/>
  <c r="I85" i="33"/>
  <c r="I72" i="33"/>
  <c r="I107" i="33"/>
  <c r="I41" i="33"/>
  <c r="I54" i="33"/>
  <c r="I46" i="33"/>
  <c r="I87" i="33"/>
  <c r="I28" i="33"/>
  <c r="I7" i="33"/>
  <c r="I40" i="33"/>
  <c r="I177" i="33"/>
  <c r="I127" i="33"/>
  <c r="I121" i="33"/>
  <c r="I114" i="33"/>
  <c r="I106" i="33"/>
  <c r="I102" i="33"/>
  <c r="I98" i="33"/>
  <c r="I26" i="33"/>
  <c r="I13" i="33"/>
  <c r="I45" i="33"/>
  <c r="I280" i="33"/>
  <c r="I171" i="33"/>
  <c r="I195" i="33"/>
  <c r="I169" i="33"/>
  <c r="I86" i="33"/>
  <c r="I94" i="33"/>
  <c r="I74" i="33"/>
  <c r="I50" i="33"/>
  <c r="I71" i="33"/>
  <c r="I44" i="33"/>
  <c r="I246" i="33"/>
  <c r="I201" i="33"/>
  <c r="I181" i="33"/>
  <c r="I156" i="33"/>
  <c r="I56" i="33"/>
  <c r="I81" i="33"/>
  <c r="I12" i="33"/>
  <c r="I17" i="33"/>
  <c r="I6" i="33"/>
  <c r="I238" i="33"/>
  <c r="I190" i="33"/>
  <c r="I159" i="33"/>
  <c r="I99" i="33"/>
  <c r="I89" i="33"/>
  <c r="I10" i="33"/>
  <c r="I78" i="33"/>
  <c r="I68" i="33"/>
  <c r="I22" i="33"/>
  <c r="I16" i="33"/>
  <c r="I43" i="33"/>
  <c r="I157" i="33"/>
  <c r="I152" i="33"/>
  <c r="I172" i="33"/>
  <c r="I142" i="33"/>
  <c r="I125" i="33"/>
  <c r="I108" i="33"/>
  <c r="I110" i="33"/>
  <c r="I126" i="33"/>
  <c r="I90" i="33"/>
  <c r="I49" i="33"/>
  <c r="I130" i="33"/>
  <c r="I109" i="33"/>
  <c r="I103" i="33"/>
  <c r="I122" i="33"/>
  <c r="I92" i="33"/>
  <c r="I84" i="33"/>
  <c r="I52" i="33"/>
  <c r="I8" i="33"/>
  <c r="I244" i="33"/>
  <c r="I211" i="33"/>
  <c r="I198" i="33"/>
  <c r="I255" i="33"/>
  <c r="I115" i="33"/>
  <c r="I58" i="33"/>
  <c r="I70" i="33"/>
  <c r="I37" i="33"/>
  <c r="I31" i="33"/>
  <c r="I134" i="33"/>
  <c r="I93" i="33"/>
  <c r="I51" i="33"/>
  <c r="I15" i="33"/>
  <c r="I218" i="33"/>
  <c r="I135" i="33"/>
  <c r="I65" i="33"/>
  <c r="I53" i="33"/>
  <c r="I105" i="33"/>
  <c r="I61" i="33"/>
  <c r="I136" i="33"/>
  <c r="I118" i="33"/>
  <c r="I163" i="33"/>
  <c r="I77" i="33"/>
  <c r="I139" i="33"/>
  <c r="I69" i="33"/>
  <c r="I231" i="33"/>
  <c r="I147" i="33"/>
  <c r="G54" i="33"/>
  <c r="G70" i="33"/>
  <c r="G62" i="33"/>
  <c r="G78" i="33"/>
  <c r="G66" i="33"/>
  <c r="G85" i="33"/>
  <c r="G93" i="33"/>
  <c r="G106" i="33"/>
  <c r="G101" i="33"/>
  <c r="G172" i="33"/>
  <c r="G148" i="33"/>
  <c r="G122" i="33"/>
  <c r="G175" i="33"/>
  <c r="G107" i="33"/>
  <c r="G124" i="33"/>
  <c r="G159" i="33"/>
  <c r="G196" i="33"/>
  <c r="G219" i="33"/>
  <c r="G109" i="33"/>
  <c r="G167" i="33"/>
  <c r="G140" i="33"/>
  <c r="G233" i="33"/>
  <c r="G292" i="33"/>
  <c r="G300" i="33"/>
  <c r="G308" i="33"/>
  <c r="G255" i="33"/>
  <c r="G222" i="33"/>
  <c r="G279" i="33"/>
  <c r="G263" i="33"/>
  <c r="G239" i="33"/>
  <c r="G271" i="33"/>
  <c r="G287" i="33"/>
  <c r="G247" i="33"/>
  <c r="G286" i="33"/>
  <c r="G289" i="33"/>
  <c r="G313" i="33"/>
  <c r="G265" i="33"/>
  <c r="G229" i="33"/>
  <c r="G217" i="33"/>
  <c r="G242" i="33"/>
  <c r="G277" i="33"/>
  <c r="G248" i="33"/>
  <c r="G230" i="33"/>
  <c r="G266" i="33"/>
  <c r="G232" i="33"/>
  <c r="G269" i="33"/>
  <c r="G240" i="33"/>
  <c r="G211" i="33"/>
  <c r="G187" i="33"/>
  <c r="G176" i="33"/>
  <c r="G312" i="33"/>
  <c r="G309" i="33"/>
  <c r="G298" i="33"/>
  <c r="G261" i="33"/>
  <c r="G282" i="33"/>
  <c r="G250" i="33"/>
  <c r="G256" i="33"/>
  <c r="G204" i="33"/>
  <c r="G260" i="33"/>
  <c r="G249" i="33"/>
  <c r="G153" i="33"/>
  <c r="G206" i="33"/>
  <c r="G290" i="33"/>
  <c r="G304" i="33"/>
  <c r="G305" i="33"/>
  <c r="G264" i="33"/>
  <c r="G285" i="33"/>
  <c r="G259" i="33"/>
  <c r="G302" i="33"/>
  <c r="G166" i="33"/>
  <c r="G191" i="33"/>
  <c r="G183" i="33"/>
  <c r="G192" i="33"/>
  <c r="G270" i="33"/>
  <c r="G212" i="33"/>
  <c r="G273" i="33"/>
  <c r="G251" i="33"/>
  <c r="G245" i="33"/>
  <c r="G278" i="33"/>
  <c r="G223" i="33"/>
  <c r="G195" i="33"/>
  <c r="G186" i="33"/>
  <c r="G201" i="33"/>
  <c r="G215" i="33"/>
  <c r="G152" i="33"/>
  <c r="G143" i="33"/>
  <c r="G162" i="33"/>
  <c r="G129" i="33"/>
  <c r="G164" i="33"/>
  <c r="G115" i="33"/>
  <c r="G169" i="33"/>
  <c r="G121" i="33"/>
  <c r="G134" i="33"/>
  <c r="G125" i="33"/>
  <c r="G108" i="33"/>
  <c r="G299" i="33"/>
  <c r="G295" i="33"/>
  <c r="G311" i="33"/>
  <c r="G296" i="33"/>
  <c r="G301" i="33"/>
  <c r="G188" i="33"/>
  <c r="G241" i="33"/>
  <c r="G224" i="33"/>
  <c r="G243" i="33"/>
  <c r="G237" i="33"/>
  <c r="G221" i="33"/>
  <c r="G283" i="33"/>
  <c r="G310" i="33"/>
  <c r="G208" i="33"/>
  <c r="G185" i="33"/>
  <c r="G293" i="33"/>
  <c r="G267" i="33"/>
  <c r="G253" i="33"/>
  <c r="G294" i="33"/>
  <c r="G220" i="33"/>
  <c r="G275" i="33"/>
  <c r="G228" i="33"/>
  <c r="G180" i="33"/>
  <c r="G203" i="33"/>
  <c r="G151" i="33"/>
  <c r="G213" i="33"/>
  <c r="G174" i="33"/>
  <c r="G210" i="33"/>
  <c r="G149" i="33"/>
  <c r="G173" i="33"/>
  <c r="G146" i="33"/>
  <c r="G161" i="33"/>
  <c r="G86" i="33"/>
  <c r="G170" i="33"/>
  <c r="G92" i="33"/>
  <c r="G120" i="33"/>
  <c r="G68" i="33"/>
  <c r="G24" i="33"/>
  <c r="G57" i="33"/>
  <c r="G50" i="33"/>
  <c r="G182" i="33"/>
  <c r="G276" i="33"/>
  <c r="G268" i="33"/>
  <c r="G236" i="33"/>
  <c r="G254" i="33"/>
  <c r="G226" i="33"/>
  <c r="G214" i="33"/>
  <c r="G209" i="33"/>
  <c r="G150" i="33"/>
  <c r="G184" i="33"/>
  <c r="G144" i="33"/>
  <c r="G132" i="33"/>
  <c r="G205" i="33"/>
  <c r="G155" i="33"/>
  <c r="G141" i="33"/>
  <c r="G116" i="33"/>
  <c r="G165" i="33"/>
  <c r="G114" i="33"/>
  <c r="G128" i="33"/>
  <c r="G97" i="33"/>
  <c r="G87" i="33"/>
  <c r="G71" i="33"/>
  <c r="G55" i="33"/>
  <c r="G51" i="33"/>
  <c r="G41" i="33"/>
  <c r="G23" i="33"/>
  <c r="G76" i="33"/>
  <c r="G60" i="33"/>
  <c r="G22" i="33"/>
  <c r="G19" i="33"/>
  <c r="G36" i="33"/>
  <c r="G297" i="33"/>
  <c r="G307" i="33"/>
  <c r="G238" i="33"/>
  <c r="G234" i="33"/>
  <c r="G274" i="33"/>
  <c r="G258" i="33"/>
  <c r="G246" i="33"/>
  <c r="G190" i="33"/>
  <c r="G177" i="33"/>
  <c r="G197" i="33"/>
  <c r="G133" i="33"/>
  <c r="G127" i="33"/>
  <c r="G142" i="33"/>
  <c r="G291" i="33"/>
  <c r="G306" i="33"/>
  <c r="G288" i="33"/>
  <c r="G244" i="33"/>
  <c r="G157" i="33"/>
  <c r="G252" i="33"/>
  <c r="G280" i="33"/>
  <c r="G281" i="33"/>
  <c r="G235" i="33"/>
  <c r="G95" i="33"/>
  <c r="G202" i="33"/>
  <c r="G200" i="33"/>
  <c r="G158" i="33"/>
  <c r="G145" i="33"/>
  <c r="G123" i="33"/>
  <c r="G189" i="33"/>
  <c r="G168" i="33"/>
  <c r="G117" i="33"/>
  <c r="G102" i="33"/>
  <c r="G110" i="33"/>
  <c r="G98" i="33"/>
  <c r="G90" i="33"/>
  <c r="G79" i="33"/>
  <c r="G74" i="33"/>
  <c r="G58" i="33"/>
  <c r="G16" i="33"/>
  <c r="G303" i="33"/>
  <c r="G199" i="33"/>
  <c r="G171" i="33"/>
  <c r="G207" i="33"/>
  <c r="G154" i="33"/>
  <c r="G94" i="33"/>
  <c r="G72" i="33"/>
  <c r="G83" i="33"/>
  <c r="G34" i="33"/>
  <c r="G12" i="33"/>
  <c r="G14" i="33"/>
  <c r="G17" i="33"/>
  <c r="G73" i="33"/>
  <c r="G29" i="33"/>
  <c r="G35" i="33"/>
  <c r="G262" i="33"/>
  <c r="G272" i="33"/>
  <c r="G89" i="33"/>
  <c r="G82" i="33"/>
  <c r="G67" i="33"/>
  <c r="G10" i="33"/>
  <c r="G84" i="33"/>
  <c r="G113" i="33"/>
  <c r="G99" i="33"/>
  <c r="G48" i="33"/>
  <c r="G8" i="33"/>
  <c r="G63" i="33"/>
  <c r="G9" i="33"/>
  <c r="G44" i="33"/>
  <c r="G15" i="33"/>
  <c r="G137" i="33"/>
  <c r="G181" i="33"/>
  <c r="G103" i="33"/>
  <c r="G112" i="33"/>
  <c r="G81" i="33"/>
  <c r="G32" i="33"/>
  <c r="G30" i="33"/>
  <c r="G49" i="33"/>
  <c r="G27" i="33"/>
  <c r="G7" i="33"/>
  <c r="G216" i="33"/>
  <c r="G227" i="33"/>
  <c r="G119" i="33"/>
  <c r="G178" i="33"/>
  <c r="G52" i="33"/>
  <c r="G88" i="33"/>
  <c r="G46" i="33"/>
  <c r="G33" i="33"/>
  <c r="G20" i="33"/>
  <c r="G257" i="33"/>
  <c r="G225" i="33"/>
  <c r="G156" i="33"/>
  <c r="G193" i="33"/>
  <c r="G179" i="33"/>
  <c r="G126" i="33"/>
  <c r="G100" i="33"/>
  <c r="G96" i="33"/>
  <c r="G18" i="33"/>
  <c r="G25" i="33"/>
  <c r="G37" i="33"/>
  <c r="G47" i="33"/>
  <c r="G31" i="33"/>
  <c r="G6" i="33"/>
  <c r="G38" i="33"/>
  <c r="G28" i="33"/>
  <c r="G131" i="33"/>
  <c r="G111" i="33"/>
  <c r="G91" i="33"/>
  <c r="G80" i="33"/>
  <c r="G42" i="33"/>
  <c r="G45" i="33"/>
  <c r="G284" i="33"/>
  <c r="G198" i="33"/>
  <c r="G160" i="33"/>
  <c r="G138" i="33"/>
  <c r="G104" i="33"/>
  <c r="G56" i="33"/>
  <c r="G39" i="33"/>
  <c r="G64" i="33"/>
  <c r="G21" i="33"/>
  <c r="G40" i="33"/>
  <c r="G26" i="33"/>
  <c r="G75" i="33"/>
  <c r="G59" i="33"/>
  <c r="G13" i="33"/>
  <c r="G43" i="33"/>
  <c r="G11" i="33"/>
  <c r="G194" i="33"/>
  <c r="G130" i="33"/>
  <c r="G231" i="33"/>
  <c r="G135" i="33"/>
  <c r="G65" i="33"/>
  <c r="G105" i="33"/>
  <c r="G163" i="33"/>
  <c r="G69" i="33"/>
  <c r="G53" i="33"/>
  <c r="G218" i="33"/>
  <c r="G118" i="33"/>
  <c r="G147" i="33"/>
  <c r="G61" i="33"/>
  <c r="G77" i="33"/>
  <c r="G139" i="33"/>
  <c r="G136" i="33"/>
  <c r="H60" i="33"/>
  <c r="H76" i="33"/>
  <c r="H79" i="33"/>
  <c r="H88" i="33"/>
  <c r="H85" i="33"/>
  <c r="H93" i="33"/>
  <c r="H101" i="33"/>
  <c r="H109" i="33"/>
  <c r="H133" i="33"/>
  <c r="H104" i="33"/>
  <c r="H126" i="33"/>
  <c r="H162" i="33"/>
  <c r="H128" i="33"/>
  <c r="H134" i="33"/>
  <c r="H138" i="33"/>
  <c r="H170" i="33"/>
  <c r="H130" i="33"/>
  <c r="H154" i="33"/>
  <c r="H178" i="33"/>
  <c r="H222" i="33"/>
  <c r="H239" i="33"/>
  <c r="H247" i="33"/>
  <c r="H263" i="33"/>
  <c r="H271" i="33"/>
  <c r="H279" i="33"/>
  <c r="H225" i="33"/>
  <c r="H183" i="33"/>
  <c r="H233" i="33"/>
  <c r="H292" i="33"/>
  <c r="H300" i="33"/>
  <c r="H308" i="33"/>
  <c r="H282" i="33"/>
  <c r="H223" i="33"/>
  <c r="H242" i="33"/>
  <c r="H274" i="33"/>
  <c r="H191" i="33"/>
  <c r="H250" i="33"/>
  <c r="H299" i="33"/>
  <c r="H297" i="33"/>
  <c r="H295" i="33"/>
  <c r="H306" i="33"/>
  <c r="H301" i="33"/>
  <c r="H270" i="33"/>
  <c r="H268" i="33"/>
  <c r="H253" i="33"/>
  <c r="H257" i="33"/>
  <c r="H252" i="33"/>
  <c r="H310" i="33"/>
  <c r="H281" i="33"/>
  <c r="H224" i="33"/>
  <c r="H207" i="33"/>
  <c r="H228" i="33"/>
  <c r="H216" i="33"/>
  <c r="H230" i="33"/>
  <c r="H203" i="33"/>
  <c r="H209" i="33"/>
  <c r="H158" i="33"/>
  <c r="H212" i="33"/>
  <c r="H289" i="33"/>
  <c r="H313" i="33"/>
  <c r="H288" i="33"/>
  <c r="H182" i="33"/>
  <c r="H265" i="33"/>
  <c r="H229" i="33"/>
  <c r="H302" i="33"/>
  <c r="H277" i="33"/>
  <c r="H248" i="33"/>
  <c r="H269" i="33"/>
  <c r="H240" i="33"/>
  <c r="H211" i="33"/>
  <c r="H220" i="33"/>
  <c r="H312" i="33"/>
  <c r="H266" i="33"/>
  <c r="H276" i="33"/>
  <c r="H244" i="33"/>
  <c r="H157" i="33"/>
  <c r="H159" i="33"/>
  <c r="H280" i="33"/>
  <c r="H251" i="33"/>
  <c r="H235" i="33"/>
  <c r="H272" i="33"/>
  <c r="H243" i="33"/>
  <c r="H290" i="33"/>
  <c r="H304" i="33"/>
  <c r="H298" i="33"/>
  <c r="H305" i="33"/>
  <c r="H285" i="33"/>
  <c r="H262" i="33"/>
  <c r="H284" i="33"/>
  <c r="H199" i="33"/>
  <c r="H196" i="33"/>
  <c r="H171" i="33"/>
  <c r="H236" i="33"/>
  <c r="H198" i="33"/>
  <c r="H172" i="33"/>
  <c r="H137" i="33"/>
  <c r="H181" i="33"/>
  <c r="H116" i="33"/>
  <c r="H99" i="33"/>
  <c r="H273" i="33"/>
  <c r="H294" i="33"/>
  <c r="H245" i="33"/>
  <c r="H249" i="33"/>
  <c r="H278" i="33"/>
  <c r="H214" i="33"/>
  <c r="H217" i="33"/>
  <c r="H241" i="33"/>
  <c r="H237" i="33"/>
  <c r="H219" i="33"/>
  <c r="H221" i="33"/>
  <c r="H286" i="33"/>
  <c r="H309" i="33"/>
  <c r="H296" i="33"/>
  <c r="H261" i="33"/>
  <c r="H259" i="33"/>
  <c r="H283" i="33"/>
  <c r="H208" i="33"/>
  <c r="H185" i="33"/>
  <c r="H153" i="33"/>
  <c r="H194" i="33"/>
  <c r="H176" i="33"/>
  <c r="H205" i="33"/>
  <c r="H112" i="33"/>
  <c r="H151" i="33"/>
  <c r="H113" i="33"/>
  <c r="H179" i="33"/>
  <c r="H180" i="33"/>
  <c r="H91" i="33"/>
  <c r="H96" i="33"/>
  <c r="H18" i="33"/>
  <c r="H67" i="33"/>
  <c r="H19" i="33"/>
  <c r="H46" i="33"/>
  <c r="H21" i="33"/>
  <c r="H42" i="33"/>
  <c r="H33" i="33"/>
  <c r="H78" i="33"/>
  <c r="H20" i="33"/>
  <c r="H29" i="33"/>
  <c r="H9" i="33"/>
  <c r="H28" i="33"/>
  <c r="H39" i="33"/>
  <c r="H15" i="33"/>
  <c r="H40" i="33"/>
  <c r="H293" i="33"/>
  <c r="H267" i="33"/>
  <c r="H215" i="33"/>
  <c r="H260" i="33"/>
  <c r="H275" i="33"/>
  <c r="H255" i="33"/>
  <c r="H175" i="33"/>
  <c r="H188" i="33"/>
  <c r="H213" i="33"/>
  <c r="H192" i="33"/>
  <c r="H174" i="33"/>
  <c r="H210" i="33"/>
  <c r="H197" i="33"/>
  <c r="H149" i="33"/>
  <c r="H173" i="33"/>
  <c r="H140" i="33"/>
  <c r="H161" i="33"/>
  <c r="H86" i="33"/>
  <c r="H92" i="33"/>
  <c r="H68" i="33"/>
  <c r="H11" i="33"/>
  <c r="H95" i="33"/>
  <c r="H254" i="33"/>
  <c r="H226" i="33"/>
  <c r="H206" i="33"/>
  <c r="H150" i="33"/>
  <c r="H204" i="33"/>
  <c r="H184" i="33"/>
  <c r="H189" i="33"/>
  <c r="H144" i="33"/>
  <c r="H155" i="33"/>
  <c r="H141" i="33"/>
  <c r="H119" i="33"/>
  <c r="H303" i="33"/>
  <c r="H311" i="33"/>
  <c r="H307" i="33"/>
  <c r="H238" i="33"/>
  <c r="H146" i="33"/>
  <c r="H234" i="33"/>
  <c r="H246" i="33"/>
  <c r="H190" i="33"/>
  <c r="H177" i="33"/>
  <c r="H129" i="33"/>
  <c r="H127" i="33"/>
  <c r="H142" i="33"/>
  <c r="H121" i="33"/>
  <c r="H156" i="33"/>
  <c r="H94" i="33"/>
  <c r="H50" i="33"/>
  <c r="H37" i="33"/>
  <c r="H63" i="33"/>
  <c r="H49" i="33"/>
  <c r="H87" i="33"/>
  <c r="H45" i="33"/>
  <c r="H31" i="33"/>
  <c r="H24" i="33"/>
  <c r="H202" i="33"/>
  <c r="H195" i="33"/>
  <c r="H169" i="33"/>
  <c r="H131" i="33"/>
  <c r="H111" i="33"/>
  <c r="H74" i="33"/>
  <c r="H66" i="33"/>
  <c r="H32" i="33"/>
  <c r="H166" i="33"/>
  <c r="H201" i="33"/>
  <c r="H145" i="33"/>
  <c r="H165" i="33"/>
  <c r="H114" i="33"/>
  <c r="H80" i="33"/>
  <c r="H56" i="33"/>
  <c r="H83" i="33"/>
  <c r="H55" i="33"/>
  <c r="H34" i="33"/>
  <c r="H12" i="33"/>
  <c r="H14" i="33"/>
  <c r="H35" i="33"/>
  <c r="H17" i="33"/>
  <c r="H47" i="33"/>
  <c r="H7" i="33"/>
  <c r="H16" i="33"/>
  <c r="H291" i="33"/>
  <c r="H264" i="33"/>
  <c r="H256" i="33"/>
  <c r="H168" i="33"/>
  <c r="H107" i="33"/>
  <c r="H89" i="33"/>
  <c r="H72" i="33"/>
  <c r="H54" i="33"/>
  <c r="H10" i="33"/>
  <c r="H73" i="33"/>
  <c r="H62" i="33"/>
  <c r="H27" i="33"/>
  <c r="H8" i="33"/>
  <c r="H186" i="33"/>
  <c r="H152" i="33"/>
  <c r="H110" i="33"/>
  <c r="H125" i="33"/>
  <c r="H108" i="33"/>
  <c r="H64" i="33"/>
  <c r="H52" i="33"/>
  <c r="H90" i="33"/>
  <c r="H43" i="33"/>
  <c r="H287" i="33"/>
  <c r="H227" i="33"/>
  <c r="H148" i="33"/>
  <c r="H103" i="33"/>
  <c r="H81" i="33"/>
  <c r="H71" i="33"/>
  <c r="H30" i="33"/>
  <c r="H59" i="33"/>
  <c r="H44" i="33"/>
  <c r="H258" i="33"/>
  <c r="H200" i="33"/>
  <c r="H115" i="33"/>
  <c r="H97" i="33"/>
  <c r="H82" i="33"/>
  <c r="H124" i="33"/>
  <c r="H58" i="33"/>
  <c r="H41" i="33"/>
  <c r="H75" i="33"/>
  <c r="H36" i="33"/>
  <c r="H123" i="33"/>
  <c r="H160" i="33"/>
  <c r="H106" i="33"/>
  <c r="H70" i="33"/>
  <c r="H23" i="33"/>
  <c r="H232" i="33"/>
  <c r="H193" i="33"/>
  <c r="H143" i="33"/>
  <c r="H164" i="33"/>
  <c r="H117" i="33"/>
  <c r="H100" i="33"/>
  <c r="H120" i="33"/>
  <c r="H122" i="33"/>
  <c r="H51" i="33"/>
  <c r="H25" i="33"/>
  <c r="H84" i="33"/>
  <c r="H6" i="33"/>
  <c r="H38" i="33"/>
  <c r="H22" i="33"/>
  <c r="H48" i="33"/>
  <c r="H187" i="33"/>
  <c r="H132" i="33"/>
  <c r="H167" i="33"/>
  <c r="H102" i="33"/>
  <c r="H98" i="33"/>
  <c r="H57" i="33"/>
  <c r="H26" i="33"/>
  <c r="H13" i="33"/>
  <c r="H136" i="33"/>
  <c r="H118" i="33"/>
  <c r="H105" i="33"/>
  <c r="H218" i="33"/>
  <c r="H231" i="33"/>
  <c r="H69" i="33"/>
  <c r="H135" i="33"/>
  <c r="H163" i="33"/>
  <c r="H65" i="33"/>
  <c r="H147" i="33"/>
  <c r="H61" i="33"/>
  <c r="H53" i="33"/>
  <c r="H77" i="33"/>
  <c r="H139" i="33"/>
  <c r="G5" i="33"/>
  <c r="J11" i="33"/>
  <c r="J19" i="33"/>
  <c r="J27" i="33"/>
  <c r="J35" i="33"/>
  <c r="J43" i="33"/>
  <c r="J15" i="33"/>
  <c r="J23" i="33"/>
  <c r="J31" i="33"/>
  <c r="J39" i="33"/>
  <c r="J47" i="33"/>
  <c r="J67" i="33"/>
  <c r="J88" i="33"/>
  <c r="J59" i="33"/>
  <c r="J75" i="33"/>
  <c r="J62" i="33"/>
  <c r="J78" i="33"/>
  <c r="J63" i="33"/>
  <c r="J66" i="33"/>
  <c r="J133" i="33"/>
  <c r="J176" i="33"/>
  <c r="J108" i="33"/>
  <c r="J183" i="33"/>
  <c r="J110" i="33"/>
  <c r="J102" i="33"/>
  <c r="J168" i="33"/>
  <c r="J173" i="33"/>
  <c r="J205" i="33"/>
  <c r="J220" i="33"/>
  <c r="J223" i="33"/>
  <c r="J233" i="33"/>
  <c r="J189" i="33"/>
  <c r="J149" i="33"/>
  <c r="J144" i="33"/>
  <c r="J197" i="33"/>
  <c r="J264" i="33"/>
  <c r="J221" i="33"/>
  <c r="J272" i="33"/>
  <c r="J292" i="33"/>
  <c r="J300" i="33"/>
  <c r="J308" i="33"/>
  <c r="J288" i="33"/>
  <c r="J287" i="33"/>
  <c r="J256" i="33"/>
  <c r="J285" i="33"/>
  <c r="J290" i="33"/>
  <c r="J240" i="33"/>
  <c r="J296" i="33"/>
  <c r="J267" i="33"/>
  <c r="J238" i="33"/>
  <c r="J182" i="33"/>
  <c r="J310" i="33"/>
  <c r="J262" i="33"/>
  <c r="J284" i="33"/>
  <c r="J241" i="33"/>
  <c r="J222" i="33"/>
  <c r="J191" i="33"/>
  <c r="J200" i="33"/>
  <c r="J188" i="33"/>
  <c r="J198" i="33"/>
  <c r="J255" i="33"/>
  <c r="J195" i="33"/>
  <c r="J174" i="33"/>
  <c r="J207" i="33"/>
  <c r="J165" i="33"/>
  <c r="J116" i="33"/>
  <c r="J210" i="33"/>
  <c r="J286" i="33"/>
  <c r="J280" i="33"/>
  <c r="J301" i="33"/>
  <c r="J307" i="33"/>
  <c r="J273" i="33"/>
  <c r="J302" i="33"/>
  <c r="J217" i="33"/>
  <c r="J278" i="33"/>
  <c r="J208" i="33"/>
  <c r="J196" i="33"/>
  <c r="J194" i="33"/>
  <c r="J247" i="33"/>
  <c r="J214" i="33"/>
  <c r="J299" i="33"/>
  <c r="J297" i="33"/>
  <c r="J303" i="33"/>
  <c r="J306" i="33"/>
  <c r="J289" i="33"/>
  <c r="J311" i="33"/>
  <c r="J265" i="33"/>
  <c r="J258" i="33"/>
  <c r="J199" i="33"/>
  <c r="J245" i="33"/>
  <c r="J237" i="33"/>
  <c r="J211" i="33"/>
  <c r="J244" i="33"/>
  <c r="J294" i="33"/>
  <c r="J253" i="33"/>
  <c r="J157" i="33"/>
  <c r="J257" i="33"/>
  <c r="J277" i="33"/>
  <c r="J224" i="33"/>
  <c r="J246" i="33"/>
  <c r="J216" i="33"/>
  <c r="J190" i="33"/>
  <c r="J177" i="33"/>
  <c r="J180" i="33"/>
  <c r="J130" i="33"/>
  <c r="J146" i="33"/>
  <c r="J142" i="33"/>
  <c r="J156" i="33"/>
  <c r="J291" i="33"/>
  <c r="J270" i="33"/>
  <c r="J261" i="33"/>
  <c r="J266" i="33"/>
  <c r="J232" i="33"/>
  <c r="J269" i="33"/>
  <c r="J166" i="33"/>
  <c r="J293" i="33"/>
  <c r="J248" i="33"/>
  <c r="J304" i="33"/>
  <c r="J313" i="33"/>
  <c r="J305" i="33"/>
  <c r="J282" i="33"/>
  <c r="J242" i="33"/>
  <c r="J251" i="33"/>
  <c r="J249" i="33"/>
  <c r="J312" i="33"/>
  <c r="J274" i="33"/>
  <c r="J226" i="33"/>
  <c r="J243" i="33"/>
  <c r="J219" i="33"/>
  <c r="J215" i="33"/>
  <c r="J263" i="33"/>
  <c r="J201" i="33"/>
  <c r="J152" i="33"/>
  <c r="J115" i="33"/>
  <c r="J169" i="33"/>
  <c r="J127" i="33"/>
  <c r="J125" i="33"/>
  <c r="J106" i="33"/>
  <c r="J103" i="33"/>
  <c r="J122" i="33"/>
  <c r="J98" i="33"/>
  <c r="J90" i="33"/>
  <c r="J10" i="33"/>
  <c r="J101" i="33"/>
  <c r="J70" i="33"/>
  <c r="J309" i="33"/>
  <c r="J250" i="33"/>
  <c r="J229" i="33"/>
  <c r="J228" i="33"/>
  <c r="J202" i="33"/>
  <c r="J153" i="33"/>
  <c r="J212" i="33"/>
  <c r="J203" i="33"/>
  <c r="J160" i="33"/>
  <c r="J239" i="33"/>
  <c r="J227" i="33"/>
  <c r="J193" i="33"/>
  <c r="J137" i="33"/>
  <c r="J138" i="33"/>
  <c r="J131" i="33"/>
  <c r="J117" i="33"/>
  <c r="J111" i="33"/>
  <c r="J120" i="33"/>
  <c r="J100" i="33"/>
  <c r="J83" i="33"/>
  <c r="J68" i="33"/>
  <c r="J34" i="33"/>
  <c r="J30" i="33"/>
  <c r="J17" i="33"/>
  <c r="J38" i="33"/>
  <c r="J36" i="33"/>
  <c r="J32" i="33"/>
  <c r="J8" i="33"/>
  <c r="J298" i="33"/>
  <c r="J268" i="33"/>
  <c r="J259" i="33"/>
  <c r="J213" i="33"/>
  <c r="J283" i="33"/>
  <c r="J260" i="33"/>
  <c r="J235" i="33"/>
  <c r="J185" i="33"/>
  <c r="J209" i="33"/>
  <c r="J230" i="33"/>
  <c r="J143" i="33"/>
  <c r="J162" i="33"/>
  <c r="J167" i="33"/>
  <c r="J113" i="33"/>
  <c r="J179" i="33"/>
  <c r="J151" i="33"/>
  <c r="J276" i="33"/>
  <c r="J275" i="33"/>
  <c r="J206" i="33"/>
  <c r="J192" i="33"/>
  <c r="J184" i="33"/>
  <c r="J181" i="33"/>
  <c r="J140" i="33"/>
  <c r="J170" i="33"/>
  <c r="J161" i="33"/>
  <c r="J119" i="33"/>
  <c r="J175" i="33"/>
  <c r="J114" i="33"/>
  <c r="J109" i="33"/>
  <c r="J86" i="33"/>
  <c r="J56" i="33"/>
  <c r="J126" i="33"/>
  <c r="J92" i="33"/>
  <c r="J25" i="33"/>
  <c r="J87" i="33"/>
  <c r="J6" i="33"/>
  <c r="J50" i="33"/>
  <c r="J48" i="33"/>
  <c r="J187" i="33"/>
  <c r="J123" i="33"/>
  <c r="J91" i="33"/>
  <c r="J55" i="33"/>
  <c r="J42" i="33"/>
  <c r="J85" i="33"/>
  <c r="J54" i="33"/>
  <c r="J295" i="33"/>
  <c r="J158" i="33"/>
  <c r="J129" i="33"/>
  <c r="J155" i="33"/>
  <c r="J121" i="33"/>
  <c r="J134" i="33"/>
  <c r="J72" i="33"/>
  <c r="J46" i="33"/>
  <c r="J76" i="33"/>
  <c r="J33" i="33"/>
  <c r="J26" i="33"/>
  <c r="J13" i="33"/>
  <c r="J45" i="33"/>
  <c r="J29" i="33"/>
  <c r="J16" i="33"/>
  <c r="J254" i="33"/>
  <c r="J236" i="33"/>
  <c r="J171" i="33"/>
  <c r="J279" i="33"/>
  <c r="J186" i="33"/>
  <c r="J145" i="33"/>
  <c r="J112" i="33"/>
  <c r="J96" i="33"/>
  <c r="J94" i="33"/>
  <c r="J73" i="33"/>
  <c r="J49" i="33"/>
  <c r="J80" i="33"/>
  <c r="J79" i="33"/>
  <c r="J28" i="33"/>
  <c r="J234" i="33"/>
  <c r="J271" i="33"/>
  <c r="J178" i="33"/>
  <c r="J128" i="33"/>
  <c r="J41" i="33"/>
  <c r="J12" i="33"/>
  <c r="J84" i="33"/>
  <c r="J71" i="33"/>
  <c r="J7" i="33"/>
  <c r="J281" i="33"/>
  <c r="J204" i="33"/>
  <c r="J141" i="33"/>
  <c r="J159" i="33"/>
  <c r="J99" i="33"/>
  <c r="J89" i="33"/>
  <c r="J104" i="33"/>
  <c r="J124" i="33"/>
  <c r="J95" i="33"/>
  <c r="J58" i="33"/>
  <c r="J22" i="33"/>
  <c r="J40" i="33"/>
  <c r="J225" i="33"/>
  <c r="J148" i="33"/>
  <c r="J172" i="33"/>
  <c r="J132" i="33"/>
  <c r="J81" i="33"/>
  <c r="J52" i="33"/>
  <c r="J20" i="33"/>
  <c r="J44" i="33"/>
  <c r="J252" i="33"/>
  <c r="J164" i="33"/>
  <c r="J64" i="33"/>
  <c r="J93" i="33"/>
  <c r="J9" i="33"/>
  <c r="J150" i="33"/>
  <c r="J154" i="33"/>
  <c r="J97" i="33"/>
  <c r="J82" i="33"/>
  <c r="J18" i="33"/>
  <c r="J14" i="33"/>
  <c r="J74" i="33"/>
  <c r="J60" i="33"/>
  <c r="J51" i="33"/>
  <c r="J107" i="33"/>
  <c r="J57" i="33"/>
  <c r="J37" i="33"/>
  <c r="J21" i="33"/>
  <c r="J24" i="33"/>
  <c r="J147" i="33"/>
  <c r="J69" i="33"/>
  <c r="J65" i="33"/>
  <c r="J139" i="33"/>
  <c r="J231" i="33"/>
  <c r="J118" i="33"/>
  <c r="J53" i="33"/>
  <c r="J105" i="33"/>
  <c r="J136" i="33"/>
  <c r="J61" i="33"/>
  <c r="J163" i="33"/>
  <c r="J218" i="33"/>
  <c r="J77" i="33"/>
  <c r="J135" i="33"/>
  <c r="K66" i="33"/>
  <c r="K62" i="33"/>
  <c r="K78" i="33"/>
  <c r="K176" i="33"/>
  <c r="K111" i="33"/>
  <c r="K125" i="33"/>
  <c r="K183" i="33"/>
  <c r="K113" i="33"/>
  <c r="K133" i="33"/>
  <c r="K180" i="33"/>
  <c r="K208" i="33"/>
  <c r="K267" i="33"/>
  <c r="K288" i="33"/>
  <c r="K275" i="33"/>
  <c r="K312" i="33"/>
  <c r="K286" i="33"/>
  <c r="K291" i="33"/>
  <c r="K157" i="33"/>
  <c r="K280" i="33"/>
  <c r="K254" i="33"/>
  <c r="K235" i="33"/>
  <c r="K272" i="33"/>
  <c r="K246" i="33"/>
  <c r="K185" i="33"/>
  <c r="K155" i="33"/>
  <c r="K171" i="33"/>
  <c r="K247" i="33"/>
  <c r="K186" i="33"/>
  <c r="K201" i="33"/>
  <c r="K204" i="33"/>
  <c r="K290" i="33"/>
  <c r="K304" i="33"/>
  <c r="K292" i="33"/>
  <c r="K264" i="33"/>
  <c r="K238" i="33"/>
  <c r="K285" i="33"/>
  <c r="K262" i="33"/>
  <c r="K284" i="33"/>
  <c r="K241" i="33"/>
  <c r="K232" i="33"/>
  <c r="K205" i="33"/>
  <c r="K222" i="33"/>
  <c r="K168" i="33"/>
  <c r="K191" i="33"/>
  <c r="K188" i="33"/>
  <c r="K239" i="33"/>
  <c r="K198" i="33"/>
  <c r="K195" i="33"/>
  <c r="K299" i="33"/>
  <c r="K297" i="33"/>
  <c r="K293" i="33"/>
  <c r="K270" i="33"/>
  <c r="K182" i="33"/>
  <c r="K310" i="33"/>
  <c r="K268" i="33"/>
  <c r="K274" i="33"/>
  <c r="K257" i="33"/>
  <c r="K252" i="33"/>
  <c r="K281" i="33"/>
  <c r="K192" i="33"/>
  <c r="K202" i="33"/>
  <c r="K221" i="33"/>
  <c r="K203" i="33"/>
  <c r="K233" i="33"/>
  <c r="K209" i="33"/>
  <c r="K158" i="33"/>
  <c r="K213" i="33"/>
  <c r="K295" i="33"/>
  <c r="K259" i="33"/>
  <c r="K234" i="33"/>
  <c r="K225" i="33"/>
  <c r="K211" i="33"/>
  <c r="K197" i="33"/>
  <c r="K215" i="33"/>
  <c r="K150" i="33"/>
  <c r="K154" i="33"/>
  <c r="K127" i="33"/>
  <c r="K97" i="33"/>
  <c r="K120" i="33"/>
  <c r="K244" i="33"/>
  <c r="K287" i="33"/>
  <c r="K253" i="33"/>
  <c r="K217" i="33"/>
  <c r="K277" i="33"/>
  <c r="K216" i="33"/>
  <c r="K196" i="33"/>
  <c r="K243" i="33"/>
  <c r="K309" i="33"/>
  <c r="K296" i="33"/>
  <c r="K261" i="33"/>
  <c r="K273" i="33"/>
  <c r="K265" i="33"/>
  <c r="K229" i="33"/>
  <c r="K266" i="33"/>
  <c r="K224" i="33"/>
  <c r="K278" i="33"/>
  <c r="K269" i="33"/>
  <c r="K166" i="33"/>
  <c r="K300" i="33"/>
  <c r="K313" i="33"/>
  <c r="K305" i="33"/>
  <c r="K302" i="33"/>
  <c r="K282" i="33"/>
  <c r="K242" i="33"/>
  <c r="K258" i="33"/>
  <c r="K248" i="33"/>
  <c r="K249" i="33"/>
  <c r="K223" i="33"/>
  <c r="K148" i="33"/>
  <c r="K172" i="33"/>
  <c r="K159" i="33"/>
  <c r="K121" i="33"/>
  <c r="K144" i="33"/>
  <c r="K114" i="33"/>
  <c r="K108" i="33"/>
  <c r="K89" i="33"/>
  <c r="K178" i="33"/>
  <c r="K72" i="33"/>
  <c r="K51" i="33"/>
  <c r="K95" i="33"/>
  <c r="K64" i="33"/>
  <c r="K101" i="33"/>
  <c r="K49" i="33"/>
  <c r="K26" i="33"/>
  <c r="K13" i="33"/>
  <c r="K39" i="33"/>
  <c r="K23" i="33"/>
  <c r="K35" i="33"/>
  <c r="K11" i="33"/>
  <c r="K308" i="33"/>
  <c r="K306" i="33"/>
  <c r="K294" i="33"/>
  <c r="K240" i="33"/>
  <c r="K219" i="33"/>
  <c r="K279" i="33"/>
  <c r="K152" i="33"/>
  <c r="K115" i="33"/>
  <c r="K169" i="33"/>
  <c r="K106" i="33"/>
  <c r="K103" i="33"/>
  <c r="K98" i="33"/>
  <c r="K170" i="33"/>
  <c r="K90" i="33"/>
  <c r="K67" i="33"/>
  <c r="K87" i="33"/>
  <c r="K10" i="33"/>
  <c r="K8" i="33"/>
  <c r="K303" i="33"/>
  <c r="K289" i="33"/>
  <c r="K283" i="33"/>
  <c r="K250" i="33"/>
  <c r="K200" i="33"/>
  <c r="K199" i="33"/>
  <c r="K228" i="33"/>
  <c r="K153" i="33"/>
  <c r="K271" i="33"/>
  <c r="K207" i="33"/>
  <c r="K227" i="33"/>
  <c r="K193" i="33"/>
  <c r="K137" i="33"/>
  <c r="K251" i="33"/>
  <c r="K256" i="33"/>
  <c r="K245" i="33"/>
  <c r="K260" i="33"/>
  <c r="K236" i="33"/>
  <c r="K263" i="33"/>
  <c r="K230" i="33"/>
  <c r="K212" i="33"/>
  <c r="K174" i="33"/>
  <c r="K143" i="33"/>
  <c r="K162" i="33"/>
  <c r="K167" i="33"/>
  <c r="K160" i="33"/>
  <c r="K130" i="33"/>
  <c r="K181" i="33"/>
  <c r="K116" i="33"/>
  <c r="K151" i="33"/>
  <c r="K112" i="33"/>
  <c r="K104" i="33"/>
  <c r="K71" i="33"/>
  <c r="K55" i="33"/>
  <c r="K18" i="33"/>
  <c r="K14" i="33"/>
  <c r="K21" i="33"/>
  <c r="K42" i="33"/>
  <c r="K75" i="33"/>
  <c r="K29" i="33"/>
  <c r="K15" i="33"/>
  <c r="K27" i="33"/>
  <c r="K307" i="33"/>
  <c r="K184" i="33"/>
  <c r="K189" i="33"/>
  <c r="K164" i="33"/>
  <c r="K165" i="33"/>
  <c r="K110" i="33"/>
  <c r="K58" i="33"/>
  <c r="K37" i="33"/>
  <c r="K76" i="33"/>
  <c r="K9" i="33"/>
  <c r="K7" i="33"/>
  <c r="K48" i="33"/>
  <c r="K16" i="33"/>
  <c r="K19" i="33"/>
  <c r="K187" i="33"/>
  <c r="K177" i="33"/>
  <c r="K123" i="33"/>
  <c r="K140" i="33"/>
  <c r="K131" i="33"/>
  <c r="K99" i="33"/>
  <c r="K107" i="33"/>
  <c r="K128" i="33"/>
  <c r="K68" i="33"/>
  <c r="K54" i="33"/>
  <c r="K36" i="33"/>
  <c r="K31" i="33"/>
  <c r="K210" i="33"/>
  <c r="K129" i="33"/>
  <c r="K146" i="33"/>
  <c r="K134" i="33"/>
  <c r="K86" i="33"/>
  <c r="K126" i="33"/>
  <c r="K102" i="33"/>
  <c r="K50" i="33"/>
  <c r="K34" i="33"/>
  <c r="K46" i="33"/>
  <c r="K30" i="33"/>
  <c r="K33" i="33"/>
  <c r="K20" i="33"/>
  <c r="K45" i="33"/>
  <c r="K237" i="33"/>
  <c r="K206" i="33"/>
  <c r="K255" i="33"/>
  <c r="K145" i="33"/>
  <c r="K173" i="33"/>
  <c r="K119" i="33"/>
  <c r="K156" i="33"/>
  <c r="K124" i="33"/>
  <c r="K96" i="33"/>
  <c r="K94" i="33"/>
  <c r="K52" i="33"/>
  <c r="K25" i="33"/>
  <c r="K63" i="33"/>
  <c r="K6" i="33"/>
  <c r="K40" i="33"/>
  <c r="K43" i="33"/>
  <c r="K220" i="33"/>
  <c r="K190" i="33"/>
  <c r="K41" i="33"/>
  <c r="K44" i="33"/>
  <c r="K79" i="33"/>
  <c r="K93" i="33"/>
  <c r="K70" i="33"/>
  <c r="K38" i="33"/>
  <c r="K47" i="33"/>
  <c r="K32" i="33"/>
  <c r="K311" i="33"/>
  <c r="K214" i="33"/>
  <c r="K179" i="33"/>
  <c r="K142" i="33"/>
  <c r="K161" i="33"/>
  <c r="K138" i="33"/>
  <c r="K91" i="33"/>
  <c r="K84" i="33"/>
  <c r="K28" i="33"/>
  <c r="K74" i="33"/>
  <c r="K57" i="33"/>
  <c r="K85" i="33"/>
  <c r="K60" i="33"/>
  <c r="K59" i="33"/>
  <c r="K22" i="33"/>
  <c r="K100" i="33"/>
  <c r="K56" i="33"/>
  <c r="K88" i="33"/>
  <c r="K73" i="33"/>
  <c r="K80" i="33"/>
  <c r="K298" i="33"/>
  <c r="K276" i="33"/>
  <c r="K194" i="33"/>
  <c r="K132" i="33"/>
  <c r="K141" i="33"/>
  <c r="K175" i="33"/>
  <c r="K109" i="33"/>
  <c r="K122" i="33"/>
  <c r="K92" i="33"/>
  <c r="K83" i="33"/>
  <c r="K81" i="33"/>
  <c r="K24" i="33"/>
  <c r="K301" i="33"/>
  <c r="K226" i="33"/>
  <c r="K149" i="33"/>
  <c r="K117" i="33"/>
  <c r="K82" i="33"/>
  <c r="K12" i="33"/>
  <c r="K17" i="33"/>
  <c r="K135" i="33"/>
  <c r="K147" i="33"/>
  <c r="K218" i="33"/>
  <c r="K139" i="33"/>
  <c r="K69" i="33"/>
  <c r="K231" i="33"/>
  <c r="K118" i="33"/>
  <c r="K61" i="33"/>
  <c r="K105" i="33"/>
  <c r="K136" i="33"/>
  <c r="K163" i="33"/>
  <c r="K65" i="33"/>
  <c r="K53" i="33"/>
  <c r="K77" i="33"/>
  <c r="I5" i="33"/>
  <c r="J5" i="33"/>
  <c r="H5" i="33"/>
  <c r="P5" i="13"/>
  <c r="K5" i="33"/>
  <c r="L136" i="33" l="1"/>
  <c r="M136" i="33" s="1"/>
  <c r="E142" i="9" s="1"/>
  <c r="L69" i="33"/>
  <c r="M69" i="33" s="1"/>
  <c r="E75" i="9" s="1"/>
  <c r="L11" i="33"/>
  <c r="M11" i="33" s="1"/>
  <c r="E17" i="9" s="1"/>
  <c r="L64" i="33"/>
  <c r="M64" i="33" s="1"/>
  <c r="E70" i="9" s="1"/>
  <c r="L45" i="33"/>
  <c r="M45" i="33" s="1"/>
  <c r="E51" i="9" s="1"/>
  <c r="L6" i="33"/>
  <c r="M6" i="33" s="1"/>
  <c r="E12" i="9" s="1"/>
  <c r="L126" i="33"/>
  <c r="M126" i="33" s="1"/>
  <c r="E132" i="9" s="1"/>
  <c r="L46" i="33"/>
  <c r="M46" i="33" s="1"/>
  <c r="E52" i="9" s="1"/>
  <c r="L27" i="33"/>
  <c r="M27" i="33" s="1"/>
  <c r="E33" i="9" s="1"/>
  <c r="L137" i="33"/>
  <c r="M137" i="33" s="1"/>
  <c r="E143" i="9" s="1"/>
  <c r="L113" i="33"/>
  <c r="M113" i="33" s="1"/>
  <c r="E119" i="9" s="1"/>
  <c r="L35" i="33"/>
  <c r="M35" i="33" s="1"/>
  <c r="E41" i="9" s="1"/>
  <c r="L72" i="33"/>
  <c r="M72" i="33" s="1"/>
  <c r="E78" i="9" s="1"/>
  <c r="L58" i="33"/>
  <c r="M58" i="33" s="1"/>
  <c r="E64" i="9" s="1"/>
  <c r="L168" i="33"/>
  <c r="M168" i="33" s="1"/>
  <c r="E174" i="9" s="1"/>
  <c r="L235" i="33"/>
  <c r="M235" i="33" s="1"/>
  <c r="E241" i="9" s="1"/>
  <c r="L291" i="33"/>
  <c r="M291" i="33" s="1"/>
  <c r="E297" i="9" s="1"/>
  <c r="L258" i="33"/>
  <c r="M258" i="33" s="1"/>
  <c r="E264" i="9" s="1"/>
  <c r="L22" i="33"/>
  <c r="M22" i="33" s="1"/>
  <c r="E28" i="9" s="1"/>
  <c r="L87" i="33"/>
  <c r="M87" i="33" s="1"/>
  <c r="E93" i="9" s="1"/>
  <c r="L205" i="33"/>
  <c r="M205" i="33" s="1"/>
  <c r="E211" i="9" s="1"/>
  <c r="L254" i="33"/>
  <c r="M254" i="33" s="1"/>
  <c r="E260" i="9" s="1"/>
  <c r="L68" i="33"/>
  <c r="M68" i="33" s="1"/>
  <c r="E74" i="9" s="1"/>
  <c r="L149" i="33"/>
  <c r="M149" i="33" s="1"/>
  <c r="E155" i="9" s="1"/>
  <c r="L275" i="33"/>
  <c r="M275" i="33" s="1"/>
  <c r="E281" i="9" s="1"/>
  <c r="L310" i="33"/>
  <c r="M310" i="33" s="1"/>
  <c r="E316" i="9" s="1"/>
  <c r="L301" i="33"/>
  <c r="M301" i="33" s="1"/>
  <c r="E307" i="9" s="1"/>
  <c r="L121" i="33"/>
  <c r="M121" i="33" s="1"/>
  <c r="E127" i="9" s="1"/>
  <c r="L215" i="33"/>
  <c r="M215" i="33" s="1"/>
  <c r="E221" i="9" s="1"/>
  <c r="L273" i="33"/>
  <c r="M273" i="33" s="1"/>
  <c r="E279" i="9" s="1"/>
  <c r="L259" i="33"/>
  <c r="M259" i="33" s="1"/>
  <c r="E265" i="9" s="1"/>
  <c r="L249" i="33"/>
  <c r="M249" i="33" s="1"/>
  <c r="E255" i="9" s="1"/>
  <c r="L309" i="33"/>
  <c r="M309" i="33" s="1"/>
  <c r="E315" i="9" s="1"/>
  <c r="L266" i="33"/>
  <c r="M266" i="33" s="1"/>
  <c r="E272" i="9" s="1"/>
  <c r="L313" i="33"/>
  <c r="M313" i="33" s="1"/>
  <c r="E319" i="9" s="1"/>
  <c r="L279" i="33"/>
  <c r="M279" i="33" s="1"/>
  <c r="E285" i="9" s="1"/>
  <c r="L167" i="33"/>
  <c r="M167" i="33" s="1"/>
  <c r="E173" i="9" s="1"/>
  <c r="L122" i="33"/>
  <c r="M122" i="33" s="1"/>
  <c r="E128" i="9" s="1"/>
  <c r="L78" i="33"/>
  <c r="M78" i="33" s="1"/>
  <c r="E84" i="9" s="1"/>
  <c r="L139" i="33"/>
  <c r="M139" i="33" s="1"/>
  <c r="E145" i="9" s="1"/>
  <c r="L163" i="33"/>
  <c r="M163" i="33" s="1"/>
  <c r="E169" i="9" s="1"/>
  <c r="L43" i="33"/>
  <c r="M43" i="33" s="1"/>
  <c r="E49" i="9" s="1"/>
  <c r="L39" i="33"/>
  <c r="M39" i="33" s="1"/>
  <c r="E45" i="9" s="1"/>
  <c r="L42" i="33"/>
  <c r="M42" i="33" s="1"/>
  <c r="E48" i="9" s="1"/>
  <c r="L31" i="33"/>
  <c r="M31" i="33" s="1"/>
  <c r="E37" i="9" s="1"/>
  <c r="L179" i="33"/>
  <c r="M179" i="33" s="1"/>
  <c r="E185" i="9" s="1"/>
  <c r="L88" i="33"/>
  <c r="M88" i="33" s="1"/>
  <c r="E94" i="9" s="1"/>
  <c r="L49" i="33"/>
  <c r="M49" i="33" s="1"/>
  <c r="E55" i="9" s="1"/>
  <c r="L15" i="33"/>
  <c r="M15" i="33" s="1"/>
  <c r="E21" i="9" s="1"/>
  <c r="L84" i="33"/>
  <c r="M84" i="33" s="1"/>
  <c r="E90" i="9" s="1"/>
  <c r="L29" i="33"/>
  <c r="M29" i="33" s="1"/>
  <c r="E35" i="9" s="1"/>
  <c r="L94" i="33"/>
  <c r="M94" i="33" s="1"/>
  <c r="E100" i="9" s="1"/>
  <c r="L74" i="33"/>
  <c r="M74" i="33" s="1"/>
  <c r="E80" i="9" s="1"/>
  <c r="L189" i="33"/>
  <c r="M189" i="33" s="1"/>
  <c r="E195" i="9" s="1"/>
  <c r="L281" i="33"/>
  <c r="M281" i="33" s="1"/>
  <c r="E287" i="9" s="1"/>
  <c r="L142" i="33"/>
  <c r="M142" i="33" s="1"/>
  <c r="E148" i="9" s="1"/>
  <c r="L274" i="33"/>
  <c r="M274" i="33" s="1"/>
  <c r="E280" i="9" s="1"/>
  <c r="L60" i="33"/>
  <c r="M60" i="33" s="1"/>
  <c r="E66" i="9" s="1"/>
  <c r="L97" i="33"/>
  <c r="M97" i="33" s="1"/>
  <c r="E103" i="9" s="1"/>
  <c r="L132" i="33"/>
  <c r="M132" i="33" s="1"/>
  <c r="E138" i="9" s="1"/>
  <c r="L236" i="33"/>
  <c r="M236" i="33" s="1"/>
  <c r="E242" i="9" s="1"/>
  <c r="L120" i="33"/>
  <c r="M120" i="33" s="1"/>
  <c r="E126" i="9" s="1"/>
  <c r="L210" i="33"/>
  <c r="M210" i="33" s="1"/>
  <c r="E216" i="9" s="1"/>
  <c r="L220" i="33"/>
  <c r="M220" i="33" s="1"/>
  <c r="E226" i="9" s="1"/>
  <c r="L283" i="33"/>
  <c r="M283" i="33" s="1"/>
  <c r="E289" i="9" s="1"/>
  <c r="L296" i="33"/>
  <c r="M296" i="33" s="1"/>
  <c r="E302" i="9" s="1"/>
  <c r="L169" i="33"/>
  <c r="M169" i="33" s="1"/>
  <c r="E175" i="9" s="1"/>
  <c r="L201" i="33"/>
  <c r="M201" i="33" s="1"/>
  <c r="E207" i="9" s="1"/>
  <c r="L212" i="33"/>
  <c r="M212" i="33" s="1"/>
  <c r="E218" i="9" s="1"/>
  <c r="L285" i="33"/>
  <c r="M285" i="33" s="1"/>
  <c r="E291" i="9" s="1"/>
  <c r="L260" i="33"/>
  <c r="M260" i="33" s="1"/>
  <c r="E266" i="9" s="1"/>
  <c r="L312" i="33"/>
  <c r="M312" i="33" s="1"/>
  <c r="E318" i="9" s="1"/>
  <c r="L230" i="33"/>
  <c r="M230" i="33" s="1"/>
  <c r="E236" i="9" s="1"/>
  <c r="L289" i="33"/>
  <c r="M289" i="33" s="1"/>
  <c r="E295" i="9" s="1"/>
  <c r="L222" i="33"/>
  <c r="M222" i="33" s="1"/>
  <c r="E228" i="9" s="1"/>
  <c r="L109" i="33"/>
  <c r="M109" i="33" s="1"/>
  <c r="E115" i="9" s="1"/>
  <c r="L148" i="33"/>
  <c r="M148" i="33" s="1"/>
  <c r="E154" i="9" s="1"/>
  <c r="L62" i="33"/>
  <c r="M62" i="33" s="1"/>
  <c r="E68" i="9" s="1"/>
  <c r="L77" i="33"/>
  <c r="M77" i="33" s="1"/>
  <c r="E83" i="9" s="1"/>
  <c r="L105" i="33"/>
  <c r="M105" i="33" s="1"/>
  <c r="E111" i="9" s="1"/>
  <c r="L13" i="33"/>
  <c r="M13" i="33" s="1"/>
  <c r="E19" i="9" s="1"/>
  <c r="L56" i="33"/>
  <c r="M56" i="33" s="1"/>
  <c r="E62" i="9" s="1"/>
  <c r="L80" i="33"/>
  <c r="M80" i="33" s="1"/>
  <c r="E86" i="9" s="1"/>
  <c r="L47" i="33"/>
  <c r="M47" i="33" s="1"/>
  <c r="E53" i="9" s="1"/>
  <c r="L193" i="33"/>
  <c r="M193" i="33" s="1"/>
  <c r="E199" i="9" s="1"/>
  <c r="L52" i="33"/>
  <c r="M52" i="33" s="1"/>
  <c r="E58" i="9" s="1"/>
  <c r="L30" i="33"/>
  <c r="M30" i="33" s="1"/>
  <c r="E36" i="9" s="1"/>
  <c r="L44" i="33"/>
  <c r="M44" i="33" s="1"/>
  <c r="E50" i="9" s="1"/>
  <c r="L10" i="33"/>
  <c r="M10" i="33" s="1"/>
  <c r="E16" i="9" s="1"/>
  <c r="L73" i="33"/>
  <c r="M73" i="33" s="1"/>
  <c r="E79" i="9" s="1"/>
  <c r="L154" i="33"/>
  <c r="M154" i="33" s="1"/>
  <c r="E160" i="9" s="1"/>
  <c r="L79" i="33"/>
  <c r="M79" i="33" s="1"/>
  <c r="E85" i="9" s="1"/>
  <c r="L123" i="33"/>
  <c r="M123" i="33" s="1"/>
  <c r="E129" i="9" s="1"/>
  <c r="L280" i="33"/>
  <c r="M280" i="33" s="1"/>
  <c r="E286" i="9" s="1"/>
  <c r="L127" i="33"/>
  <c r="M127" i="33" s="1"/>
  <c r="E133" i="9" s="1"/>
  <c r="L234" i="33"/>
  <c r="M234" i="33" s="1"/>
  <c r="E240" i="9" s="1"/>
  <c r="L76" i="33"/>
  <c r="M76" i="33" s="1"/>
  <c r="E82" i="9" s="1"/>
  <c r="L128" i="33"/>
  <c r="M128" i="33" s="1"/>
  <c r="E134" i="9" s="1"/>
  <c r="L144" i="33"/>
  <c r="M144" i="33" s="1"/>
  <c r="E150" i="9" s="1"/>
  <c r="L268" i="33"/>
  <c r="M268" i="33" s="1"/>
  <c r="E274" i="9" s="1"/>
  <c r="L92" i="33"/>
  <c r="M92" i="33" s="1"/>
  <c r="E98" i="9" s="1"/>
  <c r="L174" i="33"/>
  <c r="M174" i="33" s="1"/>
  <c r="E180" i="9" s="1"/>
  <c r="L294" i="33"/>
  <c r="M294" i="33" s="1"/>
  <c r="E300" i="9" s="1"/>
  <c r="L221" i="33"/>
  <c r="M221" i="33" s="1"/>
  <c r="E227" i="9" s="1"/>
  <c r="L311" i="33"/>
  <c r="M311" i="33" s="1"/>
  <c r="E317" i="9" s="1"/>
  <c r="L115" i="33"/>
  <c r="M115" i="33" s="1"/>
  <c r="E121" i="9" s="1"/>
  <c r="L186" i="33"/>
  <c r="M186" i="33" s="1"/>
  <c r="E192" i="9" s="1"/>
  <c r="L270" i="33"/>
  <c r="M270" i="33" s="1"/>
  <c r="E276" i="9" s="1"/>
  <c r="L264" i="33"/>
  <c r="M264" i="33" s="1"/>
  <c r="E270" i="9" s="1"/>
  <c r="L204" i="33"/>
  <c r="M204" i="33" s="1"/>
  <c r="E210" i="9" s="1"/>
  <c r="L176" i="33"/>
  <c r="M176" i="33" s="1"/>
  <c r="E182" i="9" s="1"/>
  <c r="L248" i="33"/>
  <c r="M248" i="33" s="1"/>
  <c r="E254" i="9" s="1"/>
  <c r="L286" i="33"/>
  <c r="M286" i="33" s="1"/>
  <c r="E292" i="9" s="1"/>
  <c r="L255" i="33"/>
  <c r="M255" i="33" s="1"/>
  <c r="E261" i="9" s="1"/>
  <c r="L219" i="33"/>
  <c r="M219" i="33" s="1"/>
  <c r="E225" i="9" s="1"/>
  <c r="L172" i="33"/>
  <c r="M172" i="33" s="1"/>
  <c r="E178" i="9" s="1"/>
  <c r="L70" i="33"/>
  <c r="M70" i="33" s="1"/>
  <c r="E76" i="9" s="1"/>
  <c r="L61" i="33"/>
  <c r="M61" i="33" s="1"/>
  <c r="E67" i="9" s="1"/>
  <c r="L65" i="33"/>
  <c r="M65" i="33" s="1"/>
  <c r="E71" i="9" s="1"/>
  <c r="L59" i="33"/>
  <c r="M59" i="33" s="1"/>
  <c r="E65" i="9" s="1"/>
  <c r="L104" i="33"/>
  <c r="M104" i="33" s="1"/>
  <c r="E110" i="9" s="1"/>
  <c r="L91" i="33"/>
  <c r="M91" i="33" s="1"/>
  <c r="E97" i="9" s="1"/>
  <c r="L37" i="33"/>
  <c r="M37" i="33" s="1"/>
  <c r="E43" i="9" s="1"/>
  <c r="L156" i="33"/>
  <c r="M156" i="33" s="1"/>
  <c r="E162" i="9" s="1"/>
  <c r="L178" i="33"/>
  <c r="M178" i="33" s="1"/>
  <c r="E184" i="9" s="1"/>
  <c r="L32" i="33"/>
  <c r="M32" i="33" s="1"/>
  <c r="E38" i="9" s="1"/>
  <c r="L9" i="33"/>
  <c r="M9" i="33" s="1"/>
  <c r="E15" i="9" s="1"/>
  <c r="L67" i="33"/>
  <c r="M67" i="33" s="1"/>
  <c r="E73" i="9" s="1"/>
  <c r="L17" i="33"/>
  <c r="M17" i="33" s="1"/>
  <c r="E23" i="9" s="1"/>
  <c r="L207" i="33"/>
  <c r="M207" i="33" s="1"/>
  <c r="E213" i="9" s="1"/>
  <c r="L90" i="33"/>
  <c r="M90" i="33" s="1"/>
  <c r="E96" i="9" s="1"/>
  <c r="L145" i="33"/>
  <c r="M145" i="33" s="1"/>
  <c r="E151" i="9" s="1"/>
  <c r="L252" i="33"/>
  <c r="M252" i="33" s="1"/>
  <c r="E258" i="9" s="1"/>
  <c r="L133" i="33"/>
  <c r="M133" i="33" s="1"/>
  <c r="E139" i="9" s="1"/>
  <c r="L238" i="33"/>
  <c r="M238" i="33" s="1"/>
  <c r="E244" i="9" s="1"/>
  <c r="L23" i="33"/>
  <c r="M23" i="33" s="1"/>
  <c r="E29" i="9" s="1"/>
  <c r="L114" i="33"/>
  <c r="M114" i="33" s="1"/>
  <c r="E120" i="9" s="1"/>
  <c r="L184" i="33"/>
  <c r="M184" i="33" s="1"/>
  <c r="E190" i="9" s="1"/>
  <c r="L276" i="33"/>
  <c r="M276" i="33" s="1"/>
  <c r="E282" i="9" s="1"/>
  <c r="L170" i="33"/>
  <c r="M170" i="33" s="1"/>
  <c r="E176" i="9" s="1"/>
  <c r="L213" i="33"/>
  <c r="M213" i="33" s="1"/>
  <c r="E219" i="9" s="1"/>
  <c r="L253" i="33"/>
  <c r="M253" i="33" s="1"/>
  <c r="E259" i="9" s="1"/>
  <c r="L237" i="33"/>
  <c r="M237" i="33" s="1"/>
  <c r="E243" i="9" s="1"/>
  <c r="L295" i="33"/>
  <c r="M295" i="33" s="1"/>
  <c r="E301" i="9" s="1"/>
  <c r="L164" i="33"/>
  <c r="M164" i="33" s="1"/>
  <c r="E170" i="9" s="1"/>
  <c r="L195" i="33"/>
  <c r="M195" i="33" s="1"/>
  <c r="E201" i="9" s="1"/>
  <c r="L192" i="33"/>
  <c r="M192" i="33" s="1"/>
  <c r="E198" i="9" s="1"/>
  <c r="L305" i="33"/>
  <c r="M305" i="33" s="1"/>
  <c r="E311" i="9" s="1"/>
  <c r="L256" i="33"/>
  <c r="M256" i="33" s="1"/>
  <c r="E262" i="9" s="1"/>
  <c r="L187" i="33"/>
  <c r="M187" i="33" s="1"/>
  <c r="E193" i="9" s="1"/>
  <c r="L277" i="33"/>
  <c r="M277" i="33" s="1"/>
  <c r="E283" i="9" s="1"/>
  <c r="L247" i="33"/>
  <c r="M247" i="33" s="1"/>
  <c r="E253" i="9" s="1"/>
  <c r="L308" i="33"/>
  <c r="M308" i="33" s="1"/>
  <c r="E314" i="9" s="1"/>
  <c r="L196" i="33"/>
  <c r="M196" i="33" s="1"/>
  <c r="E202" i="9" s="1"/>
  <c r="L101" i="33"/>
  <c r="M101" i="33" s="1"/>
  <c r="E107" i="9" s="1"/>
  <c r="L54" i="33"/>
  <c r="M54" i="33" s="1"/>
  <c r="E60" i="9" s="1"/>
  <c r="L147" i="33"/>
  <c r="M147" i="33" s="1"/>
  <c r="E153" i="9" s="1"/>
  <c r="L135" i="33"/>
  <c r="M135" i="33" s="1"/>
  <c r="E141" i="9" s="1"/>
  <c r="L75" i="33"/>
  <c r="M75" i="33" s="1"/>
  <c r="E81" i="9" s="1"/>
  <c r="L138" i="33"/>
  <c r="M138" i="33" s="1"/>
  <c r="E144" i="9" s="1"/>
  <c r="L111" i="33"/>
  <c r="M111" i="33" s="1"/>
  <c r="E117" i="9" s="1"/>
  <c r="L25" i="33"/>
  <c r="M25" i="33" s="1"/>
  <c r="E31" i="9" s="1"/>
  <c r="L225" i="33"/>
  <c r="M225" i="33" s="1"/>
  <c r="E231" i="9" s="1"/>
  <c r="L119" i="33"/>
  <c r="M119" i="33" s="1"/>
  <c r="E125" i="9" s="1"/>
  <c r="L81" i="33"/>
  <c r="M81" i="33" s="1"/>
  <c r="E87" i="9" s="1"/>
  <c r="L63" i="33"/>
  <c r="M63" i="33" s="1"/>
  <c r="E69" i="9" s="1"/>
  <c r="L82" i="33"/>
  <c r="M82" i="33" s="1"/>
  <c r="E88" i="9" s="1"/>
  <c r="L14" i="33"/>
  <c r="M14" i="33" s="1"/>
  <c r="E20" i="9" s="1"/>
  <c r="L171" i="33"/>
  <c r="M171" i="33" s="1"/>
  <c r="E177" i="9" s="1"/>
  <c r="L98" i="33"/>
  <c r="M98" i="33" s="1"/>
  <c r="E104" i="9" s="1"/>
  <c r="L158" i="33"/>
  <c r="M158" i="33" s="1"/>
  <c r="E164" i="9" s="1"/>
  <c r="L157" i="33"/>
  <c r="M157" i="33" s="1"/>
  <c r="E163" i="9" s="1"/>
  <c r="L197" i="33"/>
  <c r="M197" i="33" s="1"/>
  <c r="E203" i="9" s="1"/>
  <c r="L307" i="33"/>
  <c r="M307" i="33" s="1"/>
  <c r="E313" i="9" s="1"/>
  <c r="L41" i="33"/>
  <c r="M41" i="33" s="1"/>
  <c r="E47" i="9" s="1"/>
  <c r="L165" i="33"/>
  <c r="M165" i="33" s="1"/>
  <c r="E171" i="9" s="1"/>
  <c r="L150" i="33"/>
  <c r="M150" i="33" s="1"/>
  <c r="E156" i="9" s="1"/>
  <c r="L182" i="33"/>
  <c r="M182" i="33" s="1"/>
  <c r="E188" i="9" s="1"/>
  <c r="L86" i="33"/>
  <c r="M86" i="33" s="1"/>
  <c r="E92" i="9" s="1"/>
  <c r="L151" i="33"/>
  <c r="M151" i="33" s="1"/>
  <c r="E157" i="9" s="1"/>
  <c r="L267" i="33"/>
  <c r="M267" i="33" s="1"/>
  <c r="E273" i="9" s="1"/>
  <c r="L243" i="33"/>
  <c r="M243" i="33" s="1"/>
  <c r="E249" i="9" s="1"/>
  <c r="L299" i="33"/>
  <c r="M299" i="33" s="1"/>
  <c r="E305" i="9" s="1"/>
  <c r="L129" i="33"/>
  <c r="M129" i="33" s="1"/>
  <c r="E135" i="9" s="1"/>
  <c r="L223" i="33"/>
  <c r="M223" i="33" s="1"/>
  <c r="E229" i="9" s="1"/>
  <c r="L183" i="33"/>
  <c r="M183" i="33" s="1"/>
  <c r="E189" i="9" s="1"/>
  <c r="L304" i="33"/>
  <c r="M304" i="33" s="1"/>
  <c r="E310" i="9" s="1"/>
  <c r="L250" i="33"/>
  <c r="M250" i="33" s="1"/>
  <c r="E256" i="9" s="1"/>
  <c r="L211" i="33"/>
  <c r="M211" i="33" s="1"/>
  <c r="E217" i="9" s="1"/>
  <c r="L242" i="33"/>
  <c r="M242" i="33" s="1"/>
  <c r="E248" i="9" s="1"/>
  <c r="L287" i="33"/>
  <c r="M287" i="33" s="1"/>
  <c r="E293" i="9" s="1"/>
  <c r="L300" i="33"/>
  <c r="M300" i="33" s="1"/>
  <c r="E306" i="9" s="1"/>
  <c r="L159" i="33"/>
  <c r="M159" i="33" s="1"/>
  <c r="E165" i="9" s="1"/>
  <c r="L106" i="33"/>
  <c r="M106" i="33" s="1"/>
  <c r="E112" i="9" s="1"/>
  <c r="L118" i="33"/>
  <c r="M118" i="33" s="1"/>
  <c r="E124" i="9" s="1"/>
  <c r="L231" i="33"/>
  <c r="M231" i="33" s="1"/>
  <c r="E237" i="9" s="1"/>
  <c r="L26" i="33"/>
  <c r="M26" i="33" s="1"/>
  <c r="E32" i="9" s="1"/>
  <c r="L160" i="33"/>
  <c r="M160" i="33" s="1"/>
  <c r="E166" i="9" s="1"/>
  <c r="L131" i="33"/>
  <c r="M131" i="33" s="1"/>
  <c r="E137" i="9" s="1"/>
  <c r="L18" i="33"/>
  <c r="M18" i="33" s="1"/>
  <c r="E24" i="9" s="1"/>
  <c r="L257" i="33"/>
  <c r="M257" i="33" s="1"/>
  <c r="E263" i="9" s="1"/>
  <c r="L227" i="33"/>
  <c r="M227" i="33" s="1"/>
  <c r="E233" i="9" s="1"/>
  <c r="L112" i="33"/>
  <c r="M112" i="33" s="1"/>
  <c r="E118" i="9" s="1"/>
  <c r="L8" i="33"/>
  <c r="M8" i="33" s="1"/>
  <c r="E14" i="9" s="1"/>
  <c r="L89" i="33"/>
  <c r="M89" i="33" s="1"/>
  <c r="E95" i="9" s="1"/>
  <c r="L12" i="33"/>
  <c r="M12" i="33" s="1"/>
  <c r="E18" i="9" s="1"/>
  <c r="L199" i="33"/>
  <c r="M199" i="33" s="1"/>
  <c r="E205" i="9" s="1"/>
  <c r="L110" i="33"/>
  <c r="M110" i="33" s="1"/>
  <c r="E116" i="9" s="1"/>
  <c r="L200" i="33"/>
  <c r="M200" i="33" s="1"/>
  <c r="E206" i="9" s="1"/>
  <c r="L244" i="33"/>
  <c r="M244" i="33" s="1"/>
  <c r="E250" i="9" s="1"/>
  <c r="L177" i="33"/>
  <c r="M177" i="33" s="1"/>
  <c r="E183" i="9" s="1"/>
  <c r="L297" i="33"/>
  <c r="M297" i="33" s="1"/>
  <c r="E303" i="9" s="1"/>
  <c r="L51" i="33"/>
  <c r="M51" i="33" s="1"/>
  <c r="E57" i="9" s="1"/>
  <c r="L116" i="33"/>
  <c r="M116" i="33" s="1"/>
  <c r="E122" i="9" s="1"/>
  <c r="L209" i="33"/>
  <c r="M209" i="33" s="1"/>
  <c r="E215" i="9" s="1"/>
  <c r="L50" i="33"/>
  <c r="M50" i="33" s="1"/>
  <c r="E56" i="9" s="1"/>
  <c r="L161" i="33"/>
  <c r="M161" i="33" s="1"/>
  <c r="E167" i="9" s="1"/>
  <c r="L203" i="33"/>
  <c r="M203" i="33" s="1"/>
  <c r="E209" i="9" s="1"/>
  <c r="L293" i="33"/>
  <c r="M293" i="33" s="1"/>
  <c r="E299" i="9" s="1"/>
  <c r="L224" i="33"/>
  <c r="M224" i="33" s="1"/>
  <c r="E230" i="9" s="1"/>
  <c r="L108" i="33"/>
  <c r="M108" i="33" s="1"/>
  <c r="E114" i="9" s="1"/>
  <c r="L162" i="33"/>
  <c r="M162" i="33" s="1"/>
  <c r="E168" i="9" s="1"/>
  <c r="L278" i="33"/>
  <c r="M278" i="33" s="1"/>
  <c r="E284" i="9" s="1"/>
  <c r="L191" i="33"/>
  <c r="M191" i="33" s="1"/>
  <c r="E197" i="9" s="1"/>
  <c r="L290" i="33"/>
  <c r="M290" i="33" s="1"/>
  <c r="E296" i="9" s="1"/>
  <c r="L282" i="33"/>
  <c r="M282" i="33" s="1"/>
  <c r="E288" i="9" s="1"/>
  <c r="L240" i="33"/>
  <c r="M240" i="33" s="1"/>
  <c r="E246" i="9" s="1"/>
  <c r="L217" i="33"/>
  <c r="M217" i="33" s="1"/>
  <c r="E223" i="9" s="1"/>
  <c r="L271" i="33"/>
  <c r="M271" i="33" s="1"/>
  <c r="E277" i="9" s="1"/>
  <c r="L292" i="33"/>
  <c r="M292" i="33" s="1"/>
  <c r="E298" i="9" s="1"/>
  <c r="L124" i="33"/>
  <c r="M124" i="33" s="1"/>
  <c r="E130" i="9" s="1"/>
  <c r="L93" i="33"/>
  <c r="M93" i="33" s="1"/>
  <c r="E99" i="9" s="1"/>
  <c r="L218" i="33"/>
  <c r="M218" i="33" s="1"/>
  <c r="E224" i="9" s="1"/>
  <c r="L130" i="33"/>
  <c r="M130" i="33" s="1"/>
  <c r="E136" i="9" s="1"/>
  <c r="L40" i="33"/>
  <c r="M40" i="33" s="1"/>
  <c r="E46" i="9" s="1"/>
  <c r="L198" i="33"/>
  <c r="M198" i="33" s="1"/>
  <c r="E204" i="9" s="1"/>
  <c r="L28" i="33"/>
  <c r="M28" i="33" s="1"/>
  <c r="E34" i="9" s="1"/>
  <c r="L96" i="33"/>
  <c r="M96" i="33" s="1"/>
  <c r="E102" i="9" s="1"/>
  <c r="L20" i="33"/>
  <c r="M20" i="33" s="1"/>
  <c r="E26" i="9" s="1"/>
  <c r="L216" i="33"/>
  <c r="M216" i="33" s="1"/>
  <c r="E222" i="9" s="1"/>
  <c r="L103" i="33"/>
  <c r="M103" i="33" s="1"/>
  <c r="E109" i="9" s="1"/>
  <c r="L48" i="33"/>
  <c r="M48" i="33" s="1"/>
  <c r="E54" i="9" s="1"/>
  <c r="L272" i="33"/>
  <c r="M272" i="33" s="1"/>
  <c r="E278" i="9" s="1"/>
  <c r="L34" i="33"/>
  <c r="M34" i="33" s="1"/>
  <c r="E40" i="9" s="1"/>
  <c r="L303" i="33"/>
  <c r="M303" i="33" s="1"/>
  <c r="E309" i="9" s="1"/>
  <c r="L102" i="33"/>
  <c r="M102" i="33" s="1"/>
  <c r="E108" i="9" s="1"/>
  <c r="L202" i="33"/>
  <c r="M202" i="33" s="1"/>
  <c r="E208" i="9" s="1"/>
  <c r="L288" i="33"/>
  <c r="M288" i="33" s="1"/>
  <c r="E294" i="9" s="1"/>
  <c r="L190" i="33"/>
  <c r="M190" i="33" s="1"/>
  <c r="E196" i="9" s="1"/>
  <c r="L36" i="33"/>
  <c r="M36" i="33" s="1"/>
  <c r="E42" i="9" s="1"/>
  <c r="L55" i="33"/>
  <c r="M55" i="33" s="1"/>
  <c r="E61" i="9" s="1"/>
  <c r="L141" i="33"/>
  <c r="M141" i="33" s="1"/>
  <c r="E147" i="9" s="1"/>
  <c r="L214" i="33"/>
  <c r="M214" i="33" s="1"/>
  <c r="E220" i="9" s="1"/>
  <c r="L57" i="33"/>
  <c r="M57" i="33" s="1"/>
  <c r="E63" i="9" s="1"/>
  <c r="L146" i="33"/>
  <c r="M146" i="33" s="1"/>
  <c r="E152" i="9" s="1"/>
  <c r="L180" i="33"/>
  <c r="M180" i="33" s="1"/>
  <c r="E186" i="9" s="1"/>
  <c r="L185" i="33"/>
  <c r="M185" i="33" s="1"/>
  <c r="E191" i="9" s="1"/>
  <c r="L241" i="33"/>
  <c r="M241" i="33" s="1"/>
  <c r="E247" i="9" s="1"/>
  <c r="L125" i="33"/>
  <c r="M125" i="33" s="1"/>
  <c r="E131" i="9" s="1"/>
  <c r="L143" i="33"/>
  <c r="M143" i="33" s="1"/>
  <c r="E149" i="9" s="1"/>
  <c r="L245" i="33"/>
  <c r="M245" i="33" s="1"/>
  <c r="E251" i="9" s="1"/>
  <c r="L166" i="33"/>
  <c r="M166" i="33" s="1"/>
  <c r="E172" i="9" s="1"/>
  <c r="L206" i="33"/>
  <c r="M206" i="33" s="1"/>
  <c r="E212" i="9" s="1"/>
  <c r="L261" i="33"/>
  <c r="M261" i="33" s="1"/>
  <c r="E267" i="9" s="1"/>
  <c r="L269" i="33"/>
  <c r="M269" i="33" s="1"/>
  <c r="E275" i="9" s="1"/>
  <c r="L229" i="33"/>
  <c r="M229" i="33" s="1"/>
  <c r="E235" i="9" s="1"/>
  <c r="L239" i="33"/>
  <c r="M239" i="33" s="1"/>
  <c r="E245" i="9" s="1"/>
  <c r="L233" i="33"/>
  <c r="M233" i="33" s="1"/>
  <c r="E239" i="9" s="1"/>
  <c r="L107" i="33"/>
  <c r="M107" i="33" s="1"/>
  <c r="E113" i="9" s="1"/>
  <c r="L85" i="33"/>
  <c r="M85" i="33" s="1"/>
  <c r="E91" i="9" s="1"/>
  <c r="L53" i="33"/>
  <c r="M53" i="33" s="1"/>
  <c r="E59" i="9" s="1"/>
  <c r="L194" i="33"/>
  <c r="M194" i="33" s="1"/>
  <c r="E200" i="9" s="1"/>
  <c r="L21" i="33"/>
  <c r="M21" i="33" s="1"/>
  <c r="E27" i="9" s="1"/>
  <c r="L284" i="33"/>
  <c r="M284" i="33" s="1"/>
  <c r="E290" i="9" s="1"/>
  <c r="L38" i="33"/>
  <c r="M38" i="33" s="1"/>
  <c r="E44" i="9" s="1"/>
  <c r="L100" i="33"/>
  <c r="M100" i="33" s="1"/>
  <c r="E106" i="9" s="1"/>
  <c r="L33" i="33"/>
  <c r="M33" i="33" s="1"/>
  <c r="E39" i="9" s="1"/>
  <c r="L7" i="33"/>
  <c r="M7" i="33" s="1"/>
  <c r="E13" i="9" s="1"/>
  <c r="L181" i="33"/>
  <c r="M181" i="33" s="1"/>
  <c r="E187" i="9" s="1"/>
  <c r="L99" i="33"/>
  <c r="M99" i="33" s="1"/>
  <c r="E105" i="9" s="1"/>
  <c r="L262" i="33"/>
  <c r="M262" i="33" s="1"/>
  <c r="E268" i="9" s="1"/>
  <c r="L83" i="33"/>
  <c r="M83" i="33" s="1"/>
  <c r="E89" i="9" s="1"/>
  <c r="L16" i="33"/>
  <c r="M16" i="33" s="1"/>
  <c r="E22" i="9" s="1"/>
  <c r="L117" i="33"/>
  <c r="M117" i="33" s="1"/>
  <c r="E123" i="9" s="1"/>
  <c r="L95" i="33"/>
  <c r="M95" i="33" s="1"/>
  <c r="E101" i="9" s="1"/>
  <c r="L306" i="33"/>
  <c r="M306" i="33" s="1"/>
  <c r="E312" i="9" s="1"/>
  <c r="L246" i="33"/>
  <c r="M246" i="33" s="1"/>
  <c r="E252" i="9" s="1"/>
  <c r="L19" i="33"/>
  <c r="M19" i="33" s="1"/>
  <c r="E25" i="9" s="1"/>
  <c r="L71" i="33"/>
  <c r="M71" i="33" s="1"/>
  <c r="E77" i="9" s="1"/>
  <c r="L155" i="33"/>
  <c r="M155" i="33" s="1"/>
  <c r="E161" i="9" s="1"/>
  <c r="L226" i="33"/>
  <c r="M226" i="33" s="1"/>
  <c r="E232" i="9" s="1"/>
  <c r="L24" i="33"/>
  <c r="M24" i="33" s="1"/>
  <c r="E30" i="9" s="1"/>
  <c r="L173" i="33"/>
  <c r="M173" i="33" s="1"/>
  <c r="E179" i="9" s="1"/>
  <c r="L228" i="33"/>
  <c r="M228" i="33" s="1"/>
  <c r="E234" i="9" s="1"/>
  <c r="L208" i="33"/>
  <c r="M208" i="33" s="1"/>
  <c r="E214" i="9" s="1"/>
  <c r="L188" i="33"/>
  <c r="M188" i="33" s="1"/>
  <c r="E194" i="9" s="1"/>
  <c r="L134" i="33"/>
  <c r="M134" i="33" s="1"/>
  <c r="E140" i="9" s="1"/>
  <c r="L152" i="33"/>
  <c r="M152" i="33" s="1"/>
  <c r="E158" i="9" s="1"/>
  <c r="L251" i="33"/>
  <c r="M251" i="33" s="1"/>
  <c r="E257" i="9" s="1"/>
  <c r="L302" i="33"/>
  <c r="M302" i="33" s="1"/>
  <c r="E308" i="9" s="1"/>
  <c r="L153" i="33"/>
  <c r="M153" i="33" s="1"/>
  <c r="E159" i="9" s="1"/>
  <c r="L298" i="33"/>
  <c r="M298" i="33" s="1"/>
  <c r="E304" i="9" s="1"/>
  <c r="L232" i="33"/>
  <c r="M232" i="33" s="1"/>
  <c r="E238" i="9" s="1"/>
  <c r="L265" i="33"/>
  <c r="M265" i="33" s="1"/>
  <c r="E271" i="9" s="1"/>
  <c r="L263" i="33"/>
  <c r="M263" i="33" s="1"/>
  <c r="E269" i="9" s="1"/>
  <c r="L140" i="33"/>
  <c r="M140" i="33" s="1"/>
  <c r="E146" i="9" s="1"/>
  <c r="L175" i="33"/>
  <c r="M175" i="33" s="1"/>
  <c r="E181" i="9" s="1"/>
  <c r="L66" i="33"/>
  <c r="M66" i="33" s="1"/>
  <c r="E72" i="9" s="1"/>
  <c r="L5" i="33"/>
  <c r="M5" i="33" s="1"/>
  <c r="H5" i="11" l="1"/>
  <c r="I5" i="11" s="1"/>
  <c r="F18" i="48"/>
  <c r="E11" i="9"/>
  <c r="M314" i="33"/>
  <c r="C6" i="9" s="1"/>
  <c r="C7" i="9" s="1"/>
  <c r="L16" i="11" l="1"/>
  <c r="M16" i="11" s="1"/>
  <c r="H16" i="11"/>
  <c r="I16" i="11" s="1"/>
  <c r="L44" i="11"/>
  <c r="M44" i="11" s="1"/>
  <c r="H44" i="11"/>
  <c r="I44" i="11" s="1"/>
  <c r="L15" i="11"/>
  <c r="M15" i="11" s="1"/>
  <c r="H15" i="11"/>
  <c r="I15" i="11" s="1"/>
  <c r="L49" i="11"/>
  <c r="M49" i="11" s="1"/>
  <c r="H49" i="11"/>
  <c r="I49" i="11" s="1"/>
  <c r="L59" i="11"/>
  <c r="M59" i="11" s="1"/>
  <c r="H59" i="11"/>
  <c r="I59" i="11" s="1"/>
  <c r="L13" i="11"/>
  <c r="M13" i="11" s="1"/>
  <c r="H13" i="11"/>
  <c r="I13" i="11" s="1"/>
  <c r="L65" i="11"/>
  <c r="M65" i="11" s="1"/>
  <c r="H65" i="11"/>
  <c r="I65" i="11" s="1"/>
  <c r="L47" i="11"/>
  <c r="M47" i="11" s="1"/>
  <c r="H47" i="11"/>
  <c r="I47" i="11" s="1"/>
  <c r="L68" i="11"/>
  <c r="M68" i="11" s="1"/>
  <c r="H68" i="11"/>
  <c r="I68" i="11" s="1"/>
  <c r="L19" i="11"/>
  <c r="M19" i="11" s="1"/>
  <c r="H19" i="11"/>
  <c r="I19" i="11" s="1"/>
  <c r="L22" i="11"/>
  <c r="M22" i="11" s="1"/>
  <c r="H22" i="11"/>
  <c r="I22" i="11" s="1"/>
  <c r="L62" i="11"/>
  <c r="M62" i="11" s="1"/>
  <c r="H62" i="11"/>
  <c r="I62" i="11" s="1"/>
  <c r="L20" i="11"/>
  <c r="M20" i="11" s="1"/>
  <c r="H20" i="11"/>
  <c r="I20" i="11" s="1"/>
  <c r="L17" i="11"/>
  <c r="M17" i="11" s="1"/>
  <c r="H17" i="11"/>
  <c r="I17" i="11" s="1"/>
  <c r="L10" i="11"/>
  <c r="M10" i="11" s="1"/>
  <c r="H10" i="11"/>
  <c r="I10" i="11" s="1"/>
  <c r="L6" i="11"/>
  <c r="M6" i="11" s="1"/>
  <c r="H6" i="11"/>
  <c r="I6" i="11" s="1"/>
  <c r="L18" i="11"/>
  <c r="M18" i="11" s="1"/>
  <c r="H18" i="11"/>
  <c r="I18" i="11" s="1"/>
  <c r="L45" i="11"/>
  <c r="M45" i="11" s="1"/>
  <c r="H45" i="11"/>
  <c r="I45" i="11" s="1"/>
  <c r="L39" i="11"/>
  <c r="M39" i="11" s="1"/>
  <c r="H39" i="11"/>
  <c r="I39" i="11" s="1"/>
  <c r="L76" i="11"/>
  <c r="M76" i="11" s="1"/>
  <c r="H76" i="11"/>
  <c r="I76" i="11" s="1"/>
  <c r="L61" i="11"/>
  <c r="M61" i="11" s="1"/>
  <c r="H61" i="11"/>
  <c r="I61" i="11" s="1"/>
  <c r="L28" i="11"/>
  <c r="M28" i="11" s="1"/>
  <c r="H28" i="11"/>
  <c r="I28" i="11" s="1"/>
  <c r="L41" i="11"/>
  <c r="M41" i="11" s="1"/>
  <c r="H41" i="11"/>
  <c r="I41" i="11" s="1"/>
  <c r="L21" i="11"/>
  <c r="M21" i="11" s="1"/>
  <c r="H21" i="11"/>
  <c r="I21" i="11" s="1"/>
  <c r="L67" i="11"/>
  <c r="M67" i="11" s="1"/>
  <c r="H67" i="11"/>
  <c r="I67" i="11" s="1"/>
  <c r="L24" i="11"/>
  <c r="M24" i="11" s="1"/>
  <c r="H24" i="11"/>
  <c r="I24" i="11" s="1"/>
  <c r="L51" i="11"/>
  <c r="M51" i="11" s="1"/>
  <c r="H51" i="11"/>
  <c r="I51" i="11" s="1"/>
  <c r="L8" i="11"/>
  <c r="M8" i="11" s="1"/>
  <c r="H8" i="11"/>
  <c r="I8" i="11" s="1"/>
  <c r="L37" i="11"/>
  <c r="M37" i="11" s="1"/>
  <c r="H37" i="11"/>
  <c r="I37" i="11" s="1"/>
  <c r="L58" i="11"/>
  <c r="M58" i="11" s="1"/>
  <c r="H58" i="11"/>
  <c r="I58" i="11" s="1"/>
  <c r="L30" i="11"/>
  <c r="M30" i="11" s="1"/>
  <c r="H30" i="11"/>
  <c r="I30" i="11" s="1"/>
  <c r="L27" i="11"/>
  <c r="M27" i="11" s="1"/>
  <c r="H27" i="11"/>
  <c r="I27" i="11" s="1"/>
  <c r="L46" i="11"/>
  <c r="M46" i="11" s="1"/>
  <c r="H46" i="11"/>
  <c r="I46" i="11" s="1"/>
  <c r="L52" i="11"/>
  <c r="M52" i="11" s="1"/>
  <c r="H52" i="11"/>
  <c r="I52" i="11" s="1"/>
  <c r="L31" i="11"/>
  <c r="M31" i="11" s="1"/>
  <c r="H31" i="11"/>
  <c r="I31" i="11" s="1"/>
  <c r="L43" i="11"/>
  <c r="M43" i="11" s="1"/>
  <c r="H43" i="11"/>
  <c r="I43" i="11" s="1"/>
  <c r="L73" i="11"/>
  <c r="M73" i="11" s="1"/>
  <c r="H73" i="11"/>
  <c r="I73" i="11" s="1"/>
  <c r="L57" i="11"/>
  <c r="M57" i="11" s="1"/>
  <c r="H57" i="11"/>
  <c r="I57" i="11" s="1"/>
  <c r="L23" i="11"/>
  <c r="M23" i="11" s="1"/>
  <c r="H23" i="11"/>
  <c r="I23" i="11" s="1"/>
  <c r="L25" i="11"/>
  <c r="M25" i="11" s="1"/>
  <c r="H25" i="11"/>
  <c r="I25" i="11" s="1"/>
  <c r="L33" i="11"/>
  <c r="M33" i="11" s="1"/>
  <c r="H33" i="11"/>
  <c r="I33" i="11" s="1"/>
  <c r="L35" i="11"/>
  <c r="M35" i="11" s="1"/>
  <c r="H35" i="11"/>
  <c r="I35" i="11" s="1"/>
  <c r="L32" i="11"/>
  <c r="M32" i="11" s="1"/>
  <c r="H32" i="11"/>
  <c r="I32" i="11" s="1"/>
  <c r="L70" i="11"/>
  <c r="M70" i="11" s="1"/>
  <c r="H70" i="11"/>
  <c r="I70" i="11" s="1"/>
  <c r="L55" i="11"/>
  <c r="M55" i="11" s="1"/>
  <c r="H55" i="11"/>
  <c r="I55" i="11" s="1"/>
  <c r="L12" i="11"/>
  <c r="M12" i="11" s="1"/>
  <c r="H12" i="11"/>
  <c r="I12" i="11" s="1"/>
  <c r="L74" i="11"/>
  <c r="M74" i="11" s="1"/>
  <c r="H74" i="11"/>
  <c r="I74" i="11" s="1"/>
  <c r="L53" i="11"/>
  <c r="M53" i="11" s="1"/>
  <c r="H53" i="11"/>
  <c r="I53" i="11" s="1"/>
  <c r="L9" i="11"/>
  <c r="M9" i="11" s="1"/>
  <c r="H9" i="11"/>
  <c r="I9" i="11" s="1"/>
  <c r="L11" i="11"/>
  <c r="M11" i="11" s="1"/>
  <c r="H11" i="11"/>
  <c r="I11" i="11" s="1"/>
  <c r="L36" i="11"/>
  <c r="M36" i="11" s="1"/>
  <c r="H36" i="11"/>
  <c r="I36" i="11" s="1"/>
  <c r="L63" i="11"/>
  <c r="M63" i="11" s="1"/>
  <c r="H63" i="11"/>
  <c r="I63" i="11" s="1"/>
  <c r="L50" i="11"/>
  <c r="M50" i="11" s="1"/>
  <c r="H50" i="11"/>
  <c r="I50" i="11" s="1"/>
  <c r="L72" i="11"/>
  <c r="M72" i="11" s="1"/>
  <c r="H72" i="11"/>
  <c r="I72" i="11" s="1"/>
  <c r="L26" i="11"/>
  <c r="M26" i="11" s="1"/>
  <c r="H26" i="11"/>
  <c r="I26" i="11" s="1"/>
  <c r="L66" i="11"/>
  <c r="M66" i="11" s="1"/>
  <c r="H66" i="11"/>
  <c r="I66" i="11" s="1"/>
  <c r="L75" i="11"/>
  <c r="M75" i="11" s="1"/>
  <c r="H75" i="11"/>
  <c r="I75" i="11" s="1"/>
  <c r="L64" i="11"/>
  <c r="M64" i="11" s="1"/>
  <c r="H64" i="11"/>
  <c r="I64" i="11" s="1"/>
  <c r="L56" i="11"/>
  <c r="M56" i="11" s="1"/>
  <c r="H56" i="11"/>
  <c r="I56" i="11" s="1"/>
  <c r="L38" i="11"/>
  <c r="M38" i="11" s="1"/>
  <c r="H38" i="11"/>
  <c r="I38" i="11" s="1"/>
  <c r="L71" i="11"/>
  <c r="M71" i="11" s="1"/>
  <c r="H71" i="11"/>
  <c r="I71" i="11" s="1"/>
  <c r="L34" i="11"/>
  <c r="M34" i="11" s="1"/>
  <c r="H34" i="11"/>
  <c r="I34" i="11" s="1"/>
  <c r="L42" i="11"/>
  <c r="M42" i="11" s="1"/>
  <c r="H42" i="11"/>
  <c r="I42" i="11" s="1"/>
  <c r="L60" i="11"/>
  <c r="M60" i="11" s="1"/>
  <c r="H60" i="11"/>
  <c r="I60" i="11" s="1"/>
  <c r="L48" i="11"/>
  <c r="M48" i="11" s="1"/>
  <c r="H48" i="11"/>
  <c r="I48" i="11" s="1"/>
  <c r="L40" i="11"/>
  <c r="M40" i="11" s="1"/>
  <c r="H40" i="11"/>
  <c r="I40" i="11" s="1"/>
  <c r="L69" i="11"/>
  <c r="M69" i="11" s="1"/>
  <c r="H69" i="11"/>
  <c r="I69" i="11" s="1"/>
  <c r="L14" i="11"/>
  <c r="M14" i="11" s="1"/>
  <c r="H14" i="11"/>
  <c r="I14" i="11" s="1"/>
  <c r="L54" i="11"/>
  <c r="M54" i="11" s="1"/>
  <c r="H54" i="11"/>
  <c r="I54" i="11" s="1"/>
  <c r="L7" i="11"/>
  <c r="M7" i="11" s="1"/>
  <c r="H7" i="11"/>
  <c r="I7" i="11" s="1"/>
  <c r="L29" i="11"/>
  <c r="M29" i="11" s="1"/>
  <c r="H29" i="11"/>
  <c r="I29" i="11" s="1"/>
  <c r="E320" i="9"/>
  <c r="I314" i="11" l="1"/>
  <c r="C325" i="34"/>
  <c r="F15" i="34" s="1"/>
  <c r="E315" i="25"/>
  <c r="L5" i="11"/>
  <c r="M315" i="49"/>
  <c r="N5" i="49" s="1"/>
  <c r="N244" i="49" s="1"/>
  <c r="O244" i="49" s="1"/>
  <c r="D4" i="9"/>
  <c r="G42" i="40"/>
  <c r="C314" i="11"/>
  <c r="M244" i="25" l="1"/>
  <c r="D6" i="34"/>
  <c r="D8" i="34"/>
  <c r="D5" i="34"/>
  <c r="N219" i="49"/>
  <c r="O219" i="49" s="1"/>
  <c r="N170" i="49"/>
  <c r="O170" i="49" s="1"/>
  <c r="N8" i="49"/>
  <c r="N7" i="49"/>
  <c r="N6" i="49"/>
  <c r="N105" i="49"/>
  <c r="O105" i="49" s="1"/>
  <c r="E5" i="37"/>
  <c r="F5" i="37" s="1"/>
  <c r="I5" i="37" s="1"/>
  <c r="D5" i="9"/>
  <c r="D7" i="9"/>
  <c r="B21" i="48" s="1"/>
  <c r="D6" i="9"/>
  <c r="H314" i="11"/>
  <c r="M5" i="11"/>
  <c r="L314" i="11"/>
  <c r="M105" i="25" l="1"/>
  <c r="M170" i="25"/>
  <c r="M219" i="25"/>
  <c r="K40" i="40"/>
  <c r="M314" i="11"/>
  <c r="F10" i="9"/>
  <c r="N256" i="49"/>
  <c r="O256" i="49" s="1"/>
  <c r="N301" i="49"/>
  <c r="O301" i="49" s="1"/>
  <c r="N15" i="49"/>
  <c r="O15" i="49" s="1"/>
  <c r="N58" i="49"/>
  <c r="O58" i="49" s="1"/>
  <c r="N113" i="49"/>
  <c r="O113" i="49" s="1"/>
  <c r="N75" i="49"/>
  <c r="O75" i="49" s="1"/>
  <c r="N210" i="49"/>
  <c r="O210" i="49" s="1"/>
  <c r="N40" i="49"/>
  <c r="O40" i="49" s="1"/>
  <c r="N188" i="49"/>
  <c r="O188" i="49" s="1"/>
  <c r="N300" i="49"/>
  <c r="O300" i="49" s="1"/>
  <c r="N179" i="49"/>
  <c r="O179" i="49" s="1"/>
  <c r="N288" i="49"/>
  <c r="O288" i="49" s="1"/>
  <c r="N273" i="49"/>
  <c r="O273" i="49" s="1"/>
  <c r="N35" i="49"/>
  <c r="O35" i="49" s="1"/>
  <c r="N76" i="49"/>
  <c r="O76" i="49" s="1"/>
  <c r="N245" i="49"/>
  <c r="O245" i="49" s="1"/>
  <c r="N183" i="49"/>
  <c r="O183" i="49" s="1"/>
  <c r="O7" i="49"/>
  <c r="N177" i="49"/>
  <c r="O177" i="49" s="1"/>
  <c r="N17" i="49"/>
  <c r="O17" i="49" s="1"/>
  <c r="N124" i="49"/>
  <c r="O124" i="49" s="1"/>
  <c r="N192" i="49"/>
  <c r="O192" i="49" s="1"/>
  <c r="N110" i="49"/>
  <c r="O110" i="49" s="1"/>
  <c r="N100" i="49"/>
  <c r="O100" i="49" s="1"/>
  <c r="N66" i="49"/>
  <c r="O66" i="49" s="1"/>
  <c r="N241" i="49"/>
  <c r="O241" i="49" s="1"/>
  <c r="N22" i="49"/>
  <c r="O22" i="49" s="1"/>
  <c r="N59" i="49"/>
  <c r="O59" i="49" s="1"/>
  <c r="N181" i="49"/>
  <c r="O181" i="49" s="1"/>
  <c r="N214" i="49"/>
  <c r="O214" i="49" s="1"/>
  <c r="N270" i="49"/>
  <c r="O270" i="49" s="1"/>
  <c r="N129" i="49"/>
  <c r="O129" i="49" s="1"/>
  <c r="N99" i="49"/>
  <c r="O99" i="49" s="1"/>
  <c r="N74" i="49"/>
  <c r="O74" i="49" s="1"/>
  <c r="N225" i="49"/>
  <c r="O225" i="49" s="1"/>
  <c r="N290" i="49"/>
  <c r="O290" i="49" s="1"/>
  <c r="N18" i="49"/>
  <c r="O18" i="49" s="1"/>
  <c r="N312" i="49"/>
  <c r="O312" i="49" s="1"/>
  <c r="N156" i="49"/>
  <c r="O156" i="49" s="1"/>
  <c r="N292" i="49"/>
  <c r="O292" i="49" s="1"/>
  <c r="N291" i="49"/>
  <c r="O291" i="49" s="1"/>
  <c r="N33" i="49"/>
  <c r="O33" i="49" s="1"/>
  <c r="N97" i="49"/>
  <c r="O97" i="49" s="1"/>
  <c r="N272" i="49"/>
  <c r="O272" i="49" s="1"/>
  <c r="N118" i="49"/>
  <c r="O118" i="49" s="1"/>
  <c r="N62" i="49"/>
  <c r="O62" i="49" s="1"/>
  <c r="N178" i="49"/>
  <c r="O178" i="49" s="1"/>
  <c r="N26" i="49"/>
  <c r="O26" i="49" s="1"/>
  <c r="N186" i="49"/>
  <c r="O186" i="49" s="1"/>
  <c r="N274" i="49"/>
  <c r="O274" i="49" s="1"/>
  <c r="N141" i="49"/>
  <c r="O141" i="49" s="1"/>
  <c r="N247" i="49"/>
  <c r="O247" i="49" s="1"/>
  <c r="N80" i="49"/>
  <c r="O80" i="49" s="1"/>
  <c r="N161" i="49"/>
  <c r="O161" i="49" s="1"/>
  <c r="N71" i="49"/>
  <c r="O71" i="49" s="1"/>
  <c r="N304" i="49"/>
  <c r="O304" i="49" s="1"/>
  <c r="N255" i="49"/>
  <c r="O255" i="49" s="1"/>
  <c r="N65" i="49"/>
  <c r="O65" i="49" s="1"/>
  <c r="N289" i="49"/>
  <c r="O289" i="49" s="1"/>
  <c r="N293" i="49"/>
  <c r="O293" i="49" s="1"/>
  <c r="N222" i="49"/>
  <c r="O222" i="49" s="1"/>
  <c r="N253" i="49"/>
  <c r="O253" i="49" s="1"/>
  <c r="N302" i="49"/>
  <c r="O302" i="49" s="1"/>
  <c r="N191" i="49"/>
  <c r="O191" i="49" s="1"/>
  <c r="N132" i="49"/>
  <c r="O132" i="49" s="1"/>
  <c r="N10" i="49"/>
  <c r="O10" i="49" s="1"/>
  <c r="N57" i="49"/>
  <c r="O57" i="49" s="1"/>
  <c r="N45" i="49"/>
  <c r="O45" i="49" s="1"/>
  <c r="N313" i="49"/>
  <c r="O313" i="49" s="1"/>
  <c r="N258" i="49"/>
  <c r="O258" i="49" s="1"/>
  <c r="N64" i="49"/>
  <c r="O64" i="49" s="1"/>
  <c r="N148" i="49"/>
  <c r="O148" i="49" s="1"/>
  <c r="N306" i="49"/>
  <c r="O306" i="49" s="1"/>
  <c r="N82" i="49"/>
  <c r="O82" i="49" s="1"/>
  <c r="N310" i="49"/>
  <c r="O310" i="49" s="1"/>
  <c r="N127" i="49"/>
  <c r="O127" i="49" s="1"/>
  <c r="N164" i="49"/>
  <c r="O164" i="49" s="1"/>
  <c r="N123" i="49"/>
  <c r="O123" i="49" s="1"/>
  <c r="N307" i="49"/>
  <c r="O307" i="49" s="1"/>
  <c r="N128" i="49"/>
  <c r="O128" i="49" s="1"/>
  <c r="N279" i="49"/>
  <c r="O279" i="49" s="1"/>
  <c r="N55" i="49"/>
  <c r="O55" i="49" s="1"/>
  <c r="N261" i="49"/>
  <c r="O261" i="49" s="1"/>
  <c r="N9" i="49"/>
  <c r="O9" i="49" s="1"/>
  <c r="N77" i="49"/>
  <c r="O77" i="49" s="1"/>
  <c r="N16" i="49"/>
  <c r="O16" i="49" s="1"/>
  <c r="N189" i="49"/>
  <c r="O189" i="49" s="1"/>
  <c r="N19" i="49"/>
  <c r="O19" i="49" s="1"/>
  <c r="N104" i="49"/>
  <c r="O104" i="49" s="1"/>
  <c r="N155" i="49"/>
  <c r="O155" i="49" s="1"/>
  <c r="N103" i="49"/>
  <c r="O103" i="49" s="1"/>
  <c r="N199" i="49"/>
  <c r="O199" i="49" s="1"/>
  <c r="N134" i="49"/>
  <c r="O134" i="49" s="1"/>
  <c r="O8" i="49"/>
  <c r="N196" i="49"/>
  <c r="O196" i="49" s="1"/>
  <c r="N32" i="49"/>
  <c r="O32" i="49" s="1"/>
  <c r="N98" i="49"/>
  <c r="O98" i="49" s="1"/>
  <c r="N120" i="49"/>
  <c r="O120" i="49" s="1"/>
  <c r="N38" i="49"/>
  <c r="O38" i="49" s="1"/>
  <c r="N130" i="49"/>
  <c r="O130" i="49" s="1"/>
  <c r="N227" i="49"/>
  <c r="O227" i="49" s="1"/>
  <c r="N91" i="49"/>
  <c r="O91" i="49" s="1"/>
  <c r="N116" i="49"/>
  <c r="O116" i="49" s="1"/>
  <c r="N234" i="49"/>
  <c r="O234" i="49" s="1"/>
  <c r="N79" i="49"/>
  <c r="O79" i="49" s="1"/>
  <c r="N34" i="49"/>
  <c r="O34" i="49" s="1"/>
  <c r="N151" i="49"/>
  <c r="O151" i="49" s="1"/>
  <c r="N239" i="49"/>
  <c r="O239" i="49" s="1"/>
  <c r="N168" i="49"/>
  <c r="O168" i="49" s="1"/>
  <c r="N157" i="49"/>
  <c r="O157" i="49" s="1"/>
  <c r="N14" i="49"/>
  <c r="O14" i="49" s="1"/>
  <c r="N299" i="49"/>
  <c r="O299" i="49" s="1"/>
  <c r="N114" i="49"/>
  <c r="O114" i="49" s="1"/>
  <c r="N257" i="49"/>
  <c r="O257" i="49" s="1"/>
  <c r="N49" i="49"/>
  <c r="O49" i="49" s="1"/>
  <c r="N295" i="49"/>
  <c r="O295" i="49" s="1"/>
  <c r="N217" i="49"/>
  <c r="O217" i="49" s="1"/>
  <c r="N85" i="49"/>
  <c r="O85" i="49" s="1"/>
  <c r="N180" i="49"/>
  <c r="O180" i="49" s="1"/>
  <c r="N86" i="49"/>
  <c r="O86" i="49" s="1"/>
  <c r="N39" i="49"/>
  <c r="O39" i="49" s="1"/>
  <c r="N286" i="49"/>
  <c r="O286" i="49" s="1"/>
  <c r="N240" i="49"/>
  <c r="O240" i="49" s="1"/>
  <c r="N143" i="49"/>
  <c r="O143" i="49" s="1"/>
  <c r="N184" i="49"/>
  <c r="O184" i="49" s="1"/>
  <c r="N21" i="49"/>
  <c r="O21" i="49" s="1"/>
  <c r="N149" i="49"/>
  <c r="O149" i="49" s="1"/>
  <c r="N248" i="49"/>
  <c r="O248" i="49" s="1"/>
  <c r="N193" i="49"/>
  <c r="O193" i="49" s="1"/>
  <c r="N122" i="49"/>
  <c r="O122" i="49" s="1"/>
  <c r="N12" i="49"/>
  <c r="O12" i="49" s="1"/>
  <c r="N95" i="49"/>
  <c r="O95" i="49" s="1"/>
  <c r="N220" i="49"/>
  <c r="O220" i="49" s="1"/>
  <c r="N146" i="49"/>
  <c r="O146" i="49" s="1"/>
  <c r="N81" i="49"/>
  <c r="O81" i="49" s="1"/>
  <c r="N206" i="49"/>
  <c r="O206" i="49" s="1"/>
  <c r="N243" i="49"/>
  <c r="O243" i="49" s="1"/>
  <c r="N125" i="49"/>
  <c r="O125" i="49" s="1"/>
  <c r="N283" i="49"/>
  <c r="O283" i="49" s="1"/>
  <c r="N159" i="49"/>
  <c r="O159" i="49" s="1"/>
  <c r="N137" i="49"/>
  <c r="O137" i="49" s="1"/>
  <c r="N176" i="49"/>
  <c r="O176" i="49" s="1"/>
  <c r="N209" i="49"/>
  <c r="O209" i="49" s="1"/>
  <c r="N287" i="49"/>
  <c r="O287" i="49" s="1"/>
  <c r="N101" i="49"/>
  <c r="O101" i="49" s="1"/>
  <c r="N30" i="49"/>
  <c r="O30" i="49" s="1"/>
  <c r="N166" i="49"/>
  <c r="O166" i="49" s="1"/>
  <c r="N254" i="49"/>
  <c r="O254" i="49" s="1"/>
  <c r="N54" i="49"/>
  <c r="O54" i="49" s="1"/>
  <c r="N36" i="49"/>
  <c r="O36" i="49" s="1"/>
  <c r="N142" i="49"/>
  <c r="O142" i="49" s="1"/>
  <c r="N48" i="49"/>
  <c r="O48" i="49" s="1"/>
  <c r="N153" i="49"/>
  <c r="O153" i="49" s="1"/>
  <c r="N92" i="49"/>
  <c r="O92" i="49" s="1"/>
  <c r="N226" i="49"/>
  <c r="O226" i="49" s="1"/>
  <c r="N20" i="49"/>
  <c r="O20" i="49" s="1"/>
  <c r="N205" i="49"/>
  <c r="O205" i="49" s="1"/>
  <c r="N108" i="49"/>
  <c r="O108" i="49" s="1"/>
  <c r="N78" i="49"/>
  <c r="O78" i="49" s="1"/>
  <c r="N213" i="49"/>
  <c r="O213" i="49" s="1"/>
  <c r="N73" i="49"/>
  <c r="O73" i="49" s="1"/>
  <c r="N207" i="49"/>
  <c r="O207" i="49" s="1"/>
  <c r="N150" i="49"/>
  <c r="O150" i="49" s="1"/>
  <c r="N311" i="49"/>
  <c r="O311" i="49" s="1"/>
  <c r="N51" i="49"/>
  <c r="O51" i="49" s="1"/>
  <c r="N119" i="49"/>
  <c r="O119" i="49" s="1"/>
  <c r="N69" i="49"/>
  <c r="O69" i="49" s="1"/>
  <c r="N115" i="49"/>
  <c r="O115" i="49" s="1"/>
  <c r="N68" i="49"/>
  <c r="O68" i="49" s="1"/>
  <c r="N195" i="49"/>
  <c r="O195" i="49" s="1"/>
  <c r="N203" i="49"/>
  <c r="O203" i="49" s="1"/>
  <c r="N63" i="49"/>
  <c r="O63" i="49" s="1"/>
  <c r="N185" i="49"/>
  <c r="O185" i="49" s="1"/>
  <c r="N251" i="49"/>
  <c r="O251" i="49" s="1"/>
  <c r="N145" i="49"/>
  <c r="O145" i="49" s="1"/>
  <c r="N131" i="49"/>
  <c r="O131" i="49" s="1"/>
  <c r="N281" i="49"/>
  <c r="O281" i="49" s="1"/>
  <c r="N13" i="49"/>
  <c r="O13" i="49" s="1"/>
  <c r="N229" i="49"/>
  <c r="O229" i="49" s="1"/>
  <c r="N67" i="49"/>
  <c r="O67" i="49" s="1"/>
  <c r="N169" i="49"/>
  <c r="O169" i="49" s="1"/>
  <c r="N162" i="49"/>
  <c r="O162" i="49" s="1"/>
  <c r="N44" i="49"/>
  <c r="O44" i="49" s="1"/>
  <c r="N296" i="49"/>
  <c r="O296" i="49" s="1"/>
  <c r="N277" i="49"/>
  <c r="O277" i="49" s="1"/>
  <c r="N278" i="49"/>
  <c r="O278" i="49" s="1"/>
  <c r="N167" i="49"/>
  <c r="O167" i="49" s="1"/>
  <c r="N260" i="49"/>
  <c r="O260" i="49" s="1"/>
  <c r="N117" i="49"/>
  <c r="O117" i="49" s="1"/>
  <c r="N135" i="49"/>
  <c r="O135" i="49" s="1"/>
  <c r="N111" i="49"/>
  <c r="O111" i="49" s="1"/>
  <c r="N235" i="49"/>
  <c r="O235" i="49" s="1"/>
  <c r="N23" i="49"/>
  <c r="O23" i="49" s="1"/>
  <c r="N83" i="49"/>
  <c r="O83" i="49" s="1"/>
  <c r="N37" i="49"/>
  <c r="O37" i="49" s="1"/>
  <c r="N267" i="49"/>
  <c r="O267" i="49" s="1"/>
  <c r="N175" i="49"/>
  <c r="O175" i="49" s="1"/>
  <c r="N72" i="49"/>
  <c r="O72" i="49" s="1"/>
  <c r="N28" i="49"/>
  <c r="O28" i="49" s="1"/>
  <c r="N60" i="49"/>
  <c r="O60" i="49" s="1"/>
  <c r="N29" i="49"/>
  <c r="O29" i="49" s="1"/>
  <c r="N42" i="49"/>
  <c r="O42" i="49" s="1"/>
  <c r="N297" i="49"/>
  <c r="O297" i="49" s="1"/>
  <c r="N126" i="49"/>
  <c r="O126" i="49" s="1"/>
  <c r="N223" i="49"/>
  <c r="O223" i="49" s="1"/>
  <c r="N89" i="49"/>
  <c r="O89" i="49" s="1"/>
  <c r="N298" i="49"/>
  <c r="O298" i="49" s="1"/>
  <c r="N198" i="49"/>
  <c r="O198" i="49" s="1"/>
  <c r="N284" i="49"/>
  <c r="O284" i="49" s="1"/>
  <c r="N204" i="49"/>
  <c r="O204" i="49" s="1"/>
  <c r="N201" i="49"/>
  <c r="O201" i="49" s="1"/>
  <c r="N109" i="49"/>
  <c r="O109" i="49" s="1"/>
  <c r="N208" i="49"/>
  <c r="O208" i="49" s="1"/>
  <c r="N27" i="49"/>
  <c r="O27" i="49" s="1"/>
  <c r="N52" i="49"/>
  <c r="O52" i="49" s="1"/>
  <c r="N112" i="49"/>
  <c r="O112" i="49" s="1"/>
  <c r="N212" i="49"/>
  <c r="O212" i="49" s="1"/>
  <c r="N25" i="49"/>
  <c r="O25" i="49" s="1"/>
  <c r="N56" i="49"/>
  <c r="O56" i="49" s="1"/>
  <c r="N106" i="49"/>
  <c r="O106" i="49" s="1"/>
  <c r="N303" i="49"/>
  <c r="O303" i="49" s="1"/>
  <c r="N238" i="49"/>
  <c r="O238" i="49" s="1"/>
  <c r="N216" i="49"/>
  <c r="O216" i="49" s="1"/>
  <c r="N61" i="49"/>
  <c r="O61" i="49" s="1"/>
  <c r="N140" i="49"/>
  <c r="O140" i="49" s="1"/>
  <c r="N41" i="49"/>
  <c r="O41" i="49" s="1"/>
  <c r="N70" i="49"/>
  <c r="O70" i="49" s="1"/>
  <c r="N309" i="49"/>
  <c r="O309" i="49" s="1"/>
  <c r="N266" i="49"/>
  <c r="O266" i="49" s="1"/>
  <c r="N46" i="49"/>
  <c r="O46" i="49" s="1"/>
  <c r="N194" i="49"/>
  <c r="O194" i="49" s="1"/>
  <c r="N246" i="49"/>
  <c r="O246" i="49" s="1"/>
  <c r="N154" i="49"/>
  <c r="O154" i="49" s="1"/>
  <c r="N308" i="49"/>
  <c r="O308" i="49" s="1"/>
  <c r="N50" i="49"/>
  <c r="O50" i="49" s="1"/>
  <c r="N197" i="49"/>
  <c r="O197" i="49" s="1"/>
  <c r="N250" i="49"/>
  <c r="O250" i="49" s="1"/>
  <c r="N200" i="49"/>
  <c r="O200" i="49" s="1"/>
  <c r="N314" i="49"/>
  <c r="O314" i="49" s="1"/>
  <c r="N173" i="49"/>
  <c r="O173" i="49" s="1"/>
  <c r="N87" i="49"/>
  <c r="O87" i="49" s="1"/>
  <c r="N268" i="49"/>
  <c r="O268" i="49" s="1"/>
  <c r="N94" i="49"/>
  <c r="O94" i="49" s="1"/>
  <c r="N107" i="49"/>
  <c r="O107" i="49" s="1"/>
  <c r="N88" i="49"/>
  <c r="O88" i="49" s="1"/>
  <c r="N269" i="49"/>
  <c r="O269" i="49" s="1"/>
  <c r="N230" i="49"/>
  <c r="O230" i="49" s="1"/>
  <c r="N249" i="49"/>
  <c r="O249" i="49" s="1"/>
  <c r="N305" i="49"/>
  <c r="O305" i="49" s="1"/>
  <c r="N252" i="49"/>
  <c r="O252" i="49" s="1"/>
  <c r="N24" i="49"/>
  <c r="O24" i="49" s="1"/>
  <c r="N265" i="49"/>
  <c r="O265" i="49" s="1"/>
  <c r="N163" i="49"/>
  <c r="O163" i="49" s="1"/>
  <c r="N236" i="49"/>
  <c r="O236" i="49" s="1"/>
  <c r="N259" i="49"/>
  <c r="O259" i="49" s="1"/>
  <c r="N233" i="49"/>
  <c r="O233" i="49" s="1"/>
  <c r="N47" i="49"/>
  <c r="O47" i="49" s="1"/>
  <c r="N221" i="49"/>
  <c r="O221" i="49" s="1"/>
  <c r="N172" i="49"/>
  <c r="O172" i="49" s="1"/>
  <c r="N53" i="49"/>
  <c r="O53" i="49" s="1"/>
  <c r="N31" i="49"/>
  <c r="O31" i="49" s="1"/>
  <c r="N228" i="49"/>
  <c r="O228" i="49" s="1"/>
  <c r="N215" i="49"/>
  <c r="O215" i="49" s="1"/>
  <c r="N202" i="49"/>
  <c r="O202" i="49" s="1"/>
  <c r="N232" i="49"/>
  <c r="O232" i="49" s="1"/>
  <c r="N271" i="49"/>
  <c r="O271" i="49" s="1"/>
  <c r="N182" i="49"/>
  <c r="O182" i="49" s="1"/>
  <c r="N152" i="49"/>
  <c r="O152" i="49" s="1"/>
  <c r="N121" i="49"/>
  <c r="O121" i="49" s="1"/>
  <c r="N276" i="49"/>
  <c r="O276" i="49" s="1"/>
  <c r="N174" i="49"/>
  <c r="O174" i="49" s="1"/>
  <c r="N275" i="49"/>
  <c r="O275" i="49" s="1"/>
  <c r="N96" i="49"/>
  <c r="O96" i="49" s="1"/>
  <c r="N218" i="49"/>
  <c r="O218" i="49" s="1"/>
  <c r="N160" i="49"/>
  <c r="O160" i="49" s="1"/>
  <c r="N144" i="49"/>
  <c r="O144" i="49" s="1"/>
  <c r="N294" i="49"/>
  <c r="O294" i="49" s="1"/>
  <c r="N43" i="49"/>
  <c r="O43" i="49" s="1"/>
  <c r="N147" i="49"/>
  <c r="O147" i="49" s="1"/>
  <c r="N102" i="49"/>
  <c r="O102" i="49" s="1"/>
  <c r="N262" i="49"/>
  <c r="O262" i="49" s="1"/>
  <c r="N285" i="49"/>
  <c r="O285" i="49" s="1"/>
  <c r="N138" i="49"/>
  <c r="O138" i="49" s="1"/>
  <c r="N158" i="49"/>
  <c r="O158" i="49" s="1"/>
  <c r="N139" i="49"/>
  <c r="O139" i="49" s="1"/>
  <c r="N224" i="49"/>
  <c r="O224" i="49" s="1"/>
  <c r="N84" i="49"/>
  <c r="O84" i="49" s="1"/>
  <c r="N165" i="49"/>
  <c r="O165" i="49" s="1"/>
  <c r="N133" i="49"/>
  <c r="O133" i="49" s="1"/>
  <c r="N231" i="49"/>
  <c r="O231" i="49" s="1"/>
  <c r="N136" i="49"/>
  <c r="O136" i="49" s="1"/>
  <c r="N237" i="49"/>
  <c r="O237" i="49" s="1"/>
  <c r="N264" i="49"/>
  <c r="O264" i="49" s="1"/>
  <c r="N11" i="49"/>
  <c r="O11" i="49" s="1"/>
  <c r="N282" i="49"/>
  <c r="O282" i="49" s="1"/>
  <c r="N190" i="49"/>
  <c r="O190" i="49" s="1"/>
  <c r="N187" i="49"/>
  <c r="O187" i="49" s="1"/>
  <c r="N93" i="49"/>
  <c r="O93" i="49" s="1"/>
  <c r="N171" i="49"/>
  <c r="O171" i="49" s="1"/>
  <c r="N280" i="49"/>
  <c r="O280" i="49" s="1"/>
  <c r="N263" i="49"/>
  <c r="O263" i="49" s="1"/>
  <c r="N211" i="49"/>
  <c r="O211" i="49" s="1"/>
  <c r="N90" i="49"/>
  <c r="O90" i="49" s="1"/>
  <c r="N242" i="49"/>
  <c r="O242" i="49" s="1"/>
  <c r="G16" i="34"/>
  <c r="H16" i="34" s="1"/>
  <c r="F15" i="9" l="1"/>
  <c r="G15" i="9" s="1"/>
  <c r="F19" i="9"/>
  <c r="G19" i="9" s="1"/>
  <c r="F24" i="9"/>
  <c r="G24" i="9" s="1"/>
  <c r="F14" i="9"/>
  <c r="G14" i="9" s="1"/>
  <c r="F18" i="9"/>
  <c r="G18" i="9" s="1"/>
  <c r="F23" i="9"/>
  <c r="G23" i="9" s="1"/>
  <c r="F27" i="9"/>
  <c r="G27" i="9" s="1"/>
  <c r="F32" i="9"/>
  <c r="G32" i="9" s="1"/>
  <c r="F41" i="9"/>
  <c r="G41" i="9" s="1"/>
  <c r="F46" i="9"/>
  <c r="G46" i="9" s="1"/>
  <c r="F50" i="9"/>
  <c r="G50" i="9" s="1"/>
  <c r="F68" i="9"/>
  <c r="G68" i="9" s="1"/>
  <c r="F77" i="9"/>
  <c r="G77" i="9" s="1"/>
  <c r="F100" i="9"/>
  <c r="G100" i="9" s="1"/>
  <c r="F109" i="9"/>
  <c r="G109" i="9" s="1"/>
  <c r="F132" i="9"/>
  <c r="G132" i="9" s="1"/>
  <c r="F141" i="9"/>
  <c r="G141" i="9" s="1"/>
  <c r="F164" i="9"/>
  <c r="G164" i="9" s="1"/>
  <c r="F173" i="9"/>
  <c r="G173" i="9" s="1"/>
  <c r="F196" i="9"/>
  <c r="G196" i="9" s="1"/>
  <c r="F205" i="9"/>
  <c r="G205" i="9" s="1"/>
  <c r="F214" i="9"/>
  <c r="G214" i="9" s="1"/>
  <c r="F228" i="9"/>
  <c r="G228" i="9" s="1"/>
  <c r="F237" i="9"/>
  <c r="G237" i="9" s="1"/>
  <c r="F17" i="9"/>
  <c r="G17" i="9" s="1"/>
  <c r="F20" i="9"/>
  <c r="G20" i="9" s="1"/>
  <c r="F26" i="9"/>
  <c r="G26" i="9" s="1"/>
  <c r="F29" i="9"/>
  <c r="G29" i="9" s="1"/>
  <c r="F35" i="9"/>
  <c r="G35" i="9" s="1"/>
  <c r="F39" i="9"/>
  <c r="G39" i="9" s="1"/>
  <c r="F42" i="9"/>
  <c r="G42" i="9" s="1"/>
  <c r="F54" i="9"/>
  <c r="G54" i="9" s="1"/>
  <c r="F58" i="9"/>
  <c r="G58" i="9" s="1"/>
  <c r="F63" i="9"/>
  <c r="G63" i="9" s="1"/>
  <c r="F67" i="9"/>
  <c r="G67" i="9" s="1"/>
  <c r="F72" i="9"/>
  <c r="G72" i="9" s="1"/>
  <c r="F81" i="9"/>
  <c r="G81" i="9" s="1"/>
  <c r="F86" i="9"/>
  <c r="G86" i="9" s="1"/>
  <c r="F90" i="9"/>
  <c r="G90" i="9" s="1"/>
  <c r="F95" i="9"/>
  <c r="G95" i="9" s="1"/>
  <c r="F99" i="9"/>
  <c r="G99" i="9" s="1"/>
  <c r="F104" i="9"/>
  <c r="G104" i="9" s="1"/>
  <c r="F113" i="9"/>
  <c r="G113" i="9" s="1"/>
  <c r="F118" i="9"/>
  <c r="G118" i="9" s="1"/>
  <c r="F122" i="9"/>
  <c r="G122" i="9" s="1"/>
  <c r="F127" i="9"/>
  <c r="G127" i="9" s="1"/>
  <c r="F131" i="9"/>
  <c r="G131" i="9" s="1"/>
  <c r="F136" i="9"/>
  <c r="G136" i="9" s="1"/>
  <c r="F145" i="9"/>
  <c r="G145" i="9" s="1"/>
  <c r="F150" i="9"/>
  <c r="G150" i="9" s="1"/>
  <c r="F154" i="9"/>
  <c r="G154" i="9" s="1"/>
  <c r="F159" i="9"/>
  <c r="G159" i="9" s="1"/>
  <c r="F163" i="9"/>
  <c r="G163" i="9" s="1"/>
  <c r="F168" i="9"/>
  <c r="G168" i="9" s="1"/>
  <c r="F49" i="9"/>
  <c r="G49" i="9" s="1"/>
  <c r="F53" i="9"/>
  <c r="G53" i="9" s="1"/>
  <c r="F76" i="9"/>
  <c r="G76" i="9" s="1"/>
  <c r="F85" i="9"/>
  <c r="G85" i="9" s="1"/>
  <c r="F108" i="9"/>
  <c r="G108" i="9" s="1"/>
  <c r="F117" i="9"/>
  <c r="G117" i="9" s="1"/>
  <c r="F140" i="9"/>
  <c r="G140" i="9" s="1"/>
  <c r="F149" i="9"/>
  <c r="G149" i="9" s="1"/>
  <c r="F172" i="9"/>
  <c r="G172" i="9" s="1"/>
  <c r="F28" i="9"/>
  <c r="G28" i="9" s="1"/>
  <c r="F38" i="9"/>
  <c r="G38" i="9" s="1"/>
  <c r="F45" i="9"/>
  <c r="G45" i="9" s="1"/>
  <c r="F57" i="9"/>
  <c r="G57" i="9" s="1"/>
  <c r="F62" i="9"/>
  <c r="G62" i="9" s="1"/>
  <c r="F66" i="9"/>
  <c r="G66" i="9" s="1"/>
  <c r="F71" i="9"/>
  <c r="G71" i="9" s="1"/>
  <c r="F75" i="9"/>
  <c r="G75" i="9" s="1"/>
  <c r="F80" i="9"/>
  <c r="G80" i="9" s="1"/>
  <c r="F89" i="9"/>
  <c r="G89" i="9" s="1"/>
  <c r="F94" i="9"/>
  <c r="G94" i="9" s="1"/>
  <c r="F98" i="9"/>
  <c r="G98" i="9" s="1"/>
  <c r="F103" i="9"/>
  <c r="G103" i="9" s="1"/>
  <c r="F107" i="9"/>
  <c r="G107" i="9" s="1"/>
  <c r="F112" i="9"/>
  <c r="G112" i="9" s="1"/>
  <c r="F121" i="9"/>
  <c r="G121" i="9" s="1"/>
  <c r="F126" i="9"/>
  <c r="G126" i="9" s="1"/>
  <c r="F130" i="9"/>
  <c r="G130" i="9" s="1"/>
  <c r="F135" i="9"/>
  <c r="G135" i="9" s="1"/>
  <c r="F139" i="9"/>
  <c r="G139" i="9" s="1"/>
  <c r="F144" i="9"/>
  <c r="G144" i="9" s="1"/>
  <c r="F153" i="9"/>
  <c r="G153" i="9" s="1"/>
  <c r="F158" i="9"/>
  <c r="G158" i="9" s="1"/>
  <c r="F162" i="9"/>
  <c r="G162" i="9" s="1"/>
  <c r="F167" i="9"/>
  <c r="G167" i="9" s="1"/>
  <c r="F171" i="9"/>
  <c r="G171" i="9" s="1"/>
  <c r="F176" i="9"/>
  <c r="G176" i="9" s="1"/>
  <c r="F185" i="9"/>
  <c r="G185" i="9" s="1"/>
  <c r="F190" i="9"/>
  <c r="G190" i="9" s="1"/>
  <c r="F194" i="9"/>
  <c r="G194" i="9" s="1"/>
  <c r="F199" i="9"/>
  <c r="G199" i="9" s="1"/>
  <c r="F203" i="9"/>
  <c r="G203" i="9" s="1"/>
  <c r="F208" i="9"/>
  <c r="G208" i="9" s="1"/>
  <c r="F217" i="9"/>
  <c r="G217" i="9" s="1"/>
  <c r="F226" i="9"/>
  <c r="G226" i="9" s="1"/>
  <c r="F231" i="9"/>
  <c r="G231" i="9" s="1"/>
  <c r="F235" i="9"/>
  <c r="G235" i="9" s="1"/>
  <c r="F240" i="9"/>
  <c r="G240" i="9" s="1"/>
  <c r="F249" i="9"/>
  <c r="G249" i="9" s="1"/>
  <c r="F258" i="9"/>
  <c r="G258" i="9" s="1"/>
  <c r="F263" i="9"/>
  <c r="G263" i="9" s="1"/>
  <c r="F267" i="9"/>
  <c r="G267" i="9" s="1"/>
  <c r="F272" i="9"/>
  <c r="G272" i="9" s="1"/>
  <c r="F281" i="9"/>
  <c r="G281" i="9" s="1"/>
  <c r="F290" i="9"/>
  <c r="G290" i="9" s="1"/>
  <c r="F295" i="9"/>
  <c r="G295" i="9" s="1"/>
  <c r="F299" i="9"/>
  <c r="G299" i="9" s="1"/>
  <c r="F304" i="9"/>
  <c r="G304" i="9" s="1"/>
  <c r="F313" i="9"/>
  <c r="G313" i="9" s="1"/>
  <c r="F13" i="9"/>
  <c r="G13" i="9" s="1"/>
  <c r="F16" i="9"/>
  <c r="G16" i="9" s="1"/>
  <c r="F25" i="9"/>
  <c r="G25" i="9" s="1"/>
  <c r="F31" i="9"/>
  <c r="G31" i="9" s="1"/>
  <c r="F34" i="9"/>
  <c r="G34" i="9" s="1"/>
  <c r="F52" i="9"/>
  <c r="G52" i="9" s="1"/>
  <c r="F61" i="9"/>
  <c r="G61" i="9" s="1"/>
  <c r="F84" i="9"/>
  <c r="G84" i="9" s="1"/>
  <c r="F93" i="9"/>
  <c r="G93" i="9" s="1"/>
  <c r="F116" i="9"/>
  <c r="G116" i="9" s="1"/>
  <c r="F125" i="9"/>
  <c r="G125" i="9" s="1"/>
  <c r="F148" i="9"/>
  <c r="G148" i="9" s="1"/>
  <c r="F157" i="9"/>
  <c r="G157" i="9" s="1"/>
  <c r="F180" i="9"/>
  <c r="G180" i="9" s="1"/>
  <c r="F189" i="9"/>
  <c r="G189" i="9" s="1"/>
  <c r="F212" i="9"/>
  <c r="G212" i="9" s="1"/>
  <c r="F221" i="9"/>
  <c r="G221" i="9" s="1"/>
  <c r="F230" i="9"/>
  <c r="G230" i="9" s="1"/>
  <c r="F22" i="9"/>
  <c r="G22" i="9" s="1"/>
  <c r="F37" i="9"/>
  <c r="G37" i="9" s="1"/>
  <c r="F48" i="9"/>
  <c r="G48" i="9" s="1"/>
  <c r="F51" i="9"/>
  <c r="G51" i="9" s="1"/>
  <c r="F56" i="9"/>
  <c r="G56" i="9" s="1"/>
  <c r="F65" i="9"/>
  <c r="G65" i="9" s="1"/>
  <c r="F70" i="9"/>
  <c r="G70" i="9" s="1"/>
  <c r="F74" i="9"/>
  <c r="G74" i="9" s="1"/>
  <c r="F79" i="9"/>
  <c r="G79" i="9" s="1"/>
  <c r="F83" i="9"/>
  <c r="G83" i="9" s="1"/>
  <c r="F88" i="9"/>
  <c r="G88" i="9" s="1"/>
  <c r="F97" i="9"/>
  <c r="G97" i="9" s="1"/>
  <c r="F102" i="9"/>
  <c r="G102" i="9" s="1"/>
  <c r="F106" i="9"/>
  <c r="G106" i="9" s="1"/>
  <c r="F111" i="9"/>
  <c r="G111" i="9" s="1"/>
  <c r="F115" i="9"/>
  <c r="G115" i="9" s="1"/>
  <c r="F120" i="9"/>
  <c r="G120" i="9" s="1"/>
  <c r="F129" i="9"/>
  <c r="G129" i="9" s="1"/>
  <c r="F134" i="9"/>
  <c r="G134" i="9" s="1"/>
  <c r="F138" i="9"/>
  <c r="G138" i="9" s="1"/>
  <c r="F143" i="9"/>
  <c r="G143" i="9" s="1"/>
  <c r="F147" i="9"/>
  <c r="G147" i="9" s="1"/>
  <c r="F152" i="9"/>
  <c r="G152" i="9" s="1"/>
  <c r="F161" i="9"/>
  <c r="G161" i="9" s="1"/>
  <c r="F166" i="9"/>
  <c r="G166" i="9" s="1"/>
  <c r="F170" i="9"/>
  <c r="G170" i="9" s="1"/>
  <c r="F33" i="9"/>
  <c r="G33" i="9" s="1"/>
  <c r="F40" i="9"/>
  <c r="G40" i="9" s="1"/>
  <c r="F44" i="9"/>
  <c r="G44" i="9" s="1"/>
  <c r="F60" i="9"/>
  <c r="G60" i="9" s="1"/>
  <c r="F69" i="9"/>
  <c r="G69" i="9" s="1"/>
  <c r="F92" i="9"/>
  <c r="G92" i="9" s="1"/>
  <c r="F101" i="9"/>
  <c r="G101" i="9" s="1"/>
  <c r="F124" i="9"/>
  <c r="G124" i="9" s="1"/>
  <c r="F133" i="9"/>
  <c r="G133" i="9" s="1"/>
  <c r="F156" i="9"/>
  <c r="G156" i="9" s="1"/>
  <c r="F165" i="9"/>
  <c r="G165" i="9" s="1"/>
  <c r="F12" i="9"/>
  <c r="G12" i="9" s="1"/>
  <c r="F21" i="9"/>
  <c r="G21" i="9" s="1"/>
  <c r="F30" i="9"/>
  <c r="G30" i="9" s="1"/>
  <c r="F36" i="9"/>
  <c r="G36" i="9" s="1"/>
  <c r="F43" i="9"/>
  <c r="G43" i="9" s="1"/>
  <c r="F47" i="9"/>
  <c r="G47" i="9" s="1"/>
  <c r="F55" i="9"/>
  <c r="G55" i="9" s="1"/>
  <c r="F59" i="9"/>
  <c r="G59" i="9" s="1"/>
  <c r="F64" i="9"/>
  <c r="G64" i="9" s="1"/>
  <c r="F73" i="9"/>
  <c r="G73" i="9" s="1"/>
  <c r="F78" i="9"/>
  <c r="G78" i="9" s="1"/>
  <c r="F82" i="9"/>
  <c r="G82" i="9" s="1"/>
  <c r="F87" i="9"/>
  <c r="G87" i="9" s="1"/>
  <c r="F91" i="9"/>
  <c r="G91" i="9" s="1"/>
  <c r="F96" i="9"/>
  <c r="G96" i="9" s="1"/>
  <c r="F105" i="9"/>
  <c r="G105" i="9" s="1"/>
  <c r="F110" i="9"/>
  <c r="G110" i="9" s="1"/>
  <c r="F114" i="9"/>
  <c r="G114" i="9" s="1"/>
  <c r="F119" i="9"/>
  <c r="G119" i="9" s="1"/>
  <c r="F123" i="9"/>
  <c r="G123" i="9" s="1"/>
  <c r="F128" i="9"/>
  <c r="G128" i="9" s="1"/>
  <c r="F137" i="9"/>
  <c r="G137" i="9" s="1"/>
  <c r="F142" i="9"/>
  <c r="G142" i="9" s="1"/>
  <c r="F146" i="9"/>
  <c r="G146" i="9" s="1"/>
  <c r="F151" i="9"/>
  <c r="G151" i="9" s="1"/>
  <c r="F155" i="9"/>
  <c r="G155" i="9" s="1"/>
  <c r="F160" i="9"/>
  <c r="G160" i="9" s="1"/>
  <c r="F169" i="9"/>
  <c r="G169" i="9" s="1"/>
  <c r="F174" i="9"/>
  <c r="G174" i="9" s="1"/>
  <c r="F178" i="9"/>
  <c r="G178" i="9" s="1"/>
  <c r="F183" i="9"/>
  <c r="G183" i="9" s="1"/>
  <c r="F187" i="9"/>
  <c r="G187" i="9" s="1"/>
  <c r="F192" i="9"/>
  <c r="G192" i="9" s="1"/>
  <c r="F201" i="9"/>
  <c r="G201" i="9" s="1"/>
  <c r="F206" i="9"/>
  <c r="G206" i="9" s="1"/>
  <c r="F210" i="9"/>
  <c r="G210" i="9" s="1"/>
  <c r="F215" i="9"/>
  <c r="G215" i="9" s="1"/>
  <c r="F219" i="9"/>
  <c r="G219" i="9" s="1"/>
  <c r="F224" i="9"/>
  <c r="G224" i="9" s="1"/>
  <c r="F233" i="9"/>
  <c r="G233" i="9" s="1"/>
  <c r="F242" i="9"/>
  <c r="G242" i="9" s="1"/>
  <c r="F247" i="9"/>
  <c r="G247" i="9" s="1"/>
  <c r="F251" i="9"/>
  <c r="G251" i="9" s="1"/>
  <c r="F256" i="9"/>
  <c r="G256" i="9" s="1"/>
  <c r="F265" i="9"/>
  <c r="G265" i="9" s="1"/>
  <c r="F274" i="9"/>
  <c r="G274" i="9" s="1"/>
  <c r="F279" i="9"/>
  <c r="G279" i="9" s="1"/>
  <c r="F283" i="9"/>
  <c r="G283" i="9" s="1"/>
  <c r="F288" i="9"/>
  <c r="G288" i="9" s="1"/>
  <c r="F297" i="9"/>
  <c r="G297" i="9" s="1"/>
  <c r="F306" i="9"/>
  <c r="G306" i="9" s="1"/>
  <c r="F311" i="9"/>
  <c r="G311" i="9" s="1"/>
  <c r="F315" i="9"/>
  <c r="G315" i="9" s="1"/>
  <c r="F175" i="9"/>
  <c r="G175" i="9" s="1"/>
  <c r="F177" i="9"/>
  <c r="G177" i="9" s="1"/>
  <c r="F179" i="9"/>
  <c r="G179" i="9" s="1"/>
  <c r="F186" i="9"/>
  <c r="G186" i="9" s="1"/>
  <c r="F191" i="9"/>
  <c r="G191" i="9" s="1"/>
  <c r="F198" i="9"/>
  <c r="G198" i="9" s="1"/>
  <c r="F222" i="9"/>
  <c r="G222" i="9" s="1"/>
  <c r="F229" i="9"/>
  <c r="G229" i="9" s="1"/>
  <c r="F253" i="9"/>
  <c r="G253" i="9" s="1"/>
  <c r="F262" i="9"/>
  <c r="G262" i="9" s="1"/>
  <c r="F302" i="9"/>
  <c r="G302" i="9" s="1"/>
  <c r="F193" i="9"/>
  <c r="G193" i="9" s="1"/>
  <c r="F200" i="9"/>
  <c r="G200" i="9" s="1"/>
  <c r="F236" i="9"/>
  <c r="G236" i="9" s="1"/>
  <c r="F243" i="9"/>
  <c r="G243" i="9" s="1"/>
  <c r="F268" i="9"/>
  <c r="G268" i="9" s="1"/>
  <c r="F271" i="9"/>
  <c r="G271" i="9" s="1"/>
  <c r="F277" i="9"/>
  <c r="G277" i="9" s="1"/>
  <c r="F280" i="9"/>
  <c r="G280" i="9" s="1"/>
  <c r="F289" i="9"/>
  <c r="G289" i="9" s="1"/>
  <c r="F292" i="9"/>
  <c r="G292" i="9" s="1"/>
  <c r="F298" i="9"/>
  <c r="G298" i="9" s="1"/>
  <c r="F307" i="9"/>
  <c r="G307" i="9" s="1"/>
  <c r="F317" i="9"/>
  <c r="G317" i="9" s="1"/>
  <c r="F181" i="9"/>
  <c r="G181" i="9" s="1"/>
  <c r="F188" i="9"/>
  <c r="G188" i="9" s="1"/>
  <c r="F195" i="9"/>
  <c r="G195" i="9" s="1"/>
  <c r="F202" i="9"/>
  <c r="G202" i="9" s="1"/>
  <c r="F207" i="9"/>
  <c r="G207" i="9" s="1"/>
  <c r="F238" i="9"/>
  <c r="G238" i="9" s="1"/>
  <c r="F246" i="9"/>
  <c r="G246" i="9" s="1"/>
  <c r="F286" i="9"/>
  <c r="G286" i="9" s="1"/>
  <c r="F301" i="9"/>
  <c r="G301" i="9" s="1"/>
  <c r="F310" i="9"/>
  <c r="G310" i="9" s="1"/>
  <c r="F209" i="9"/>
  <c r="G209" i="9" s="1"/>
  <c r="F252" i="9"/>
  <c r="G252" i="9" s="1"/>
  <c r="F255" i="9"/>
  <c r="G255" i="9" s="1"/>
  <c r="F261" i="9"/>
  <c r="G261" i="9" s="1"/>
  <c r="F264" i="9"/>
  <c r="G264" i="9" s="1"/>
  <c r="F273" i="9"/>
  <c r="G273" i="9" s="1"/>
  <c r="F276" i="9"/>
  <c r="G276" i="9" s="1"/>
  <c r="F282" i="9"/>
  <c r="G282" i="9" s="1"/>
  <c r="F291" i="9"/>
  <c r="G291" i="9" s="1"/>
  <c r="F316" i="9"/>
  <c r="G316" i="9" s="1"/>
  <c r="F197" i="9"/>
  <c r="G197" i="9" s="1"/>
  <c r="F204" i="9"/>
  <c r="G204" i="9" s="1"/>
  <c r="F211" i="9"/>
  <c r="G211" i="9" s="1"/>
  <c r="F216" i="9"/>
  <c r="G216" i="9" s="1"/>
  <c r="F223" i="9"/>
  <c r="G223" i="9" s="1"/>
  <c r="F270" i="9"/>
  <c r="G270" i="9" s="1"/>
  <c r="F285" i="9"/>
  <c r="G285" i="9" s="1"/>
  <c r="F294" i="9"/>
  <c r="G294" i="9" s="1"/>
  <c r="F218" i="9"/>
  <c r="G218" i="9" s="1"/>
  <c r="F225" i="9"/>
  <c r="G225" i="9" s="1"/>
  <c r="F245" i="9"/>
  <c r="G245" i="9" s="1"/>
  <c r="F248" i="9"/>
  <c r="G248" i="9" s="1"/>
  <c r="F257" i="9"/>
  <c r="G257" i="9" s="1"/>
  <c r="F260" i="9"/>
  <c r="G260" i="9" s="1"/>
  <c r="F266" i="9"/>
  <c r="G266" i="9" s="1"/>
  <c r="F275" i="9"/>
  <c r="G275" i="9" s="1"/>
  <c r="F300" i="9"/>
  <c r="G300" i="9" s="1"/>
  <c r="F303" i="9"/>
  <c r="G303" i="9" s="1"/>
  <c r="F309" i="9"/>
  <c r="G309" i="9" s="1"/>
  <c r="F312" i="9"/>
  <c r="G312" i="9" s="1"/>
  <c r="F319" i="9"/>
  <c r="G319" i="9" s="1"/>
  <c r="F182" i="9"/>
  <c r="G182" i="9" s="1"/>
  <c r="F213" i="9"/>
  <c r="G213" i="9" s="1"/>
  <c r="F227" i="9"/>
  <c r="G227" i="9" s="1"/>
  <c r="F232" i="9"/>
  <c r="G232" i="9" s="1"/>
  <c r="F239" i="9"/>
  <c r="G239" i="9" s="1"/>
  <c r="F254" i="9"/>
  <c r="G254" i="9" s="1"/>
  <c r="F269" i="9"/>
  <c r="G269" i="9" s="1"/>
  <c r="F278" i="9"/>
  <c r="G278" i="9" s="1"/>
  <c r="F184" i="9"/>
  <c r="G184" i="9" s="1"/>
  <c r="F220" i="9"/>
  <c r="G220" i="9" s="1"/>
  <c r="F234" i="9"/>
  <c r="G234" i="9" s="1"/>
  <c r="F241" i="9"/>
  <c r="G241" i="9" s="1"/>
  <c r="F244" i="9"/>
  <c r="G244" i="9" s="1"/>
  <c r="F250" i="9"/>
  <c r="G250" i="9" s="1"/>
  <c r="F259" i="9"/>
  <c r="G259" i="9" s="1"/>
  <c r="F284" i="9"/>
  <c r="G284" i="9" s="1"/>
  <c r="F287" i="9"/>
  <c r="G287" i="9" s="1"/>
  <c r="F293" i="9"/>
  <c r="G293" i="9" s="1"/>
  <c r="F296" i="9"/>
  <c r="G296" i="9" s="1"/>
  <c r="F305" i="9"/>
  <c r="G305" i="9" s="1"/>
  <c r="F308" i="9"/>
  <c r="G308" i="9" s="1"/>
  <c r="F314" i="9"/>
  <c r="G314" i="9" s="1"/>
  <c r="F318" i="9"/>
  <c r="G318" i="9" s="1"/>
  <c r="F11" i="9"/>
  <c r="M211" i="25"/>
  <c r="M231" i="25"/>
  <c r="M43" i="25"/>
  <c r="M215" i="25"/>
  <c r="M24" i="25"/>
  <c r="M314" i="25"/>
  <c r="M70" i="25"/>
  <c r="M52" i="25"/>
  <c r="M297" i="25"/>
  <c r="M37" i="25"/>
  <c r="M167" i="25"/>
  <c r="M145" i="25"/>
  <c r="M150" i="25"/>
  <c r="M142" i="25"/>
  <c r="M283" i="25"/>
  <c r="M149" i="25"/>
  <c r="M151" i="25"/>
  <c r="M196" i="25"/>
  <c r="M261" i="25"/>
  <c r="M71" i="25"/>
  <c r="M263" i="25"/>
  <c r="M187" i="25"/>
  <c r="M264" i="25"/>
  <c r="M133" i="25"/>
  <c r="M139" i="25"/>
  <c r="M262" i="25"/>
  <c r="M294" i="25"/>
  <c r="M96" i="25"/>
  <c r="M121" i="25"/>
  <c r="M271" i="25"/>
  <c r="M228" i="25"/>
  <c r="M221" i="25"/>
  <c r="M236" i="25"/>
  <c r="M252" i="25"/>
  <c r="M269" i="25"/>
  <c r="M268" i="25"/>
  <c r="M200" i="25"/>
  <c r="M308" i="25"/>
  <c r="M46" i="25"/>
  <c r="M41" i="25"/>
  <c r="M238" i="25"/>
  <c r="M25" i="25"/>
  <c r="M27" i="25"/>
  <c r="M204" i="25"/>
  <c r="M89" i="25"/>
  <c r="M42" i="25"/>
  <c r="M72" i="25"/>
  <c r="M83" i="25"/>
  <c r="M135" i="25"/>
  <c r="M278" i="25"/>
  <c r="M162" i="25"/>
  <c r="M13" i="25"/>
  <c r="M251" i="25"/>
  <c r="M195" i="25"/>
  <c r="M119" i="25"/>
  <c r="M207" i="25"/>
  <c r="M108" i="25"/>
  <c r="M92" i="25"/>
  <c r="M36" i="25"/>
  <c r="M30" i="25"/>
  <c r="M176" i="25"/>
  <c r="M125" i="25"/>
  <c r="M146" i="25"/>
  <c r="M122" i="25"/>
  <c r="M21" i="25"/>
  <c r="M286" i="25"/>
  <c r="M85" i="25"/>
  <c r="M257" i="25"/>
  <c r="M157" i="25"/>
  <c r="M34" i="25"/>
  <c r="M91" i="25"/>
  <c r="M120" i="25"/>
  <c r="M8" i="25"/>
  <c r="M155" i="25"/>
  <c r="M16" i="25"/>
  <c r="M55" i="25"/>
  <c r="M123" i="25"/>
  <c r="M82" i="25"/>
  <c r="M258" i="25"/>
  <c r="M10" i="25"/>
  <c r="M253" i="25"/>
  <c r="M65" i="25"/>
  <c r="M161" i="25"/>
  <c r="M274" i="25"/>
  <c r="M62" i="25"/>
  <c r="M33" i="25"/>
  <c r="M312" i="25"/>
  <c r="M74" i="25"/>
  <c r="M214" i="25"/>
  <c r="M241" i="25"/>
  <c r="M192" i="25"/>
  <c r="M7" i="25"/>
  <c r="M35" i="25"/>
  <c r="M300" i="25"/>
  <c r="M75" i="25"/>
  <c r="M301" i="25"/>
  <c r="M11" i="25"/>
  <c r="M285" i="25"/>
  <c r="M276" i="25"/>
  <c r="M172" i="25"/>
  <c r="M94" i="25"/>
  <c r="M194" i="25"/>
  <c r="M56" i="25"/>
  <c r="M201" i="25"/>
  <c r="M28" i="25"/>
  <c r="M44" i="25"/>
  <c r="M203" i="25"/>
  <c r="M78" i="25"/>
  <c r="M166" i="25"/>
  <c r="M81" i="25"/>
  <c r="M240" i="25"/>
  <c r="M49" i="25"/>
  <c r="M116" i="25"/>
  <c r="M189" i="25"/>
  <c r="M310" i="25"/>
  <c r="M64" i="25"/>
  <c r="M302" i="25"/>
  <c r="M178" i="25"/>
  <c r="M156" i="25"/>
  <c r="M270" i="25"/>
  <c r="M22" i="25"/>
  <c r="M177" i="25"/>
  <c r="M179" i="25"/>
  <c r="M15" i="25"/>
  <c r="M242" i="25"/>
  <c r="M280" i="25"/>
  <c r="M190" i="25"/>
  <c r="M237" i="25"/>
  <c r="M165" i="25"/>
  <c r="M158" i="25"/>
  <c r="M102" i="25"/>
  <c r="M144" i="25"/>
  <c r="M275" i="25"/>
  <c r="M152" i="25"/>
  <c r="M232" i="25"/>
  <c r="M31" i="25"/>
  <c r="M47" i="25"/>
  <c r="M163" i="25"/>
  <c r="M305" i="25"/>
  <c r="M88" i="25"/>
  <c r="M87" i="25"/>
  <c r="M250" i="25"/>
  <c r="M154" i="25"/>
  <c r="M266" i="25"/>
  <c r="M140" i="25"/>
  <c r="M303" i="25"/>
  <c r="M212" i="25"/>
  <c r="M208" i="25"/>
  <c r="M284" i="25"/>
  <c r="M223" i="25"/>
  <c r="M29" i="25"/>
  <c r="M175" i="25"/>
  <c r="M23" i="25"/>
  <c r="M117" i="25"/>
  <c r="M277" i="25"/>
  <c r="M169" i="25"/>
  <c r="M281" i="25"/>
  <c r="M185" i="25"/>
  <c r="M68" i="25"/>
  <c r="M51" i="25"/>
  <c r="M73" i="25"/>
  <c r="M205" i="25"/>
  <c r="M153" i="25"/>
  <c r="M54" i="25"/>
  <c r="M101" i="25"/>
  <c r="M137" i="25"/>
  <c r="M243" i="25"/>
  <c r="M220" i="25"/>
  <c r="M193" i="25"/>
  <c r="M184" i="25"/>
  <c r="M39" i="25"/>
  <c r="M217" i="25"/>
  <c r="M114" i="25"/>
  <c r="M168" i="25"/>
  <c r="M79" i="25"/>
  <c r="M227" i="25"/>
  <c r="M98" i="25"/>
  <c r="M134" i="25"/>
  <c r="M104" i="25"/>
  <c r="M77" i="25"/>
  <c r="M279" i="25"/>
  <c r="M164" i="25"/>
  <c r="M306" i="25"/>
  <c r="M313" i="25"/>
  <c r="M132" i="25"/>
  <c r="M222" i="25"/>
  <c r="M255" i="25"/>
  <c r="M80" i="25"/>
  <c r="M186" i="25"/>
  <c r="M118" i="25"/>
  <c r="M291" i="25"/>
  <c r="M18" i="25"/>
  <c r="M99" i="25"/>
  <c r="M181" i="25"/>
  <c r="M66" i="25"/>
  <c r="M124" i="25"/>
  <c r="M183" i="25"/>
  <c r="M273" i="25"/>
  <c r="M188" i="25"/>
  <c r="M113" i="25"/>
  <c r="M256" i="25"/>
  <c r="M93" i="25"/>
  <c r="M224" i="25"/>
  <c r="M218" i="25"/>
  <c r="M182" i="25"/>
  <c r="M259" i="25"/>
  <c r="M230" i="25"/>
  <c r="M50" i="25"/>
  <c r="M216" i="25"/>
  <c r="M298" i="25"/>
  <c r="M111" i="25"/>
  <c r="M229" i="25"/>
  <c r="M69" i="25"/>
  <c r="M226" i="25"/>
  <c r="M209" i="25"/>
  <c r="M12" i="25"/>
  <c r="M180" i="25"/>
  <c r="M14" i="25"/>
  <c r="M38" i="25"/>
  <c r="M103" i="25"/>
  <c r="M307" i="25"/>
  <c r="M57" i="25"/>
  <c r="M289" i="25"/>
  <c r="M141" i="25"/>
  <c r="M97" i="25"/>
  <c r="M225" i="25"/>
  <c r="M110" i="25"/>
  <c r="M76" i="25"/>
  <c r="M210" i="25"/>
  <c r="M90" i="25"/>
  <c r="M171" i="25"/>
  <c r="M282" i="25"/>
  <c r="M136" i="25"/>
  <c r="M84" i="25"/>
  <c r="M138" i="25"/>
  <c r="M147" i="25"/>
  <c r="M160" i="25"/>
  <c r="M174" i="25"/>
  <c r="M202" i="25"/>
  <c r="M53" i="25"/>
  <c r="M233" i="25"/>
  <c r="M265" i="25"/>
  <c r="M249" i="25"/>
  <c r="M107" i="25"/>
  <c r="M173" i="25"/>
  <c r="M197" i="25"/>
  <c r="M246" i="25"/>
  <c r="M309" i="25"/>
  <c r="M61" i="25"/>
  <c r="M106" i="25"/>
  <c r="M112" i="25"/>
  <c r="M109" i="25"/>
  <c r="M198" i="25"/>
  <c r="M126" i="25"/>
  <c r="M60" i="25"/>
  <c r="M267" i="25"/>
  <c r="M235" i="25"/>
  <c r="M260" i="25"/>
  <c r="M296" i="25"/>
  <c r="M67" i="25"/>
  <c r="M131" i="25"/>
  <c r="M63" i="25"/>
  <c r="M115" i="25"/>
  <c r="M311" i="25"/>
  <c r="M213" i="25"/>
  <c r="M20" i="25"/>
  <c r="M48" i="25"/>
  <c r="M254" i="25"/>
  <c r="M287" i="25"/>
  <c r="M159" i="25"/>
  <c r="M206" i="25"/>
  <c r="M95" i="25"/>
  <c r="M248" i="25"/>
  <c r="M143" i="25"/>
  <c r="M86" i="25"/>
  <c r="M295" i="25"/>
  <c r="M299" i="25"/>
  <c r="M239" i="25"/>
  <c r="M234" i="25"/>
  <c r="M130" i="25"/>
  <c r="M32" i="25"/>
  <c r="M199" i="25"/>
  <c r="M19" i="25"/>
  <c r="M9" i="25"/>
  <c r="M128" i="25"/>
  <c r="M127" i="25"/>
  <c r="M148" i="25"/>
  <c r="M45" i="25"/>
  <c r="M191" i="25"/>
  <c r="M293" i="25"/>
  <c r="M304" i="25"/>
  <c r="M247" i="25"/>
  <c r="M26" i="25"/>
  <c r="M272" i="25"/>
  <c r="M292" i="25"/>
  <c r="M290" i="25"/>
  <c r="M129" i="25"/>
  <c r="M59" i="25"/>
  <c r="M100" i="25"/>
  <c r="M17" i="25"/>
  <c r="M245" i="25"/>
  <c r="M288" i="25"/>
  <c r="M40" i="25"/>
  <c r="M58" i="25"/>
  <c r="K41" i="40"/>
  <c r="K42" i="40" s="1"/>
  <c r="I314" i="37"/>
  <c r="F30" i="48"/>
  <c r="F314" i="37"/>
  <c r="O6" i="49"/>
  <c r="E48" i="48"/>
  <c r="F48" i="48" s="1"/>
  <c r="F50" i="48" s="1"/>
  <c r="D290" i="39" l="1"/>
  <c r="D290" i="12"/>
  <c r="D228" i="39"/>
  <c r="D228" i="12"/>
  <c r="D221" i="39"/>
  <c r="D221" i="12"/>
  <c r="D269" i="39"/>
  <c r="D269" i="12"/>
  <c r="D288" i="39"/>
  <c r="D288" i="12"/>
  <c r="D310" i="12"/>
  <c r="D310" i="39"/>
  <c r="D246" i="39"/>
  <c r="D246" i="12"/>
  <c r="D196" i="39"/>
  <c r="D196" i="12"/>
  <c r="D283" i="12"/>
  <c r="D283" i="39"/>
  <c r="D187" i="39"/>
  <c r="D187" i="12"/>
  <c r="D180" i="39"/>
  <c r="D180" i="12"/>
  <c r="D282" i="39"/>
  <c r="D282" i="12"/>
  <c r="D236" i="39"/>
  <c r="D236" i="12"/>
  <c r="D186" i="39"/>
  <c r="D186" i="12"/>
  <c r="D145" i="39"/>
  <c r="D145" i="12"/>
  <c r="D104" i="12"/>
  <c r="D104" i="39"/>
  <c r="D58" i="39"/>
  <c r="D58" i="12"/>
  <c r="D6" i="12"/>
  <c r="D6" i="39"/>
  <c r="D54" i="39"/>
  <c r="D54" i="12"/>
  <c r="D141" i="39"/>
  <c r="D141" i="12"/>
  <c r="D100" i="12"/>
  <c r="D100" i="39"/>
  <c r="D59" i="39"/>
  <c r="D59" i="12"/>
  <c r="D206" i="12"/>
  <c r="D206" i="39"/>
  <c r="D78" i="12"/>
  <c r="D78" i="39"/>
  <c r="D307" i="39"/>
  <c r="D307" i="12"/>
  <c r="D257" i="39"/>
  <c r="D257" i="12"/>
  <c r="D202" i="39"/>
  <c r="D202" i="12"/>
  <c r="D161" i="39"/>
  <c r="D161" i="12"/>
  <c r="D120" i="12"/>
  <c r="D120" i="39"/>
  <c r="D74" i="39"/>
  <c r="D74" i="12"/>
  <c r="D22" i="12"/>
  <c r="D22" i="39"/>
  <c r="D47" i="39"/>
  <c r="D47" i="12"/>
  <c r="D130" i="12"/>
  <c r="D130" i="39"/>
  <c r="D89" i="39"/>
  <c r="D89" i="12"/>
  <c r="D48" i="12"/>
  <c r="D48" i="39"/>
  <c r="D231" i="39"/>
  <c r="D231" i="12"/>
  <c r="D126" i="12"/>
  <c r="D126" i="39"/>
  <c r="D26" i="12"/>
  <c r="D26" i="39"/>
  <c r="D287" i="39"/>
  <c r="D287" i="12"/>
  <c r="D214" i="12"/>
  <c r="D214" i="39"/>
  <c r="D207" i="12"/>
  <c r="D207" i="39"/>
  <c r="D260" i="39"/>
  <c r="D260" i="12"/>
  <c r="D279" i="39"/>
  <c r="D279" i="12"/>
  <c r="D285" i="39"/>
  <c r="D285" i="12"/>
  <c r="D203" i="39"/>
  <c r="D203" i="12"/>
  <c r="D189" i="12"/>
  <c r="D189" i="39"/>
  <c r="D274" i="39"/>
  <c r="D274" i="12"/>
  <c r="D296" i="39"/>
  <c r="D296" i="12"/>
  <c r="D173" i="12"/>
  <c r="D173" i="39"/>
  <c r="D277" i="39"/>
  <c r="D277" i="12"/>
  <c r="D227" i="12"/>
  <c r="D227" i="39"/>
  <c r="D181" i="12"/>
  <c r="D181" i="39"/>
  <c r="D140" i="12"/>
  <c r="D140" i="39"/>
  <c r="D99" i="39"/>
  <c r="D99" i="12"/>
  <c r="D53" i="39"/>
  <c r="D53" i="12"/>
  <c r="D159" i="39"/>
  <c r="D159" i="12"/>
  <c r="D38" i="12"/>
  <c r="D38" i="39"/>
  <c r="D137" i="39"/>
  <c r="D137" i="12"/>
  <c r="D96" i="39"/>
  <c r="D96" i="12"/>
  <c r="D50" i="39"/>
  <c r="D50" i="12"/>
  <c r="D183" i="39"/>
  <c r="D183" i="12"/>
  <c r="D55" i="39"/>
  <c r="D55" i="12"/>
  <c r="D298" i="39"/>
  <c r="D298" i="12"/>
  <c r="D252" i="39"/>
  <c r="D252" i="12"/>
  <c r="D197" i="39"/>
  <c r="D197" i="12"/>
  <c r="D156" i="12"/>
  <c r="D156" i="39"/>
  <c r="D115" i="12"/>
  <c r="D115" i="39"/>
  <c r="D69" i="39"/>
  <c r="D69" i="12"/>
  <c r="D166" i="39"/>
  <c r="D166" i="12"/>
  <c r="D43" i="39"/>
  <c r="D43" i="12"/>
  <c r="D125" i="39"/>
  <c r="D125" i="12"/>
  <c r="D84" i="12"/>
  <c r="D84" i="39"/>
  <c r="D36" i="12"/>
  <c r="D36" i="39"/>
  <c r="D222" i="12"/>
  <c r="D222" i="39"/>
  <c r="D103" i="39"/>
  <c r="D103" i="12"/>
  <c r="D21" i="39"/>
  <c r="D21" i="12"/>
  <c r="D281" i="39"/>
  <c r="D281" i="12"/>
  <c r="D178" i="12"/>
  <c r="D178" i="39"/>
  <c r="D176" i="39"/>
  <c r="D176" i="12"/>
  <c r="D254" i="12"/>
  <c r="D254" i="39"/>
  <c r="D264" i="39"/>
  <c r="D264" i="12"/>
  <c r="D276" i="39"/>
  <c r="D276" i="12"/>
  <c r="D304" i="39"/>
  <c r="D304" i="12"/>
  <c r="D182" i="39"/>
  <c r="D182" i="12"/>
  <c r="D271" i="39"/>
  <c r="D271" i="12"/>
  <c r="D256" i="39"/>
  <c r="D256" i="12"/>
  <c r="D171" i="39"/>
  <c r="D171" i="12"/>
  <c r="D273" i="39"/>
  <c r="D273" i="12"/>
  <c r="D218" i="12"/>
  <c r="D218" i="39"/>
  <c r="D177" i="12"/>
  <c r="D177" i="39"/>
  <c r="D136" i="12"/>
  <c r="D136" i="39"/>
  <c r="D90" i="12"/>
  <c r="D90" i="39"/>
  <c r="D49" i="39"/>
  <c r="D49" i="12"/>
  <c r="D150" i="12"/>
  <c r="D150" i="39"/>
  <c r="D34" i="12"/>
  <c r="D34" i="39"/>
  <c r="D132" i="12"/>
  <c r="D132" i="39"/>
  <c r="D91" i="12"/>
  <c r="D91" i="39"/>
  <c r="D45" i="39"/>
  <c r="D45" i="12"/>
  <c r="D174" i="39"/>
  <c r="D174" i="12"/>
  <c r="D46" i="12"/>
  <c r="D46" i="39"/>
  <c r="D293" i="39"/>
  <c r="D293" i="12"/>
  <c r="D243" i="12"/>
  <c r="D243" i="39"/>
  <c r="D193" i="12"/>
  <c r="D193" i="39"/>
  <c r="D152" i="12"/>
  <c r="D152" i="39"/>
  <c r="D106" i="12"/>
  <c r="D106" i="39"/>
  <c r="D65" i="39"/>
  <c r="D65" i="12"/>
  <c r="D143" i="39"/>
  <c r="D143" i="12"/>
  <c r="D162" i="12"/>
  <c r="D162" i="39"/>
  <c r="D121" i="39"/>
  <c r="D121" i="12"/>
  <c r="D80" i="12"/>
  <c r="D80" i="39"/>
  <c r="D33" i="39"/>
  <c r="D33" i="12"/>
  <c r="D208" i="39"/>
  <c r="D208" i="12"/>
  <c r="D94" i="12"/>
  <c r="D94" i="39"/>
  <c r="D17" i="39"/>
  <c r="D17" i="12"/>
  <c r="D278" i="39"/>
  <c r="D278" i="12"/>
  <c r="D272" i="39"/>
  <c r="D272" i="12"/>
  <c r="D313" i="39"/>
  <c r="D313" i="12"/>
  <c r="D251" i="39"/>
  <c r="D251" i="12"/>
  <c r="D217" i="39"/>
  <c r="D217" i="12"/>
  <c r="D270" i="12"/>
  <c r="D270" i="39"/>
  <c r="D295" i="12"/>
  <c r="D295" i="39"/>
  <c r="D175" i="39"/>
  <c r="D175" i="12"/>
  <c r="D265" i="39"/>
  <c r="D265" i="12"/>
  <c r="D247" i="39"/>
  <c r="D247" i="12"/>
  <c r="D169" i="39"/>
  <c r="D169" i="12"/>
  <c r="D268" i="39"/>
  <c r="D268" i="12"/>
  <c r="D213" i="39"/>
  <c r="D213" i="12"/>
  <c r="D172" i="39"/>
  <c r="D172" i="12"/>
  <c r="D131" i="39"/>
  <c r="D131" i="12"/>
  <c r="D85" i="39"/>
  <c r="D85" i="12"/>
  <c r="D41" i="39"/>
  <c r="D41" i="12"/>
  <c r="D127" i="39"/>
  <c r="D127" i="12"/>
  <c r="D27" i="39"/>
  <c r="D27" i="12"/>
  <c r="D128" i="12"/>
  <c r="D128" i="39"/>
  <c r="D82" i="12"/>
  <c r="D82" i="39"/>
  <c r="D42" i="39"/>
  <c r="D42" i="12"/>
  <c r="D151" i="39"/>
  <c r="D151" i="12"/>
  <c r="D28" i="12"/>
  <c r="D28" i="39"/>
  <c r="D289" i="39"/>
  <c r="D289" i="12"/>
  <c r="D234" i="12"/>
  <c r="D234" i="39"/>
  <c r="D188" i="39"/>
  <c r="D188" i="12"/>
  <c r="D147" i="39"/>
  <c r="D147" i="12"/>
  <c r="D101" i="39"/>
  <c r="D101" i="12"/>
  <c r="D60" i="12"/>
  <c r="D60" i="39"/>
  <c r="D134" i="12"/>
  <c r="D134" i="39"/>
  <c r="D157" i="39"/>
  <c r="D157" i="12"/>
  <c r="D116" i="12"/>
  <c r="D116" i="39"/>
  <c r="D75" i="39"/>
  <c r="D75" i="12"/>
  <c r="D29" i="39"/>
  <c r="D29" i="12"/>
  <c r="D199" i="39"/>
  <c r="D199" i="12"/>
  <c r="D71" i="39"/>
  <c r="D71" i="12"/>
  <c r="D12" i="12"/>
  <c r="D12" i="39"/>
  <c r="D312" i="39"/>
  <c r="D312" i="12"/>
  <c r="D253" i="39"/>
  <c r="D253" i="12"/>
  <c r="D263" i="39"/>
  <c r="D263" i="12"/>
  <c r="D306" i="39"/>
  <c r="D306" i="12"/>
  <c r="D242" i="12"/>
  <c r="D242" i="39"/>
  <c r="D210" i="12"/>
  <c r="D210" i="39"/>
  <c r="D267" i="12"/>
  <c r="D267" i="39"/>
  <c r="D280" i="39"/>
  <c r="D280" i="12"/>
  <c r="D311" i="39"/>
  <c r="D311" i="12"/>
  <c r="D262" i="39"/>
  <c r="D262" i="12"/>
  <c r="D223" i="12"/>
  <c r="D223" i="39"/>
  <c r="D309" i="39"/>
  <c r="D309" i="12"/>
  <c r="D259" i="12"/>
  <c r="D259" i="39"/>
  <c r="D209" i="39"/>
  <c r="D209" i="12"/>
  <c r="D168" i="39"/>
  <c r="D168" i="12"/>
  <c r="D122" i="12"/>
  <c r="D122" i="39"/>
  <c r="D81" i="39"/>
  <c r="D81" i="12"/>
  <c r="D37" i="39"/>
  <c r="D37" i="12"/>
  <c r="D118" i="12"/>
  <c r="D118" i="39"/>
  <c r="D164" i="12"/>
  <c r="D164" i="39"/>
  <c r="D123" i="39"/>
  <c r="D123" i="12"/>
  <c r="D77" i="39"/>
  <c r="D77" i="12"/>
  <c r="D31" i="39"/>
  <c r="D31" i="12"/>
  <c r="D142" i="39"/>
  <c r="D142" i="12"/>
  <c r="D25" i="39"/>
  <c r="D25" i="12"/>
  <c r="D284" i="39"/>
  <c r="D284" i="12"/>
  <c r="D229" i="39"/>
  <c r="D229" i="12"/>
  <c r="D184" i="39"/>
  <c r="D184" i="12"/>
  <c r="D138" i="12"/>
  <c r="D138" i="39"/>
  <c r="D97" i="39"/>
  <c r="D97" i="12"/>
  <c r="D56" i="12"/>
  <c r="D56" i="39"/>
  <c r="D111" i="12"/>
  <c r="D111" i="39"/>
  <c r="D153" i="39"/>
  <c r="D153" i="12"/>
  <c r="D112" i="12"/>
  <c r="D112" i="39"/>
  <c r="D66" i="12"/>
  <c r="D66" i="39"/>
  <c r="D23" i="39"/>
  <c r="D23" i="12"/>
  <c r="D190" i="12"/>
  <c r="D190" i="39"/>
  <c r="D62" i="39"/>
  <c r="D62" i="12"/>
  <c r="D8" i="12"/>
  <c r="D8" i="39"/>
  <c r="D308" i="39"/>
  <c r="D308" i="12"/>
  <c r="D244" i="39"/>
  <c r="D244" i="12"/>
  <c r="D248" i="39"/>
  <c r="D248" i="12"/>
  <c r="D303" i="39"/>
  <c r="D303" i="12"/>
  <c r="D239" i="12"/>
  <c r="D239" i="39"/>
  <c r="D205" i="39"/>
  <c r="D205" i="12"/>
  <c r="D258" i="12"/>
  <c r="D258" i="39"/>
  <c r="D240" i="39"/>
  <c r="D240" i="12"/>
  <c r="D301" i="39"/>
  <c r="D301" i="12"/>
  <c r="D237" i="39"/>
  <c r="D237" i="12"/>
  <c r="D216" i="39"/>
  <c r="D216" i="12"/>
  <c r="D305" i="39"/>
  <c r="D305" i="12"/>
  <c r="D250" i="12"/>
  <c r="D250" i="39"/>
  <c r="D204" i="39"/>
  <c r="D204" i="12"/>
  <c r="D163" i="39"/>
  <c r="D163" i="12"/>
  <c r="D117" i="39"/>
  <c r="D117" i="12"/>
  <c r="D76" i="12"/>
  <c r="D76" i="39"/>
  <c r="D30" i="12"/>
  <c r="D30" i="39"/>
  <c r="D95" i="39"/>
  <c r="D95" i="12"/>
  <c r="D160" i="12"/>
  <c r="D160" i="39"/>
  <c r="D114" i="12"/>
  <c r="D114" i="39"/>
  <c r="D73" i="39"/>
  <c r="D73" i="12"/>
  <c r="D16" i="12"/>
  <c r="D16" i="39"/>
  <c r="D119" i="39"/>
  <c r="D119" i="12"/>
  <c r="D19" i="39"/>
  <c r="D19" i="12"/>
  <c r="D275" i="12"/>
  <c r="D275" i="39"/>
  <c r="D225" i="39"/>
  <c r="D225" i="12"/>
  <c r="D179" i="39"/>
  <c r="D179" i="12"/>
  <c r="D133" i="39"/>
  <c r="D133" i="12"/>
  <c r="D92" i="39"/>
  <c r="D92" i="12"/>
  <c r="D51" i="39"/>
  <c r="D51" i="12"/>
  <c r="D102" i="12"/>
  <c r="D102" i="39"/>
  <c r="D148" i="12"/>
  <c r="D148" i="39"/>
  <c r="D107" i="39"/>
  <c r="D107" i="12"/>
  <c r="D61" i="39"/>
  <c r="D61" i="12"/>
  <c r="D20" i="12"/>
  <c r="D20" i="39"/>
  <c r="D167" i="39"/>
  <c r="D167" i="12"/>
  <c r="D44" i="12"/>
  <c r="D44" i="39"/>
  <c r="D18" i="12"/>
  <c r="D18" i="39"/>
  <c r="D302" i="12"/>
  <c r="D302" i="39"/>
  <c r="D238" i="12"/>
  <c r="D238" i="39"/>
  <c r="D233" i="39"/>
  <c r="D233" i="12"/>
  <c r="D297" i="39"/>
  <c r="D297" i="12"/>
  <c r="D219" i="39"/>
  <c r="D219" i="12"/>
  <c r="D198" i="39"/>
  <c r="D198" i="12"/>
  <c r="D255" i="12"/>
  <c r="D255" i="39"/>
  <c r="D232" i="39"/>
  <c r="D232" i="12"/>
  <c r="D292" i="39"/>
  <c r="D292" i="12"/>
  <c r="D230" i="12"/>
  <c r="D230" i="39"/>
  <c r="D192" i="39"/>
  <c r="D192" i="12"/>
  <c r="D300" i="39"/>
  <c r="D300" i="12"/>
  <c r="D245" i="39"/>
  <c r="D245" i="12"/>
  <c r="D200" i="39"/>
  <c r="D200" i="12"/>
  <c r="D154" i="12"/>
  <c r="D154" i="39"/>
  <c r="D113" i="39"/>
  <c r="D113" i="12"/>
  <c r="D72" i="12"/>
  <c r="D72" i="39"/>
  <c r="D24" i="12"/>
  <c r="D24" i="39"/>
  <c r="D86" i="12"/>
  <c r="D86" i="39"/>
  <c r="D155" i="39"/>
  <c r="D155" i="12"/>
  <c r="D109" i="39"/>
  <c r="D109" i="12"/>
  <c r="D68" i="12"/>
  <c r="D68" i="39"/>
  <c r="D224" i="39"/>
  <c r="D224" i="12"/>
  <c r="D110" i="12"/>
  <c r="D110" i="39"/>
  <c r="D10" i="12"/>
  <c r="D10" i="39"/>
  <c r="D266" i="39"/>
  <c r="D266" i="12"/>
  <c r="D220" i="39"/>
  <c r="D220" i="12"/>
  <c r="D170" i="12"/>
  <c r="D170" i="39"/>
  <c r="D129" i="39"/>
  <c r="D129" i="12"/>
  <c r="D88" i="12"/>
  <c r="D88" i="39"/>
  <c r="D39" i="39"/>
  <c r="D39" i="12"/>
  <c r="D79" i="39"/>
  <c r="D79" i="12"/>
  <c r="D144" i="12"/>
  <c r="D144" i="39"/>
  <c r="D98" i="12"/>
  <c r="D98" i="39"/>
  <c r="D57" i="39"/>
  <c r="D57" i="12"/>
  <c r="D14" i="39"/>
  <c r="D14" i="12"/>
  <c r="D158" i="12"/>
  <c r="D158" i="39"/>
  <c r="D40" i="12"/>
  <c r="D40" i="39"/>
  <c r="D13" i="39"/>
  <c r="D13" i="12"/>
  <c r="D299" i="12"/>
  <c r="D299" i="39"/>
  <c r="D235" i="39"/>
  <c r="D235" i="12"/>
  <c r="D226" i="12"/>
  <c r="D226" i="39"/>
  <c r="D294" i="39"/>
  <c r="D294" i="12"/>
  <c r="D212" i="39"/>
  <c r="D212" i="12"/>
  <c r="D191" i="39"/>
  <c r="D191" i="12"/>
  <c r="D249" i="39"/>
  <c r="D249" i="12"/>
  <c r="D201" i="39"/>
  <c r="D201" i="12"/>
  <c r="D286" i="12"/>
  <c r="D286" i="39"/>
  <c r="D194" i="12"/>
  <c r="D194" i="39"/>
  <c r="D185" i="39"/>
  <c r="D185" i="12"/>
  <c r="D291" i="12"/>
  <c r="D291" i="39"/>
  <c r="D241" i="39"/>
  <c r="D241" i="12"/>
  <c r="D195" i="39"/>
  <c r="D195" i="12"/>
  <c r="D149" i="39"/>
  <c r="D149" i="12"/>
  <c r="D108" i="12"/>
  <c r="D108" i="39"/>
  <c r="D67" i="39"/>
  <c r="D67" i="12"/>
  <c r="D15" i="39"/>
  <c r="D15" i="12"/>
  <c r="D63" i="39"/>
  <c r="D63" i="12"/>
  <c r="D146" i="12"/>
  <c r="D146" i="39"/>
  <c r="D105" i="39"/>
  <c r="D105" i="12"/>
  <c r="D64" i="12"/>
  <c r="D64" i="39"/>
  <c r="D215" i="39"/>
  <c r="D215" i="12"/>
  <c r="D87" i="39"/>
  <c r="D87" i="12"/>
  <c r="D7" i="39"/>
  <c r="D7" i="12"/>
  <c r="D261" i="39"/>
  <c r="D261" i="12"/>
  <c r="D211" i="12"/>
  <c r="D211" i="39"/>
  <c r="D165" i="12"/>
  <c r="D165" i="39"/>
  <c r="D124" i="39"/>
  <c r="D124" i="12"/>
  <c r="D83" i="39"/>
  <c r="D83" i="12"/>
  <c r="D32" i="12"/>
  <c r="D32" i="39"/>
  <c r="D70" i="12"/>
  <c r="D70" i="39"/>
  <c r="D139" i="39"/>
  <c r="D139" i="12"/>
  <c r="D93" i="39"/>
  <c r="D93" i="12"/>
  <c r="D52" i="12"/>
  <c r="D52" i="39"/>
  <c r="D11" i="39"/>
  <c r="D11" i="12"/>
  <c r="D135" i="39"/>
  <c r="D135" i="12"/>
  <c r="D35" i="39"/>
  <c r="D35" i="12"/>
  <c r="D9" i="39"/>
  <c r="D9" i="12"/>
  <c r="H42" i="40"/>
  <c r="C42" i="40" s="1"/>
  <c r="N4" i="11" s="1"/>
  <c r="M6" i="25"/>
  <c r="M315" i="25" s="1"/>
  <c r="F145" i="25"/>
  <c r="F159" i="25"/>
  <c r="F289" i="25"/>
  <c r="F306" i="25"/>
  <c r="F290" i="25"/>
  <c r="F274" i="25"/>
  <c r="F19" i="25"/>
  <c r="F86" i="25"/>
  <c r="F70" i="25"/>
  <c r="F54" i="25"/>
  <c r="F38" i="25"/>
  <c r="F22" i="25"/>
  <c r="F259" i="25"/>
  <c r="F195" i="25"/>
  <c r="F131" i="25"/>
  <c r="F205" i="25"/>
  <c r="F133" i="25"/>
  <c r="F215" i="25"/>
  <c r="F151" i="25"/>
  <c r="F273" i="25"/>
  <c r="F117" i="25"/>
  <c r="F39" i="25"/>
  <c r="F304" i="25"/>
  <c r="F288" i="25"/>
  <c r="F256" i="25"/>
  <c r="F240" i="25"/>
  <c r="F224" i="25"/>
  <c r="F208" i="25"/>
  <c r="F192" i="25"/>
  <c r="F176" i="25"/>
  <c r="F160" i="25"/>
  <c r="F144" i="25"/>
  <c r="F128" i="25"/>
  <c r="F112" i="25"/>
  <c r="F96" i="25"/>
  <c r="F9" i="25"/>
  <c r="F87" i="25"/>
  <c r="F139" i="25"/>
  <c r="F45" i="25"/>
  <c r="F307" i="25"/>
  <c r="F179" i="25"/>
  <c r="F193" i="25"/>
  <c r="F263" i="25"/>
  <c r="F209" i="25"/>
  <c r="F252" i="25"/>
  <c r="F204" i="25"/>
  <c r="F156" i="25"/>
  <c r="F108" i="25"/>
  <c r="F55" i="25"/>
  <c r="F48" i="25"/>
  <c r="F299" i="25"/>
  <c r="F229" i="25"/>
  <c r="F53" i="25"/>
  <c r="F62" i="25"/>
  <c r="F14" i="25"/>
  <c r="F267" i="25"/>
  <c r="F245" i="25"/>
  <c r="F213" i="25"/>
  <c r="F237" i="25"/>
  <c r="F199" i="25"/>
  <c r="F97" i="25"/>
  <c r="F268" i="25"/>
  <c r="F236" i="25"/>
  <c r="F172" i="25"/>
  <c r="F140" i="25"/>
  <c r="F92" i="25"/>
  <c r="F80" i="25"/>
  <c r="F16" i="25"/>
  <c r="F305" i="25"/>
  <c r="F149" i="25"/>
  <c r="F83" i="25"/>
  <c r="F78" i="25"/>
  <c r="F30" i="25"/>
  <c r="F203" i="25"/>
  <c r="F101" i="25"/>
  <c r="F103" i="25"/>
  <c r="F157" i="25"/>
  <c r="F223" i="25"/>
  <c r="F13" i="25"/>
  <c r="F243" i="25"/>
  <c r="F115" i="25"/>
  <c r="F181" i="25"/>
  <c r="F95" i="25"/>
  <c r="F135" i="25"/>
  <c r="F35" i="25"/>
  <c r="F220" i="25"/>
  <c r="F188" i="25"/>
  <c r="F124" i="25"/>
  <c r="F69" i="25"/>
  <c r="F64" i="25"/>
  <c r="F32" i="25"/>
  <c r="F99" i="25"/>
  <c r="F301" i="25"/>
  <c r="F37" i="25"/>
  <c r="F46" i="25"/>
  <c r="F217" i="25"/>
  <c r="F210" i="25"/>
  <c r="F302" i="25"/>
  <c r="F286" i="25"/>
  <c r="F313" i="25"/>
  <c r="F297" i="25"/>
  <c r="F281" i="25"/>
  <c r="F264" i="25"/>
  <c r="F248" i="25"/>
  <c r="F232" i="25"/>
  <c r="F216" i="25"/>
  <c r="F200" i="25"/>
  <c r="F184" i="25"/>
  <c r="F168" i="25"/>
  <c r="F152" i="25"/>
  <c r="F136" i="25"/>
  <c r="F120" i="25"/>
  <c r="F104" i="25"/>
  <c r="F88" i="25"/>
  <c r="F72" i="25"/>
  <c r="F56" i="25"/>
  <c r="F40" i="25"/>
  <c r="F24" i="25"/>
  <c r="F271" i="25"/>
  <c r="F255" i="25"/>
  <c r="F239" i="25"/>
  <c r="F207" i="25"/>
  <c r="F191" i="25"/>
  <c r="F175" i="25"/>
  <c r="F143" i="25"/>
  <c r="F127" i="25"/>
  <c r="F111" i="25"/>
  <c r="F79" i="25"/>
  <c r="F63" i="25"/>
  <c r="F47" i="25"/>
  <c r="F31" i="25"/>
  <c r="F15" i="25"/>
  <c r="F283" i="25"/>
  <c r="F312" i="25"/>
  <c r="F296" i="25"/>
  <c r="F280" i="25"/>
  <c r="F261" i="25"/>
  <c r="F197" i="25"/>
  <c r="F165" i="25"/>
  <c r="F85" i="25"/>
  <c r="F21" i="25"/>
  <c r="F270" i="25"/>
  <c r="F254" i="25"/>
  <c r="F238" i="25"/>
  <c r="F222" i="25"/>
  <c r="F206" i="25"/>
  <c r="F190" i="25"/>
  <c r="F174" i="25"/>
  <c r="F158" i="25"/>
  <c r="F142" i="25"/>
  <c r="F126" i="25"/>
  <c r="F110" i="25"/>
  <c r="F94" i="25"/>
  <c r="F287" i="25"/>
  <c r="F300" i="25"/>
  <c r="F265" i="25"/>
  <c r="F233" i="25"/>
  <c r="F185" i="25"/>
  <c r="F153" i="25"/>
  <c r="F121" i="25"/>
  <c r="F105" i="25"/>
  <c r="F73" i="25"/>
  <c r="F41" i="25"/>
  <c r="F7" i="25"/>
  <c r="F226" i="25"/>
  <c r="F178" i="25"/>
  <c r="F146" i="25"/>
  <c r="F114" i="25"/>
  <c r="F82" i="25"/>
  <c r="F50" i="25"/>
  <c r="F34" i="25"/>
  <c r="F314" i="25"/>
  <c r="F309" i="25"/>
  <c r="F260" i="25"/>
  <c r="F212" i="25"/>
  <c r="F148" i="25"/>
  <c r="F100" i="25"/>
  <c r="F52" i="25"/>
  <c r="F219" i="25"/>
  <c r="F171" i="25"/>
  <c r="F123" i="25"/>
  <c r="F75" i="25"/>
  <c r="F27" i="25"/>
  <c r="F311" i="25"/>
  <c r="F292" i="25"/>
  <c r="F241" i="25"/>
  <c r="F129" i="25"/>
  <c r="F65" i="25"/>
  <c r="F266" i="25"/>
  <c r="F186" i="25"/>
  <c r="F106" i="25"/>
  <c r="F58" i="25"/>
  <c r="F10" i="25"/>
  <c r="F310" i="25"/>
  <c r="F294" i="25"/>
  <c r="F278" i="25"/>
  <c r="F247" i="25"/>
  <c r="F231" i="25"/>
  <c r="F183" i="25"/>
  <c r="F167" i="25"/>
  <c r="F119" i="25"/>
  <c r="F71" i="25"/>
  <c r="F23" i="25"/>
  <c r="F303" i="25"/>
  <c r="F272" i="25"/>
  <c r="F284" i="25"/>
  <c r="F249" i="25"/>
  <c r="F201" i="25"/>
  <c r="F169" i="25"/>
  <c r="F137" i="25"/>
  <c r="F89" i="25"/>
  <c r="F57" i="25"/>
  <c r="F25" i="25"/>
  <c r="F258" i="25"/>
  <c r="F242" i="25"/>
  <c r="F194" i="25"/>
  <c r="F162" i="25"/>
  <c r="F130" i="25"/>
  <c r="F98" i="25"/>
  <c r="F66" i="25"/>
  <c r="F18" i="25"/>
  <c r="F282" i="25"/>
  <c r="F277" i="25"/>
  <c r="F228" i="25"/>
  <c r="F180" i="25"/>
  <c r="F132" i="25"/>
  <c r="F84" i="25"/>
  <c r="F36" i="25"/>
  <c r="F251" i="25"/>
  <c r="F155" i="25"/>
  <c r="F107" i="25"/>
  <c r="F59" i="25"/>
  <c r="F11" i="25"/>
  <c r="F279" i="25"/>
  <c r="F276" i="25"/>
  <c r="F225" i="25"/>
  <c r="F177" i="25"/>
  <c r="F81" i="25"/>
  <c r="F33" i="25"/>
  <c r="F250" i="25"/>
  <c r="F202" i="25"/>
  <c r="F138" i="25"/>
  <c r="F74" i="25"/>
  <c r="F26" i="25"/>
  <c r="F291" i="25"/>
  <c r="F275" i="25"/>
  <c r="F269" i="25"/>
  <c r="F253" i="25"/>
  <c r="F221" i="25"/>
  <c r="F189" i="25"/>
  <c r="F173" i="25"/>
  <c r="F141" i="25"/>
  <c r="F125" i="25"/>
  <c r="F109" i="25"/>
  <c r="F93" i="25"/>
  <c r="F77" i="25"/>
  <c r="F61" i="25"/>
  <c r="F29" i="25"/>
  <c r="F262" i="25"/>
  <c r="F246" i="25"/>
  <c r="F230" i="25"/>
  <c r="F214" i="25"/>
  <c r="F198" i="25"/>
  <c r="F182" i="25"/>
  <c r="F166" i="25"/>
  <c r="F150" i="25"/>
  <c r="F134" i="25"/>
  <c r="F118" i="25"/>
  <c r="F102" i="25"/>
  <c r="F8" i="25"/>
  <c r="F298" i="25"/>
  <c r="F293" i="25"/>
  <c r="F244" i="25"/>
  <c r="F196" i="25"/>
  <c r="F164" i="25"/>
  <c r="F116" i="25"/>
  <c r="F68" i="25"/>
  <c r="F20" i="25"/>
  <c r="F235" i="25"/>
  <c r="F187" i="25"/>
  <c r="F91" i="25"/>
  <c r="F43" i="25"/>
  <c r="F295" i="25"/>
  <c r="F308" i="25"/>
  <c r="F257" i="25"/>
  <c r="F161" i="25"/>
  <c r="F113" i="25"/>
  <c r="F49" i="25"/>
  <c r="F17" i="25"/>
  <c r="F234" i="25"/>
  <c r="F218" i="25"/>
  <c r="F170" i="25"/>
  <c r="F154" i="25"/>
  <c r="F122" i="25"/>
  <c r="F90" i="25"/>
  <c r="F42" i="25"/>
  <c r="F285" i="25"/>
  <c r="F76" i="25"/>
  <c r="F60" i="25"/>
  <c r="F44" i="25"/>
  <c r="F28" i="25"/>
  <c r="F12" i="25"/>
  <c r="F227" i="25"/>
  <c r="F211" i="25"/>
  <c r="F163" i="25"/>
  <c r="F147" i="25"/>
  <c r="F67" i="25"/>
  <c r="F51" i="25"/>
  <c r="G325" i="34"/>
  <c r="H325" i="34" s="1"/>
  <c r="F22" i="48"/>
  <c r="F24" i="48" s="1"/>
  <c r="G11" i="9"/>
  <c r="D5" i="12" s="1"/>
  <c r="F320" i="9"/>
  <c r="O315" i="49"/>
  <c r="C41" i="40" l="1"/>
  <c r="J4" i="11" s="1"/>
  <c r="J223" i="11" s="1"/>
  <c r="F6" i="25"/>
  <c r="N141" i="11"/>
  <c r="N148" i="11"/>
  <c r="N157" i="11"/>
  <c r="N164" i="11"/>
  <c r="N173" i="11"/>
  <c r="N140" i="11"/>
  <c r="N149" i="11"/>
  <c r="N156" i="11"/>
  <c r="N165" i="11"/>
  <c r="N172" i="11"/>
  <c r="N144" i="11"/>
  <c r="N152" i="11"/>
  <c r="N160" i="11"/>
  <c r="N168" i="11"/>
  <c r="N192" i="11"/>
  <c r="N198" i="11"/>
  <c r="N253" i="11"/>
  <c r="N260" i="11"/>
  <c r="N264" i="11"/>
  <c r="N268" i="11"/>
  <c r="N272" i="11"/>
  <c r="N276" i="11"/>
  <c r="N280" i="11"/>
  <c r="N284" i="11"/>
  <c r="N288" i="11"/>
  <c r="N292" i="11"/>
  <c r="N296" i="11"/>
  <c r="N300" i="11"/>
  <c r="N304" i="11"/>
  <c r="N308" i="11"/>
  <c r="N312" i="11"/>
  <c r="N186" i="11"/>
  <c r="N204" i="11"/>
  <c r="N212" i="11"/>
  <c r="N220" i="11"/>
  <c r="N228" i="11"/>
  <c r="N236" i="11"/>
  <c r="N145" i="11"/>
  <c r="N153" i="11"/>
  <c r="N161" i="11"/>
  <c r="N169" i="11"/>
  <c r="N178" i="11"/>
  <c r="N252" i="11"/>
  <c r="N146" i="11"/>
  <c r="N154" i="11"/>
  <c r="N162" i="11"/>
  <c r="N170" i="11"/>
  <c r="N200" i="11"/>
  <c r="N208" i="11"/>
  <c r="N216" i="11"/>
  <c r="N224" i="11"/>
  <c r="N232" i="11"/>
  <c r="N240" i="11"/>
  <c r="N248" i="11"/>
  <c r="N250" i="11"/>
  <c r="N261" i="11"/>
  <c r="N265" i="11"/>
  <c r="N269" i="11"/>
  <c r="N182" i="11"/>
  <c r="N194" i="11"/>
  <c r="N306" i="11"/>
  <c r="N301" i="11"/>
  <c r="N309" i="11"/>
  <c r="N258" i="11"/>
  <c r="N184" i="11"/>
  <c r="N293" i="11"/>
  <c r="N85" i="11"/>
  <c r="N21" i="11"/>
  <c r="N203" i="11"/>
  <c r="N143" i="11"/>
  <c r="N26" i="11"/>
  <c r="N121" i="11"/>
  <c r="N57" i="11"/>
  <c r="N307" i="11"/>
  <c r="N275" i="11"/>
  <c r="N221" i="11"/>
  <c r="N126" i="11"/>
  <c r="N199" i="11"/>
  <c r="N104" i="11"/>
  <c r="N40" i="11"/>
  <c r="N223" i="11"/>
  <c r="N66" i="11"/>
  <c r="N124" i="11"/>
  <c r="N60" i="11"/>
  <c r="N241" i="11"/>
  <c r="N180" i="11"/>
  <c r="N22" i="11"/>
  <c r="N103" i="11"/>
  <c r="N39" i="11"/>
  <c r="N131" i="11"/>
  <c r="N67" i="11"/>
  <c r="N305" i="11"/>
  <c r="N24" i="11"/>
  <c r="N44" i="11"/>
  <c r="N87" i="11"/>
  <c r="N297" i="11"/>
  <c r="N278" i="11"/>
  <c r="N286" i="11"/>
  <c r="N238" i="11"/>
  <c r="N298" i="11"/>
  <c r="N270" i="11"/>
  <c r="N80" i="11"/>
  <c r="N16" i="11"/>
  <c r="N191" i="11"/>
  <c r="N138" i="11"/>
  <c r="N10" i="11"/>
  <c r="N116" i="11"/>
  <c r="N52" i="11"/>
  <c r="N303" i="11"/>
  <c r="N271" i="11"/>
  <c r="N213" i="11"/>
  <c r="N110" i="11"/>
  <c r="N193" i="11"/>
  <c r="N93" i="11"/>
  <c r="N29" i="11"/>
  <c r="N215" i="11"/>
  <c r="N50" i="11"/>
  <c r="N113" i="11"/>
  <c r="N49" i="11"/>
  <c r="N233" i="11"/>
  <c r="N134" i="11"/>
  <c r="N6" i="11"/>
  <c r="N95" i="11"/>
  <c r="N31" i="11"/>
  <c r="N123" i="11"/>
  <c r="N59" i="11"/>
  <c r="N274" i="11"/>
  <c r="N34" i="11"/>
  <c r="N163" i="11"/>
  <c r="N115" i="11"/>
  <c r="N222" i="11"/>
  <c r="N289" i="11"/>
  <c r="N133" i="11"/>
  <c r="N69" i="11"/>
  <c r="N255" i="11"/>
  <c r="N185" i="11"/>
  <c r="N122" i="11"/>
  <c r="N257" i="11"/>
  <c r="N105" i="11"/>
  <c r="N41" i="11"/>
  <c r="N299" i="11"/>
  <c r="N267" i="11"/>
  <c r="N205" i="11"/>
  <c r="N94" i="11"/>
  <c r="N187" i="11"/>
  <c r="N88" i="11"/>
  <c r="N108" i="11"/>
  <c r="N118" i="11"/>
  <c r="N51" i="11"/>
  <c r="N256" i="11"/>
  <c r="N282" i="11"/>
  <c r="N254" i="11"/>
  <c r="N206" i="11"/>
  <c r="N266" i="11"/>
  <c r="N128" i="11"/>
  <c r="N64" i="11"/>
  <c r="N243" i="11"/>
  <c r="N179" i="11"/>
  <c r="N106" i="11"/>
  <c r="N197" i="11"/>
  <c r="N100" i="11"/>
  <c r="N36" i="11"/>
  <c r="N295" i="11"/>
  <c r="N263" i="11"/>
  <c r="N174" i="11"/>
  <c r="N78" i="11"/>
  <c r="N181" i="11"/>
  <c r="N77" i="11"/>
  <c r="N13" i="11"/>
  <c r="N196" i="11"/>
  <c r="N18" i="11"/>
  <c r="N97" i="11"/>
  <c r="N33" i="11"/>
  <c r="N217" i="11"/>
  <c r="N102" i="11"/>
  <c r="N147" i="11"/>
  <c r="N79" i="11"/>
  <c r="N15" i="11"/>
  <c r="N107" i="11"/>
  <c r="N43" i="11"/>
  <c r="N290" i="11"/>
  <c r="N98" i="11"/>
  <c r="N12" i="11"/>
  <c r="N55" i="11"/>
  <c r="N246" i="11"/>
  <c r="N273" i="11"/>
  <c r="N244" i="11"/>
  <c r="N190" i="11"/>
  <c r="N242" i="11"/>
  <c r="N117" i="11"/>
  <c r="N53" i="11"/>
  <c r="N235" i="11"/>
  <c r="N176" i="11"/>
  <c r="N90" i="11"/>
  <c r="N188" i="11"/>
  <c r="N89" i="11"/>
  <c r="N25" i="11"/>
  <c r="N291" i="11"/>
  <c r="N259" i="11"/>
  <c r="N166" i="11"/>
  <c r="N62" i="11"/>
  <c r="N136" i="11"/>
  <c r="N72" i="11"/>
  <c r="N8" i="11"/>
  <c r="N130" i="11"/>
  <c r="N249" i="11"/>
  <c r="N92" i="11"/>
  <c r="N28" i="11"/>
  <c r="N209" i="11"/>
  <c r="N86" i="11"/>
  <c r="N135" i="11"/>
  <c r="N71" i="11"/>
  <c r="N7" i="11"/>
  <c r="N99" i="11"/>
  <c r="N35" i="11"/>
  <c r="N218" i="11"/>
  <c r="N56" i="11"/>
  <c r="N195" i="11"/>
  <c r="N155" i="11"/>
  <c r="N230" i="11"/>
  <c r="N234" i="11"/>
  <c r="N313" i="11"/>
  <c r="N294" i="11"/>
  <c r="N226" i="11"/>
  <c r="N112" i="11"/>
  <c r="N48" i="11"/>
  <c r="N227" i="11"/>
  <c r="N167" i="11"/>
  <c r="N74" i="11"/>
  <c r="N175" i="11"/>
  <c r="N84" i="11"/>
  <c r="N20" i="11"/>
  <c r="N287" i="11"/>
  <c r="N245" i="11"/>
  <c r="N158" i="11"/>
  <c r="N46" i="11"/>
  <c r="N125" i="11"/>
  <c r="N61" i="11"/>
  <c r="N247" i="11"/>
  <c r="N114" i="11"/>
  <c r="N183" i="11"/>
  <c r="N81" i="11"/>
  <c r="N17" i="11"/>
  <c r="N201" i="11"/>
  <c r="N70" i="11"/>
  <c r="N127" i="11"/>
  <c r="N63" i="11"/>
  <c r="N171" i="11"/>
  <c r="N91" i="11"/>
  <c r="N27" i="11"/>
  <c r="N214" i="11"/>
  <c r="N239" i="11"/>
  <c r="N54" i="11"/>
  <c r="N83" i="11"/>
  <c r="N285" i="11"/>
  <c r="N210" i="11"/>
  <c r="N101" i="11"/>
  <c r="N37" i="11"/>
  <c r="N219" i="11"/>
  <c r="N159" i="11"/>
  <c r="N58" i="11"/>
  <c r="N137" i="11"/>
  <c r="N73" i="11"/>
  <c r="N9" i="11"/>
  <c r="N283" i="11"/>
  <c r="N237" i="11"/>
  <c r="N150" i="11"/>
  <c r="N30" i="11"/>
  <c r="N120" i="11"/>
  <c r="N177" i="11"/>
  <c r="N76" i="11"/>
  <c r="N119" i="11"/>
  <c r="N19" i="11"/>
  <c r="N310" i="11"/>
  <c r="N202" i="11"/>
  <c r="N281" i="11"/>
  <c r="N262" i="11"/>
  <c r="N302" i="11"/>
  <c r="N96" i="11"/>
  <c r="N32" i="11"/>
  <c r="N211" i="11"/>
  <c r="N151" i="11"/>
  <c r="N42" i="11"/>
  <c r="N132" i="11"/>
  <c r="N68" i="11"/>
  <c r="N311" i="11"/>
  <c r="N279" i="11"/>
  <c r="N229" i="11"/>
  <c r="N142" i="11"/>
  <c r="N14" i="11"/>
  <c r="N109" i="11"/>
  <c r="N45" i="11"/>
  <c r="N231" i="11"/>
  <c r="N82" i="11"/>
  <c r="N129" i="11"/>
  <c r="N65" i="11"/>
  <c r="N251" i="11"/>
  <c r="N189" i="11"/>
  <c r="N38" i="11"/>
  <c r="N111" i="11"/>
  <c r="N47" i="11"/>
  <c r="N139" i="11"/>
  <c r="N75" i="11"/>
  <c r="N11" i="11"/>
  <c r="N277" i="11"/>
  <c r="N207" i="11"/>
  <c r="N225" i="11"/>
  <c r="N23" i="11"/>
  <c r="J199" i="11"/>
  <c r="J307" i="11"/>
  <c r="J89" i="11"/>
  <c r="J268" i="11"/>
  <c r="J142" i="11"/>
  <c r="J210" i="11"/>
  <c r="J297" i="11"/>
  <c r="J65" i="11"/>
  <c r="J157" i="11"/>
  <c r="J263" i="11"/>
  <c r="J48" i="11"/>
  <c r="J228" i="11"/>
  <c r="J43" i="11"/>
  <c r="J255" i="11"/>
  <c r="J230" i="11"/>
  <c r="J102" i="11"/>
  <c r="J148" i="11"/>
  <c r="J22" i="11"/>
  <c r="J176" i="11"/>
  <c r="J109" i="11"/>
  <c r="J39" i="11"/>
  <c r="G15" i="34"/>
  <c r="N5" i="11"/>
  <c r="D5" i="39"/>
  <c r="G320" i="9"/>
  <c r="D314" i="12" s="1"/>
  <c r="J84" i="11" l="1"/>
  <c r="J129" i="11"/>
  <c r="J73" i="11"/>
  <c r="O73" i="11" s="1"/>
  <c r="P73" i="11" s="1"/>
  <c r="J164" i="11"/>
  <c r="O164" i="11" s="1"/>
  <c r="P164" i="11" s="1"/>
  <c r="J134" i="11"/>
  <c r="J195" i="11"/>
  <c r="J289" i="11"/>
  <c r="O289" i="11" s="1"/>
  <c r="P289" i="11" s="1"/>
  <c r="J155" i="11"/>
  <c r="O155" i="11" s="1"/>
  <c r="P155" i="11" s="1"/>
  <c r="J240" i="11"/>
  <c r="J286" i="11"/>
  <c r="J179" i="11"/>
  <c r="O179" i="11" s="1"/>
  <c r="P179" i="11" s="1"/>
  <c r="J94" i="11"/>
  <c r="O94" i="11" s="1"/>
  <c r="P94" i="11" s="1"/>
  <c r="J40" i="11"/>
  <c r="J118" i="11"/>
  <c r="J290" i="11"/>
  <c r="O290" i="11" s="1"/>
  <c r="P290" i="11" s="1"/>
  <c r="J208" i="11"/>
  <c r="O208" i="11" s="1"/>
  <c r="P208" i="11" s="1"/>
  <c r="J175" i="11"/>
  <c r="J80" i="11"/>
  <c r="J91" i="11"/>
  <c r="O91" i="11" s="1"/>
  <c r="P91" i="11" s="1"/>
  <c r="J106" i="11"/>
  <c r="O106" i="11" s="1"/>
  <c r="P106" i="11" s="1"/>
  <c r="J276" i="11"/>
  <c r="J96" i="11"/>
  <c r="J146" i="11"/>
  <c r="J8" i="11"/>
  <c r="O8" i="11" s="1"/>
  <c r="P8" i="11" s="1"/>
  <c r="J186" i="11"/>
  <c r="J50" i="11"/>
  <c r="J261" i="11"/>
  <c r="O261" i="11" s="1"/>
  <c r="P261" i="11" s="1"/>
  <c r="J171" i="11"/>
  <c r="O171" i="11" s="1"/>
  <c r="P171" i="11" s="1"/>
  <c r="J267" i="11"/>
  <c r="J201" i="11"/>
  <c r="J9" i="11"/>
  <c r="O9" i="11" s="1"/>
  <c r="P9" i="11" s="1"/>
  <c r="J75" i="11"/>
  <c r="O75" i="11" s="1"/>
  <c r="P75" i="11" s="1"/>
  <c r="J295" i="11"/>
  <c r="J132" i="11"/>
  <c r="J61" i="11"/>
  <c r="O61" i="11" s="1"/>
  <c r="P61" i="11" s="1"/>
  <c r="J53" i="11"/>
  <c r="O53" i="11" s="1"/>
  <c r="P53" i="11" s="1"/>
  <c r="J13" i="11"/>
  <c r="J79" i="11"/>
  <c r="J233" i="11"/>
  <c r="O233" i="11" s="1"/>
  <c r="P233" i="11" s="1"/>
  <c r="J104" i="11"/>
  <c r="O104" i="11" s="1"/>
  <c r="P104" i="11" s="1"/>
  <c r="J44" i="11"/>
  <c r="J247" i="11"/>
  <c r="J123" i="11"/>
  <c r="O123" i="11" s="1"/>
  <c r="P123" i="11" s="1"/>
  <c r="J188" i="11"/>
  <c r="O188" i="11" s="1"/>
  <c r="P188" i="11" s="1"/>
  <c r="J49" i="11"/>
  <c r="J115" i="11"/>
  <c r="J137" i="11"/>
  <c r="O137" i="11" s="1"/>
  <c r="P137" i="11" s="1"/>
  <c r="J285" i="11"/>
  <c r="J17" i="11"/>
  <c r="J85" i="11"/>
  <c r="J234" i="11"/>
  <c r="O234" i="11" s="1"/>
  <c r="P234" i="11" s="1"/>
  <c r="J103" i="11"/>
  <c r="O103" i="11" s="1"/>
  <c r="P103" i="11" s="1"/>
  <c r="J41" i="11"/>
  <c r="J310" i="11"/>
  <c r="J192" i="11"/>
  <c r="O192" i="11" s="1"/>
  <c r="P192" i="11" s="1"/>
  <c r="J271" i="11"/>
  <c r="O271" i="11" s="1"/>
  <c r="P271" i="11" s="1"/>
  <c r="J120" i="11"/>
  <c r="J51" i="11"/>
  <c r="J298" i="11"/>
  <c r="J71" i="11"/>
  <c r="O71" i="11" s="1"/>
  <c r="P71" i="11" s="1"/>
  <c r="J193" i="11"/>
  <c r="J283" i="11"/>
  <c r="J92" i="11"/>
  <c r="O92" i="11" s="1"/>
  <c r="P92" i="11" s="1"/>
  <c r="J147" i="11"/>
  <c r="O147" i="11" s="1"/>
  <c r="P147" i="11" s="1"/>
  <c r="J105" i="11"/>
  <c r="J100" i="11"/>
  <c r="J108" i="11"/>
  <c r="O108" i="11" s="1"/>
  <c r="P108" i="11" s="1"/>
  <c r="J254" i="11"/>
  <c r="O254" i="11" s="1"/>
  <c r="P254" i="11" s="1"/>
  <c r="J45" i="11"/>
  <c r="J185" i="11"/>
  <c r="O185" i="11" s="1"/>
  <c r="P185" i="11" s="1"/>
  <c r="J262" i="11"/>
  <c r="O262" i="11" s="1"/>
  <c r="P262" i="11" s="1"/>
  <c r="J202" i="11"/>
  <c r="O202" i="11" s="1"/>
  <c r="P202" i="11" s="1"/>
  <c r="J272" i="11"/>
  <c r="J216" i="11"/>
  <c r="J190" i="11"/>
  <c r="J182" i="11"/>
  <c r="O182" i="11" s="1"/>
  <c r="P182" i="11" s="1"/>
  <c r="J15" i="11"/>
  <c r="J125" i="11"/>
  <c r="J99" i="11"/>
  <c r="O99" i="11" s="1"/>
  <c r="P99" i="11" s="1"/>
  <c r="J215" i="11"/>
  <c r="O215" i="11" s="1"/>
  <c r="P215" i="11" s="1"/>
  <c r="J245" i="11"/>
  <c r="J116" i="11"/>
  <c r="J113" i="11"/>
  <c r="J64" i="11"/>
  <c r="O64" i="11" s="1"/>
  <c r="P64" i="11" s="1"/>
  <c r="J140" i="11"/>
  <c r="J269" i="11"/>
  <c r="J273" i="11"/>
  <c r="O273" i="11" s="1"/>
  <c r="P273" i="11" s="1"/>
  <c r="J11" i="11"/>
  <c r="O11" i="11" s="1"/>
  <c r="P11" i="11" s="1"/>
  <c r="J204" i="11"/>
  <c r="J183" i="11"/>
  <c r="J97" i="11"/>
  <c r="O97" i="11" s="1"/>
  <c r="P97" i="11" s="1"/>
  <c r="J151" i="11"/>
  <c r="O151" i="11" s="1"/>
  <c r="P151" i="11" s="1"/>
  <c r="J149" i="11"/>
  <c r="J309" i="11"/>
  <c r="O309" i="11" s="1"/>
  <c r="P309" i="11" s="1"/>
  <c r="J308" i="11"/>
  <c r="O308" i="11" s="1"/>
  <c r="P308" i="11" s="1"/>
  <c r="J81" i="11"/>
  <c r="O81" i="11" s="1"/>
  <c r="P81" i="11" s="1"/>
  <c r="J232" i="11"/>
  <c r="J93" i="11"/>
  <c r="J130" i="11"/>
  <c r="O130" i="11" s="1"/>
  <c r="P130" i="11" s="1"/>
  <c r="J220" i="11"/>
  <c r="O220" i="11" s="1"/>
  <c r="P220" i="11" s="1"/>
  <c r="J139" i="11"/>
  <c r="O139" i="11" s="1"/>
  <c r="P139" i="11" s="1"/>
  <c r="J170" i="11"/>
  <c r="O170" i="11" s="1"/>
  <c r="P170" i="11" s="1"/>
  <c r="J31" i="11"/>
  <c r="O31" i="11" s="1"/>
  <c r="P31" i="11" s="1"/>
  <c r="J32" i="11"/>
  <c r="O32" i="11" s="1"/>
  <c r="P32" i="11" s="1"/>
  <c r="J33" i="11"/>
  <c r="O33" i="11" s="1"/>
  <c r="P33" i="11" s="1"/>
  <c r="J212" i="11"/>
  <c r="J57" i="11"/>
  <c r="O57" i="11" s="1"/>
  <c r="P57" i="11" s="1"/>
  <c r="J181" i="11"/>
  <c r="O181" i="11" s="1"/>
  <c r="P181" i="11" s="1"/>
  <c r="J243" i="11"/>
  <c r="J82" i="11"/>
  <c r="J66" i="11"/>
  <c r="O66" i="11" s="1"/>
  <c r="P66" i="11" s="1"/>
  <c r="J250" i="11"/>
  <c r="O250" i="11" s="1"/>
  <c r="P250" i="11" s="1"/>
  <c r="J256" i="11"/>
  <c r="J117" i="11"/>
  <c r="J173" i="11"/>
  <c r="O173" i="11" s="1"/>
  <c r="P173" i="11" s="1"/>
  <c r="J249" i="11"/>
  <c r="O249" i="11" s="1"/>
  <c r="P249" i="11" s="1"/>
  <c r="J197" i="11"/>
  <c r="J259" i="11"/>
  <c r="J68" i="11"/>
  <c r="O68" i="11" s="1"/>
  <c r="P68" i="11" s="1"/>
  <c r="J281" i="11"/>
  <c r="O281" i="11" s="1"/>
  <c r="P281" i="11" s="1"/>
  <c r="J111" i="11"/>
  <c r="J145" i="11"/>
  <c r="J126" i="11"/>
  <c r="O126" i="11" s="1"/>
  <c r="P126" i="11" s="1"/>
  <c r="J122" i="11"/>
  <c r="O122" i="11" s="1"/>
  <c r="P122" i="11" s="1"/>
  <c r="J294" i="11"/>
  <c r="O294" i="11" s="1"/>
  <c r="P294" i="11" s="1"/>
  <c r="J274" i="11"/>
  <c r="J69" i="11"/>
  <c r="O69" i="11" s="1"/>
  <c r="P69" i="11" s="1"/>
  <c r="J67" i="11"/>
  <c r="O67" i="11" s="1"/>
  <c r="P67" i="11" s="1"/>
  <c r="J257" i="11"/>
  <c r="J23" i="11"/>
  <c r="J221" i="11"/>
  <c r="O221" i="11" s="1"/>
  <c r="P221" i="11" s="1"/>
  <c r="J219" i="11"/>
  <c r="O219" i="11" s="1"/>
  <c r="P219" i="11" s="1"/>
  <c r="J292" i="11"/>
  <c r="J207" i="11"/>
  <c r="J226" i="11"/>
  <c r="O226" i="11" s="1"/>
  <c r="P226" i="11" s="1"/>
  <c r="J25" i="11"/>
  <c r="O25" i="11" s="1"/>
  <c r="P25" i="11" s="1"/>
  <c r="J26" i="11"/>
  <c r="O26" i="11" s="1"/>
  <c r="P26" i="11" s="1"/>
  <c r="J209" i="11"/>
  <c r="J284" i="11"/>
  <c r="O284" i="11" s="1"/>
  <c r="P284" i="11" s="1"/>
  <c r="J160" i="11"/>
  <c r="O160" i="11" s="1"/>
  <c r="P160" i="11" s="1"/>
  <c r="J143" i="11"/>
  <c r="O143" i="11" s="1"/>
  <c r="P143" i="11" s="1"/>
  <c r="J180" i="11"/>
  <c r="O180" i="11" s="1"/>
  <c r="P180" i="11" s="1"/>
  <c r="J78" i="11"/>
  <c r="O78" i="11" s="1"/>
  <c r="P78" i="11" s="1"/>
  <c r="J222" i="11"/>
  <c r="O222" i="11" s="1"/>
  <c r="P222" i="11" s="1"/>
  <c r="J141" i="11"/>
  <c r="J165" i="11"/>
  <c r="J83" i="11"/>
  <c r="O83" i="11" s="1"/>
  <c r="P83" i="11" s="1"/>
  <c r="J112" i="11"/>
  <c r="O112" i="11" s="1"/>
  <c r="P112" i="11" s="1"/>
  <c r="J110" i="11"/>
  <c r="O110" i="11" s="1"/>
  <c r="P110" i="11" s="1"/>
  <c r="J150" i="11"/>
  <c r="J177" i="11"/>
  <c r="O177" i="11" s="1"/>
  <c r="P177" i="11" s="1"/>
  <c r="J266" i="11"/>
  <c r="O266" i="11" s="1"/>
  <c r="P266" i="11" s="1"/>
  <c r="J159" i="11"/>
  <c r="O159" i="11" s="1"/>
  <c r="P159" i="11" s="1"/>
  <c r="J138" i="11"/>
  <c r="J172" i="11"/>
  <c r="O172" i="11" s="1"/>
  <c r="P172" i="11" s="1"/>
  <c r="J287" i="11"/>
  <c r="O287" i="11" s="1"/>
  <c r="P287" i="11" s="1"/>
  <c r="J90" i="11"/>
  <c r="J154" i="11"/>
  <c r="O154" i="11" s="1"/>
  <c r="P154" i="11" s="1"/>
  <c r="J158" i="11"/>
  <c r="O158" i="11" s="1"/>
  <c r="P158" i="11" s="1"/>
  <c r="J144" i="11"/>
  <c r="J235" i="11"/>
  <c r="J214" i="11"/>
  <c r="J98" i="11"/>
  <c r="O98" i="11" s="1"/>
  <c r="P98" i="11" s="1"/>
  <c r="J88" i="11"/>
  <c r="O88" i="11" s="1"/>
  <c r="P88" i="11" s="1"/>
  <c r="J184" i="11"/>
  <c r="J29" i="11"/>
  <c r="J162" i="11"/>
  <c r="O162" i="11" s="1"/>
  <c r="P162" i="11" s="1"/>
  <c r="J236" i="11"/>
  <c r="O236" i="11" s="1"/>
  <c r="P236" i="11" s="1"/>
  <c r="J189" i="11"/>
  <c r="O189" i="11" s="1"/>
  <c r="P189" i="11" s="1"/>
  <c r="J187" i="11"/>
  <c r="J42" i="11"/>
  <c r="O42" i="11" s="1"/>
  <c r="P42" i="11" s="1"/>
  <c r="J270" i="11"/>
  <c r="O270" i="11" s="1"/>
  <c r="P270" i="11" s="1"/>
  <c r="J37" i="11"/>
  <c r="J200" i="11"/>
  <c r="J46" i="11"/>
  <c r="O46" i="11" s="1"/>
  <c r="P46" i="11" s="1"/>
  <c r="J241" i="11"/>
  <c r="O241" i="11" s="1"/>
  <c r="P241" i="11" s="1"/>
  <c r="J194" i="11"/>
  <c r="O194" i="11" s="1"/>
  <c r="P194" i="11" s="1"/>
  <c r="J54" i="11"/>
  <c r="J59" i="11"/>
  <c r="O59" i="11" s="1"/>
  <c r="P59" i="11" s="1"/>
  <c r="J63" i="11"/>
  <c r="O63" i="11" s="1"/>
  <c r="P63" i="11" s="1"/>
  <c r="J244" i="11"/>
  <c r="J10" i="11"/>
  <c r="J213" i="11"/>
  <c r="O213" i="11" s="1"/>
  <c r="P213" i="11" s="1"/>
  <c r="J275" i="11"/>
  <c r="O275" i="11" s="1"/>
  <c r="P275" i="11" s="1"/>
  <c r="J305" i="11"/>
  <c r="J304" i="11"/>
  <c r="J74" i="11"/>
  <c r="O74" i="11" s="1"/>
  <c r="P74" i="11" s="1"/>
  <c r="J161" i="11"/>
  <c r="O161" i="11" s="1"/>
  <c r="P161" i="11" s="1"/>
  <c r="J12" i="11"/>
  <c r="J196" i="11"/>
  <c r="J278" i="11"/>
  <c r="O278" i="11" s="1"/>
  <c r="P278" i="11" s="1"/>
  <c r="J229" i="11"/>
  <c r="O229" i="11" s="1"/>
  <c r="P229" i="11" s="1"/>
  <c r="J227" i="11"/>
  <c r="O227" i="11" s="1"/>
  <c r="P227" i="11" s="1"/>
  <c r="J198" i="11"/>
  <c r="O198" i="11" s="1"/>
  <c r="P198" i="11" s="1"/>
  <c r="J311" i="11"/>
  <c r="O311" i="11" s="1"/>
  <c r="P311" i="11" s="1"/>
  <c r="J5" i="11"/>
  <c r="E33" i="48" s="1"/>
  <c r="J47" i="11"/>
  <c r="O47" i="11" s="1"/>
  <c r="P47" i="11" s="1"/>
  <c r="J167" i="11"/>
  <c r="O167" i="11" s="1"/>
  <c r="P167" i="11" s="1"/>
  <c r="J156" i="11"/>
  <c r="O156" i="11" s="1"/>
  <c r="P156" i="11" s="1"/>
  <c r="J238" i="11"/>
  <c r="O238" i="11" s="1"/>
  <c r="P238" i="11" s="1"/>
  <c r="J24" i="11"/>
  <c r="J18" i="11"/>
  <c r="J231" i="11"/>
  <c r="O231" i="11" s="1"/>
  <c r="P231" i="11" s="1"/>
  <c r="J119" i="11"/>
  <c r="O119" i="11" s="1"/>
  <c r="P119" i="11" s="1"/>
  <c r="J76" i="11"/>
  <c r="O76" i="11" s="1"/>
  <c r="P76" i="11" s="1"/>
  <c r="J35" i="11"/>
  <c r="O35" i="11" s="1"/>
  <c r="P35" i="11" s="1"/>
  <c r="J252" i="11"/>
  <c r="O252" i="11" s="1"/>
  <c r="P252" i="11" s="1"/>
  <c r="J7" i="11"/>
  <c r="O7" i="11" s="1"/>
  <c r="P7" i="11" s="1"/>
  <c r="J265" i="11"/>
  <c r="J211" i="11"/>
  <c r="J303" i="11"/>
  <c r="O303" i="11" s="1"/>
  <c r="P303" i="11" s="1"/>
  <c r="J56" i="11"/>
  <c r="O56" i="11" s="1"/>
  <c r="P56" i="11" s="1"/>
  <c r="J217" i="11"/>
  <c r="O217" i="11" s="1"/>
  <c r="P217" i="11" s="1"/>
  <c r="J153" i="11"/>
  <c r="O153" i="11" s="1"/>
  <c r="P153" i="11" s="1"/>
  <c r="J77" i="11"/>
  <c r="O77" i="11" s="1"/>
  <c r="P77" i="11" s="1"/>
  <c r="J237" i="11"/>
  <c r="O237" i="11" s="1"/>
  <c r="P237" i="11" s="1"/>
  <c r="J163" i="11"/>
  <c r="J128" i="11"/>
  <c r="J301" i="11"/>
  <c r="O301" i="11" s="1"/>
  <c r="P301" i="11" s="1"/>
  <c r="J299" i="11"/>
  <c r="O299" i="11" s="1"/>
  <c r="P299" i="11" s="1"/>
  <c r="J28" i="11"/>
  <c r="O28" i="11" s="1"/>
  <c r="P28" i="11" s="1"/>
  <c r="J34" i="11"/>
  <c r="O34" i="11" s="1"/>
  <c r="P34" i="11" s="1"/>
  <c r="J178" i="11"/>
  <c r="O178" i="11" s="1"/>
  <c r="P178" i="11" s="1"/>
  <c r="J248" i="11"/>
  <c r="O248" i="11" s="1"/>
  <c r="P248" i="11" s="1"/>
  <c r="J107" i="11"/>
  <c r="J225" i="11"/>
  <c r="O225" i="11" s="1"/>
  <c r="P225" i="11" s="1"/>
  <c r="J60" i="11"/>
  <c r="O60" i="11" s="1"/>
  <c r="P60" i="11" s="1"/>
  <c r="J253" i="11"/>
  <c r="O253" i="11" s="1"/>
  <c r="P253" i="11" s="1"/>
  <c r="J251" i="11"/>
  <c r="O251" i="11" s="1"/>
  <c r="P251" i="11" s="1"/>
  <c r="J246" i="11"/>
  <c r="J280" i="11"/>
  <c r="O280" i="11" s="1"/>
  <c r="P280" i="11" s="1"/>
  <c r="J101" i="11"/>
  <c r="O101" i="11" s="1"/>
  <c r="P101" i="11" s="1"/>
  <c r="J264" i="11"/>
  <c r="J127" i="11"/>
  <c r="O127" i="11" s="1"/>
  <c r="P127" i="11" s="1"/>
  <c r="J152" i="11"/>
  <c r="O152" i="11" s="1"/>
  <c r="P152" i="11" s="1"/>
  <c r="J6" i="11"/>
  <c r="O6" i="11" s="1"/>
  <c r="P6" i="11" s="1"/>
  <c r="J135" i="11"/>
  <c r="O135" i="11" s="1"/>
  <c r="P135" i="11" s="1"/>
  <c r="J133" i="11"/>
  <c r="O133" i="11" s="1"/>
  <c r="P133" i="11" s="1"/>
  <c r="J131" i="11"/>
  <c r="O131" i="11" s="1"/>
  <c r="P131" i="11" s="1"/>
  <c r="J166" i="11"/>
  <c r="O166" i="11" s="1"/>
  <c r="P166" i="11" s="1"/>
  <c r="J87" i="11"/>
  <c r="J277" i="11"/>
  <c r="J52" i="11"/>
  <c r="O52" i="11" s="1"/>
  <c r="P52" i="11" s="1"/>
  <c r="J288" i="11"/>
  <c r="O288" i="11" s="1"/>
  <c r="P288" i="11" s="1"/>
  <c r="J191" i="11"/>
  <c r="O191" i="11" s="1"/>
  <c r="P191" i="11" s="1"/>
  <c r="J218" i="11"/>
  <c r="O218" i="11" s="1"/>
  <c r="P218" i="11" s="1"/>
  <c r="J224" i="11"/>
  <c r="O224" i="11" s="1"/>
  <c r="P224" i="11" s="1"/>
  <c r="J86" i="11"/>
  <c r="O86" i="11" s="1"/>
  <c r="P86" i="11" s="1"/>
  <c r="J260" i="11"/>
  <c r="O260" i="11" s="1"/>
  <c r="P260" i="11" s="1"/>
  <c r="J27" i="11"/>
  <c r="J293" i="11"/>
  <c r="O293" i="11" s="1"/>
  <c r="P293" i="11" s="1"/>
  <c r="J291" i="11"/>
  <c r="O291" i="11" s="1"/>
  <c r="P291" i="11" s="1"/>
  <c r="J313" i="11"/>
  <c r="J312" i="11"/>
  <c r="O312" i="11" s="1"/>
  <c r="P312" i="11" s="1"/>
  <c r="J306" i="11"/>
  <c r="O306" i="11" s="1"/>
  <c r="P306" i="11" s="1"/>
  <c r="J239" i="11"/>
  <c r="O239" i="11" s="1"/>
  <c r="P239" i="11" s="1"/>
  <c r="J242" i="11"/>
  <c r="O242" i="11" s="1"/>
  <c r="P242" i="11" s="1"/>
  <c r="J38" i="11"/>
  <c r="J36" i="11"/>
  <c r="O36" i="11" s="1"/>
  <c r="P36" i="11" s="1"/>
  <c r="J58" i="11"/>
  <c r="O58" i="11" s="1"/>
  <c r="P58" i="11" s="1"/>
  <c r="J30" i="11"/>
  <c r="O30" i="11" s="1"/>
  <c r="P30" i="11" s="1"/>
  <c r="J21" i="11"/>
  <c r="O21" i="11" s="1"/>
  <c r="P21" i="11" s="1"/>
  <c r="J19" i="11"/>
  <c r="O19" i="11" s="1"/>
  <c r="P19" i="11" s="1"/>
  <c r="J114" i="11"/>
  <c r="O114" i="11" s="1"/>
  <c r="P114" i="11" s="1"/>
  <c r="J124" i="11"/>
  <c r="J258" i="11"/>
  <c r="O258" i="11" s="1"/>
  <c r="P258" i="11" s="1"/>
  <c r="J55" i="11"/>
  <c r="O55" i="11" s="1"/>
  <c r="P55" i="11" s="1"/>
  <c r="J136" i="11"/>
  <c r="O136" i="11" s="1"/>
  <c r="P136" i="11" s="1"/>
  <c r="J296" i="11"/>
  <c r="O296" i="11" s="1"/>
  <c r="P296" i="11" s="1"/>
  <c r="J70" i="11"/>
  <c r="O70" i="11" s="1"/>
  <c r="P70" i="11" s="1"/>
  <c r="J205" i="11"/>
  <c r="O205" i="11" s="1"/>
  <c r="P205" i="11" s="1"/>
  <c r="J203" i="11"/>
  <c r="O203" i="11" s="1"/>
  <c r="P203" i="11" s="1"/>
  <c r="J168" i="11"/>
  <c r="O168" i="11" s="1"/>
  <c r="P168" i="11" s="1"/>
  <c r="J300" i="11"/>
  <c r="J279" i="11"/>
  <c r="O279" i="11" s="1"/>
  <c r="P279" i="11" s="1"/>
  <c r="J72" i="11"/>
  <c r="O72" i="11" s="1"/>
  <c r="P72" i="11" s="1"/>
  <c r="J174" i="11"/>
  <c r="O174" i="11" s="1"/>
  <c r="P174" i="11" s="1"/>
  <c r="J169" i="11"/>
  <c r="O169" i="11" s="1"/>
  <c r="P169" i="11" s="1"/>
  <c r="J20" i="11"/>
  <c r="O20" i="11" s="1"/>
  <c r="P20" i="11" s="1"/>
  <c r="J282" i="11"/>
  <c r="O282" i="11" s="1"/>
  <c r="P282" i="11" s="1"/>
  <c r="J14" i="11"/>
  <c r="O14" i="11" s="1"/>
  <c r="P14" i="11" s="1"/>
  <c r="J16" i="11"/>
  <c r="O16" i="11" s="1"/>
  <c r="P16" i="11" s="1"/>
  <c r="J206" i="11"/>
  <c r="O206" i="11" s="1"/>
  <c r="P206" i="11" s="1"/>
  <c r="J121" i="11"/>
  <c r="O121" i="11" s="1"/>
  <c r="P121" i="11" s="1"/>
  <c r="J95" i="11"/>
  <c r="O95" i="11" s="1"/>
  <c r="P95" i="11" s="1"/>
  <c r="J62" i="11"/>
  <c r="O62" i="11" s="1"/>
  <c r="P62" i="11" s="1"/>
  <c r="J302" i="11"/>
  <c r="O302" i="11" s="1"/>
  <c r="P302" i="11" s="1"/>
  <c r="O285" i="11"/>
  <c r="P285" i="11" s="1"/>
  <c r="O96" i="11"/>
  <c r="P96" i="11" s="1"/>
  <c r="O247" i="11"/>
  <c r="P247" i="11" s="1"/>
  <c r="O259" i="11"/>
  <c r="P259" i="11" s="1"/>
  <c r="O12" i="11"/>
  <c r="P12" i="11" s="1"/>
  <c r="O255" i="11"/>
  <c r="P255" i="11" s="1"/>
  <c r="O274" i="11"/>
  <c r="P274" i="11" s="1"/>
  <c r="O49" i="11"/>
  <c r="P49" i="11" s="1"/>
  <c r="O87" i="11"/>
  <c r="P87" i="11" s="1"/>
  <c r="O23" i="11"/>
  <c r="P23" i="11" s="1"/>
  <c r="O38" i="11"/>
  <c r="P38" i="11" s="1"/>
  <c r="O214" i="11"/>
  <c r="P214" i="11" s="1"/>
  <c r="O17" i="11"/>
  <c r="P17" i="11" s="1"/>
  <c r="O244" i="11"/>
  <c r="P244" i="11" s="1"/>
  <c r="O107" i="11"/>
  <c r="P107" i="11" s="1"/>
  <c r="O65" i="11"/>
  <c r="P65" i="11" s="1"/>
  <c r="O210" i="11"/>
  <c r="P210" i="11" s="1"/>
  <c r="O235" i="11"/>
  <c r="P235" i="11" s="1"/>
  <c r="O197" i="11"/>
  <c r="P197" i="11" s="1"/>
  <c r="O297" i="11"/>
  <c r="P297" i="11" s="1"/>
  <c r="O40" i="11"/>
  <c r="P40" i="11" s="1"/>
  <c r="O200" i="11"/>
  <c r="P200" i="11" s="1"/>
  <c r="O186" i="11"/>
  <c r="P186" i="11" s="1"/>
  <c r="O102" i="11"/>
  <c r="P102" i="11" s="1"/>
  <c r="O22" i="11"/>
  <c r="P22" i="11" s="1"/>
  <c r="O149" i="11"/>
  <c r="P149" i="11" s="1"/>
  <c r="O82" i="11"/>
  <c r="P82" i="11" s="1"/>
  <c r="O175" i="11"/>
  <c r="P175" i="11" s="1"/>
  <c r="O313" i="11"/>
  <c r="P313" i="11" s="1"/>
  <c r="O117" i="11"/>
  <c r="P117" i="11" s="1"/>
  <c r="O256" i="11"/>
  <c r="P256" i="11" s="1"/>
  <c r="O267" i="11"/>
  <c r="P267" i="11" s="1"/>
  <c r="O113" i="11"/>
  <c r="P113" i="11" s="1"/>
  <c r="O80" i="11"/>
  <c r="P80" i="11" s="1"/>
  <c r="O44" i="11"/>
  <c r="P44" i="11" s="1"/>
  <c r="O199" i="11"/>
  <c r="P199" i="11" s="1"/>
  <c r="O145" i="11"/>
  <c r="P145" i="11" s="1"/>
  <c r="O276" i="11"/>
  <c r="P276" i="11" s="1"/>
  <c r="O140" i="11"/>
  <c r="P140" i="11" s="1"/>
  <c r="O129" i="11"/>
  <c r="P129" i="11" s="1"/>
  <c r="O120" i="11"/>
  <c r="P120" i="11" s="1"/>
  <c r="O54" i="11"/>
  <c r="P54" i="11" s="1"/>
  <c r="O125" i="11"/>
  <c r="P125" i="11" s="1"/>
  <c r="O243" i="11"/>
  <c r="P243" i="11" s="1"/>
  <c r="O51" i="11"/>
  <c r="P51" i="11" s="1"/>
  <c r="O50" i="11"/>
  <c r="P50" i="11" s="1"/>
  <c r="O24" i="11"/>
  <c r="P24" i="11" s="1"/>
  <c r="O240" i="11"/>
  <c r="P240" i="11" s="1"/>
  <c r="O304" i="11"/>
  <c r="P304" i="11" s="1"/>
  <c r="O272" i="11"/>
  <c r="P272" i="11" s="1"/>
  <c r="O84" i="11"/>
  <c r="P84" i="11" s="1"/>
  <c r="O111" i="11"/>
  <c r="P111" i="11" s="1"/>
  <c r="O45" i="11"/>
  <c r="P45" i="11" s="1"/>
  <c r="O132" i="11"/>
  <c r="P132" i="11" s="1"/>
  <c r="O201" i="11"/>
  <c r="P201" i="11" s="1"/>
  <c r="O230" i="11"/>
  <c r="P230" i="11" s="1"/>
  <c r="O89" i="11"/>
  <c r="P89" i="11" s="1"/>
  <c r="O190" i="11"/>
  <c r="P190" i="11" s="1"/>
  <c r="O43" i="11"/>
  <c r="P43" i="11" s="1"/>
  <c r="O263" i="11"/>
  <c r="P263" i="11" s="1"/>
  <c r="O118" i="11"/>
  <c r="P118" i="11" s="1"/>
  <c r="O41" i="11"/>
  <c r="P41" i="11" s="1"/>
  <c r="O298" i="11"/>
  <c r="P298" i="11" s="1"/>
  <c r="O305" i="11"/>
  <c r="P305" i="11" s="1"/>
  <c r="O232" i="11"/>
  <c r="P232" i="11" s="1"/>
  <c r="O146" i="11"/>
  <c r="P146" i="11" s="1"/>
  <c r="O228" i="11"/>
  <c r="P228" i="11" s="1"/>
  <c r="O300" i="11"/>
  <c r="P300" i="11" s="1"/>
  <c r="O268" i="11"/>
  <c r="P268" i="11" s="1"/>
  <c r="O109" i="11"/>
  <c r="P109" i="11" s="1"/>
  <c r="O150" i="11"/>
  <c r="P150" i="11" s="1"/>
  <c r="O18" i="11"/>
  <c r="P18" i="11" s="1"/>
  <c r="O295" i="11"/>
  <c r="P295" i="11" s="1"/>
  <c r="O128" i="11"/>
  <c r="P128" i="11" s="1"/>
  <c r="O105" i="11"/>
  <c r="P105" i="11" s="1"/>
  <c r="O29" i="11"/>
  <c r="P29" i="11" s="1"/>
  <c r="O116" i="11"/>
  <c r="P116" i="11" s="1"/>
  <c r="O124" i="11"/>
  <c r="P124" i="11" s="1"/>
  <c r="O85" i="11"/>
  <c r="P85" i="11" s="1"/>
  <c r="O264" i="11"/>
  <c r="P264" i="11" s="1"/>
  <c r="O144" i="11"/>
  <c r="P144" i="11" s="1"/>
  <c r="O157" i="11"/>
  <c r="P157" i="11" s="1"/>
  <c r="O207" i="11"/>
  <c r="P207" i="11" s="1"/>
  <c r="O310" i="11"/>
  <c r="P310" i="11" s="1"/>
  <c r="O37" i="11"/>
  <c r="P37" i="11" s="1"/>
  <c r="O27" i="11"/>
  <c r="P27" i="11" s="1"/>
  <c r="O245" i="11"/>
  <c r="P245" i="11" s="1"/>
  <c r="O48" i="11"/>
  <c r="P48" i="11" s="1"/>
  <c r="O195" i="11"/>
  <c r="P195" i="11" s="1"/>
  <c r="O90" i="11"/>
  <c r="P90" i="11" s="1"/>
  <c r="O15" i="11"/>
  <c r="P15" i="11" s="1"/>
  <c r="O196" i="11"/>
  <c r="P196" i="11" s="1"/>
  <c r="O257" i="11"/>
  <c r="P257" i="11" s="1"/>
  <c r="O115" i="11"/>
  <c r="P115" i="11" s="1"/>
  <c r="O93" i="11"/>
  <c r="P93" i="11" s="1"/>
  <c r="O10" i="11"/>
  <c r="P10" i="11" s="1"/>
  <c r="O286" i="11"/>
  <c r="P286" i="11" s="1"/>
  <c r="O307" i="11"/>
  <c r="P307" i="11" s="1"/>
  <c r="O269" i="11"/>
  <c r="P269" i="11" s="1"/>
  <c r="O216" i="11"/>
  <c r="P216" i="11" s="1"/>
  <c r="O212" i="11"/>
  <c r="P212" i="11" s="1"/>
  <c r="O292" i="11"/>
  <c r="P292" i="11" s="1"/>
  <c r="O148" i="11"/>
  <c r="P148" i="11" s="1"/>
  <c r="O277" i="11"/>
  <c r="P277" i="11" s="1"/>
  <c r="O142" i="11"/>
  <c r="P142" i="11" s="1"/>
  <c r="O211" i="11"/>
  <c r="P211" i="11" s="1"/>
  <c r="O283" i="11"/>
  <c r="P283" i="11" s="1"/>
  <c r="O183" i="11"/>
  <c r="P183" i="11" s="1"/>
  <c r="O209" i="11"/>
  <c r="P209" i="11" s="1"/>
  <c r="O176" i="11"/>
  <c r="P176" i="11" s="1"/>
  <c r="O246" i="11"/>
  <c r="P246" i="11" s="1"/>
  <c r="O79" i="11"/>
  <c r="P79" i="11" s="1"/>
  <c r="O13" i="11"/>
  <c r="P13" i="11" s="1"/>
  <c r="O100" i="11"/>
  <c r="P100" i="11" s="1"/>
  <c r="O187" i="11"/>
  <c r="P187" i="11" s="1"/>
  <c r="O163" i="11"/>
  <c r="P163" i="11" s="1"/>
  <c r="O134" i="11"/>
  <c r="P134" i="11" s="1"/>
  <c r="O193" i="11"/>
  <c r="P193" i="11" s="1"/>
  <c r="O138" i="11"/>
  <c r="P138" i="11" s="1"/>
  <c r="O39" i="11"/>
  <c r="P39" i="11" s="1"/>
  <c r="O223" i="11"/>
  <c r="P223" i="11" s="1"/>
  <c r="O184" i="11"/>
  <c r="P184" i="11" s="1"/>
  <c r="O265" i="11"/>
  <c r="P265" i="11" s="1"/>
  <c r="O204" i="11"/>
  <c r="P204" i="11" s="1"/>
  <c r="O165" i="11"/>
  <c r="P165" i="11" s="1"/>
  <c r="O141" i="11"/>
  <c r="P141" i="11" s="1"/>
  <c r="E34" i="48"/>
  <c r="D314" i="39"/>
  <c r="N314" i="11"/>
  <c r="F315" i="25"/>
  <c r="F86" i="39" l="1"/>
  <c r="F86" i="12"/>
  <c r="F213" i="12"/>
  <c r="F213" i="39"/>
  <c r="F218" i="39"/>
  <c r="F218" i="12"/>
  <c r="F280" i="39"/>
  <c r="F280" i="12"/>
  <c r="F66" i="39"/>
  <c r="F66" i="12"/>
  <c r="F300" i="39"/>
  <c r="F300" i="12"/>
  <c r="F190" i="12"/>
  <c r="F190" i="39"/>
  <c r="F80" i="39"/>
  <c r="F80" i="12"/>
  <c r="F107" i="39"/>
  <c r="F107" i="12"/>
  <c r="F72" i="39"/>
  <c r="F72" i="12"/>
  <c r="F6" i="39"/>
  <c r="F6" i="12"/>
  <c r="F101" i="39"/>
  <c r="F101" i="12"/>
  <c r="F157" i="12"/>
  <c r="F157" i="39"/>
  <c r="F29" i="12"/>
  <c r="F29" i="39"/>
  <c r="F109" i="39"/>
  <c r="F109" i="12"/>
  <c r="F21" i="12"/>
  <c r="F21" i="39"/>
  <c r="F118" i="12"/>
  <c r="F118" i="39"/>
  <c r="F167" i="39"/>
  <c r="F167" i="12"/>
  <c r="F160" i="39"/>
  <c r="F160" i="12"/>
  <c r="F51" i="12"/>
  <c r="F51" i="39"/>
  <c r="F120" i="12"/>
  <c r="F120" i="39"/>
  <c r="F145" i="12"/>
  <c r="F145" i="39"/>
  <c r="F256" i="39"/>
  <c r="F256" i="12"/>
  <c r="F137" i="12"/>
  <c r="F137" i="39"/>
  <c r="F309" i="39"/>
  <c r="F309" i="12"/>
  <c r="F40" i="39"/>
  <c r="F40" i="12"/>
  <c r="F226" i="39"/>
  <c r="F226" i="12"/>
  <c r="F214" i="12"/>
  <c r="F214" i="39"/>
  <c r="F274" i="39"/>
  <c r="F274" i="12"/>
  <c r="F285" i="39"/>
  <c r="F285" i="12"/>
  <c r="F282" i="39"/>
  <c r="F282" i="12"/>
  <c r="F203" i="39"/>
  <c r="F203" i="12"/>
  <c r="F114" i="12"/>
  <c r="F114" i="39"/>
  <c r="F239" i="39"/>
  <c r="F239" i="12"/>
  <c r="F166" i="12"/>
  <c r="F166" i="39"/>
  <c r="F248" i="39"/>
  <c r="F248" i="12"/>
  <c r="F237" i="12"/>
  <c r="F237" i="39"/>
  <c r="F238" i="39"/>
  <c r="F238" i="12"/>
  <c r="F229" i="12"/>
  <c r="F229" i="39"/>
  <c r="F275" i="12"/>
  <c r="F275" i="39"/>
  <c r="F241" i="12"/>
  <c r="F241" i="39"/>
  <c r="F236" i="39"/>
  <c r="F236" i="12"/>
  <c r="F266" i="12"/>
  <c r="F266" i="39"/>
  <c r="F25" i="12"/>
  <c r="F25" i="39"/>
  <c r="F67" i="12"/>
  <c r="F67" i="39"/>
  <c r="F281" i="39"/>
  <c r="F281" i="12"/>
  <c r="F250" i="39"/>
  <c r="F250" i="12"/>
  <c r="F11" i="12"/>
  <c r="F11" i="39"/>
  <c r="F215" i="39"/>
  <c r="F215" i="12"/>
  <c r="F147" i="12"/>
  <c r="F147" i="39"/>
  <c r="F271" i="12"/>
  <c r="F271" i="39"/>
  <c r="F104" i="12"/>
  <c r="F104" i="39"/>
  <c r="F75" i="12"/>
  <c r="F75" i="39"/>
  <c r="F208" i="39"/>
  <c r="F208" i="12"/>
  <c r="F27" i="12"/>
  <c r="F27" i="39"/>
  <c r="F132" i="12"/>
  <c r="F132" i="39"/>
  <c r="F156" i="12"/>
  <c r="F156" i="39"/>
  <c r="F121" i="12"/>
  <c r="F121" i="39"/>
  <c r="F56" i="39"/>
  <c r="F56" i="12"/>
  <c r="F79" i="12"/>
  <c r="F79" i="39"/>
  <c r="F212" i="39"/>
  <c r="F212" i="12"/>
  <c r="F138" i="12"/>
  <c r="F138" i="39"/>
  <c r="F216" i="39"/>
  <c r="F216" i="12"/>
  <c r="F48" i="39"/>
  <c r="F48" i="12"/>
  <c r="F222" i="39"/>
  <c r="F222" i="12"/>
  <c r="F164" i="12"/>
  <c r="F164" i="39"/>
  <c r="F263" i="39"/>
  <c r="F263" i="12"/>
  <c r="F272" i="39"/>
  <c r="F272" i="12"/>
  <c r="F243" i="39"/>
  <c r="F243" i="12"/>
  <c r="F262" i="12"/>
  <c r="F262" i="39"/>
  <c r="F162" i="12"/>
  <c r="F162" i="39"/>
  <c r="F179" i="39"/>
  <c r="F179" i="12"/>
  <c r="F177" i="39"/>
  <c r="F177" i="12"/>
  <c r="F22" i="39"/>
  <c r="F22" i="12"/>
  <c r="F297" i="39"/>
  <c r="F297" i="12"/>
  <c r="F210" i="39"/>
  <c r="F210" i="12"/>
  <c r="F202" i="39"/>
  <c r="F202" i="12"/>
  <c r="F255" i="12"/>
  <c r="F255" i="39"/>
  <c r="F302" i="12"/>
  <c r="F302" i="39"/>
  <c r="F20" i="39"/>
  <c r="F20" i="12"/>
  <c r="F205" i="12"/>
  <c r="F205" i="39"/>
  <c r="F19" i="12"/>
  <c r="F19" i="39"/>
  <c r="F306" i="39"/>
  <c r="F306" i="12"/>
  <c r="F178" i="39"/>
  <c r="F178" i="12"/>
  <c r="F77" i="12"/>
  <c r="F77" i="39"/>
  <c r="F158" i="39"/>
  <c r="F158" i="12"/>
  <c r="F78" i="39"/>
  <c r="F78" i="12"/>
  <c r="F9" i="12"/>
  <c r="F9" i="39"/>
  <c r="F209" i="12"/>
  <c r="F209" i="39"/>
  <c r="F128" i="12"/>
  <c r="F128" i="39"/>
  <c r="F240" i="39"/>
  <c r="F240" i="12"/>
  <c r="F99" i="12"/>
  <c r="F99" i="39"/>
  <c r="F23" i="39"/>
  <c r="F23" i="12"/>
  <c r="F58" i="39"/>
  <c r="F58" i="12"/>
  <c r="F291" i="12"/>
  <c r="F291" i="39"/>
  <c r="F253" i="12"/>
  <c r="F253" i="39"/>
  <c r="F141" i="12"/>
  <c r="F141" i="39"/>
  <c r="F93" i="39"/>
  <c r="F93" i="12"/>
  <c r="F165" i="12"/>
  <c r="F165" i="39"/>
  <c r="F283" i="12"/>
  <c r="F283" i="39"/>
  <c r="F144" i="39"/>
  <c r="F144" i="12"/>
  <c r="F221" i="12"/>
  <c r="F221" i="39"/>
  <c r="F193" i="39"/>
  <c r="F193" i="12"/>
  <c r="F211" i="39"/>
  <c r="F211" i="12"/>
  <c r="F269" i="39"/>
  <c r="F269" i="12"/>
  <c r="F257" i="39"/>
  <c r="F257" i="12"/>
  <c r="F245" i="12"/>
  <c r="F245" i="39"/>
  <c r="F264" i="39"/>
  <c r="F264" i="12"/>
  <c r="F105" i="12"/>
  <c r="F105" i="39"/>
  <c r="F152" i="39"/>
  <c r="F152" i="12"/>
  <c r="F60" i="12"/>
  <c r="F60" i="39"/>
  <c r="F97" i="12"/>
  <c r="F97" i="39"/>
  <c r="F201" i="39"/>
  <c r="F201" i="12"/>
  <c r="F304" i="39"/>
  <c r="F304" i="12"/>
  <c r="F290" i="12"/>
  <c r="F290" i="39"/>
  <c r="F68" i="39"/>
  <c r="F68" i="12"/>
  <c r="F199" i="39"/>
  <c r="F199" i="12"/>
  <c r="F98" i="12"/>
  <c r="F98" i="39"/>
  <c r="F311" i="12"/>
  <c r="F311" i="39"/>
  <c r="F102" i="39"/>
  <c r="F102" i="12"/>
  <c r="F233" i="12"/>
  <c r="F233" i="39"/>
  <c r="F32" i="39"/>
  <c r="F32" i="12"/>
  <c r="F42" i="39"/>
  <c r="F42" i="12"/>
  <c r="F12" i="39"/>
  <c r="F12" i="12"/>
  <c r="F70" i="39"/>
  <c r="F70" i="12"/>
  <c r="F312" i="39"/>
  <c r="F312" i="12"/>
  <c r="F133" i="12"/>
  <c r="F133" i="39"/>
  <c r="F34" i="39"/>
  <c r="F34" i="12"/>
  <c r="F153" i="12"/>
  <c r="F153" i="39"/>
  <c r="F180" i="39"/>
  <c r="F180" i="12"/>
  <c r="F185" i="39"/>
  <c r="F185" i="12"/>
  <c r="F265" i="39"/>
  <c r="F265" i="12"/>
  <c r="F224" i="39"/>
  <c r="F224" i="12"/>
  <c r="F234" i="39"/>
  <c r="F234" i="12"/>
  <c r="F197" i="39"/>
  <c r="F197" i="12"/>
  <c r="F299" i="12"/>
  <c r="F299" i="39"/>
  <c r="F278" i="39"/>
  <c r="F278" i="12"/>
  <c r="F195" i="39"/>
  <c r="F195" i="12"/>
  <c r="F246" i="12"/>
  <c r="F246" i="39"/>
  <c r="F115" i="12"/>
  <c r="F115" i="39"/>
  <c r="F46" i="12"/>
  <c r="F46" i="39"/>
  <c r="F204" i="39"/>
  <c r="F204" i="12"/>
  <c r="F176" i="39"/>
  <c r="F176" i="12"/>
  <c r="F169" i="39"/>
  <c r="F169" i="12"/>
  <c r="F134" i="12"/>
  <c r="F134" i="39"/>
  <c r="F62" i="39"/>
  <c r="F62" i="12"/>
  <c r="F142" i="39"/>
  <c r="F142" i="12"/>
  <c r="F307" i="12"/>
  <c r="F307" i="39"/>
  <c r="F196" i="12"/>
  <c r="F196" i="39"/>
  <c r="F81" i="12"/>
  <c r="F81" i="39"/>
  <c r="F252" i="39"/>
  <c r="F252" i="12"/>
  <c r="F108" i="39"/>
  <c r="F108" i="12"/>
  <c r="F268" i="39"/>
  <c r="F268" i="12"/>
  <c r="F305" i="39"/>
  <c r="F305" i="12"/>
  <c r="F43" i="12"/>
  <c r="F43" i="39"/>
  <c r="F30" i="39"/>
  <c r="F30" i="12"/>
  <c r="F154" i="12"/>
  <c r="F154" i="39"/>
  <c r="F7" i="12"/>
  <c r="F7" i="39"/>
  <c r="F76" i="39"/>
  <c r="F76" i="12"/>
  <c r="F44" i="39"/>
  <c r="F44" i="12"/>
  <c r="F117" i="39"/>
  <c r="F117" i="12"/>
  <c r="F82" i="39"/>
  <c r="F82" i="12"/>
  <c r="F35" i="12"/>
  <c r="F35" i="39"/>
  <c r="F254" i="39"/>
  <c r="F254" i="12"/>
  <c r="F65" i="12"/>
  <c r="F65" i="39"/>
  <c r="F38" i="39"/>
  <c r="F38" i="12"/>
  <c r="F259" i="12"/>
  <c r="F259" i="39"/>
  <c r="F95" i="12"/>
  <c r="F95" i="39"/>
  <c r="F174" i="39"/>
  <c r="F174" i="12"/>
  <c r="F296" i="39"/>
  <c r="F296" i="12"/>
  <c r="F191" i="39"/>
  <c r="F191" i="12"/>
  <c r="F135" i="12"/>
  <c r="F135" i="39"/>
  <c r="F251" i="39"/>
  <c r="F251" i="12"/>
  <c r="F217" i="12"/>
  <c r="F217" i="39"/>
  <c r="F47" i="12"/>
  <c r="F47" i="39"/>
  <c r="F110" i="39"/>
  <c r="F110" i="12"/>
  <c r="F143" i="12"/>
  <c r="F143" i="39"/>
  <c r="F294" i="39"/>
  <c r="F294" i="12"/>
  <c r="F139" i="12"/>
  <c r="F139" i="39"/>
  <c r="F161" i="12"/>
  <c r="F161" i="39"/>
  <c r="F63" i="12"/>
  <c r="F63" i="39"/>
  <c r="F270" i="12"/>
  <c r="F270" i="39"/>
  <c r="F88" i="39"/>
  <c r="F88" i="12"/>
  <c r="F287" i="12"/>
  <c r="F287" i="39"/>
  <c r="F219" i="39"/>
  <c r="F219" i="12"/>
  <c r="F122" i="12"/>
  <c r="F122" i="39"/>
  <c r="F249" i="12"/>
  <c r="F249" i="39"/>
  <c r="F181" i="12"/>
  <c r="F181" i="39"/>
  <c r="F220" i="39"/>
  <c r="F220" i="12"/>
  <c r="F151" i="12"/>
  <c r="F151" i="39"/>
  <c r="F64" i="39"/>
  <c r="F64" i="12"/>
  <c r="F182" i="39"/>
  <c r="F182" i="12"/>
  <c r="F71" i="12"/>
  <c r="F71" i="39"/>
  <c r="F103" i="12"/>
  <c r="F103" i="39"/>
  <c r="F188" i="39"/>
  <c r="F188" i="12"/>
  <c r="F53" i="12"/>
  <c r="F53" i="39"/>
  <c r="F171" i="39"/>
  <c r="F171" i="12"/>
  <c r="F106" i="39"/>
  <c r="F106" i="12"/>
  <c r="F94" i="39"/>
  <c r="F94" i="12"/>
  <c r="F277" i="39"/>
  <c r="F277" i="12"/>
  <c r="F112" i="39"/>
  <c r="F112" i="12"/>
  <c r="F273" i="39"/>
  <c r="F273" i="12"/>
  <c r="F295" i="39"/>
  <c r="F295" i="12"/>
  <c r="F89" i="12"/>
  <c r="F89" i="39"/>
  <c r="F24" i="39"/>
  <c r="F24" i="12"/>
  <c r="F140" i="39"/>
  <c r="F140" i="12"/>
  <c r="F313" i="39"/>
  <c r="F313" i="12"/>
  <c r="F192" i="39"/>
  <c r="F192" i="12"/>
  <c r="F186" i="39"/>
  <c r="F186" i="12"/>
  <c r="F235" i="39"/>
  <c r="F235" i="12"/>
  <c r="F87" i="12"/>
  <c r="F87" i="39"/>
  <c r="F247" i="39"/>
  <c r="F247" i="12"/>
  <c r="F206" i="39"/>
  <c r="F206" i="12"/>
  <c r="F279" i="39"/>
  <c r="F279" i="12"/>
  <c r="F55" i="12"/>
  <c r="F55" i="39"/>
  <c r="F36" i="39"/>
  <c r="F36" i="12"/>
  <c r="F293" i="39"/>
  <c r="F293" i="12"/>
  <c r="F52" i="12"/>
  <c r="F52" i="39"/>
  <c r="F301" i="39"/>
  <c r="F301" i="12"/>
  <c r="F303" i="12"/>
  <c r="F303" i="39"/>
  <c r="F231" i="39"/>
  <c r="F231" i="12"/>
  <c r="F59" i="12"/>
  <c r="F59" i="39"/>
  <c r="F83" i="12"/>
  <c r="F83" i="39"/>
  <c r="F284" i="39"/>
  <c r="F284" i="12"/>
  <c r="F126" i="12"/>
  <c r="F126" i="39"/>
  <c r="F173" i="12"/>
  <c r="F173" i="39"/>
  <c r="F57" i="12"/>
  <c r="F57" i="39"/>
  <c r="F130" i="12"/>
  <c r="F130" i="39"/>
  <c r="F163" i="39"/>
  <c r="F163" i="12"/>
  <c r="F15" i="12"/>
  <c r="F15" i="39"/>
  <c r="F298" i="39"/>
  <c r="F298" i="12"/>
  <c r="F129" i="12"/>
  <c r="F129" i="39"/>
  <c r="F149" i="12"/>
  <c r="F149" i="39"/>
  <c r="F92" i="39"/>
  <c r="F92" i="12"/>
  <c r="F136" i="12"/>
  <c r="F136" i="39"/>
  <c r="F288" i="39"/>
  <c r="F288" i="12"/>
  <c r="F119" i="12"/>
  <c r="F119" i="39"/>
  <c r="F184" i="39"/>
  <c r="F184" i="12"/>
  <c r="F187" i="39"/>
  <c r="F187" i="12"/>
  <c r="F148" i="12"/>
  <c r="F148" i="39"/>
  <c r="F131" i="12"/>
  <c r="F131" i="39"/>
  <c r="F37" i="12"/>
  <c r="F37" i="39"/>
  <c r="F85" i="12"/>
  <c r="F85" i="39"/>
  <c r="F228" i="39"/>
  <c r="F228" i="12"/>
  <c r="F31" i="12"/>
  <c r="F31" i="39"/>
  <c r="F45" i="12"/>
  <c r="F45" i="39"/>
  <c r="F74" i="39"/>
  <c r="F74" i="12"/>
  <c r="F113" i="39"/>
  <c r="F113" i="12"/>
  <c r="F244" i="39"/>
  <c r="F244" i="12"/>
  <c r="F223" i="39"/>
  <c r="F223" i="12"/>
  <c r="F100" i="12"/>
  <c r="F100" i="39"/>
  <c r="F183" i="39"/>
  <c r="F183" i="12"/>
  <c r="F172" i="39"/>
  <c r="F172" i="12"/>
  <c r="F286" i="12"/>
  <c r="F286" i="39"/>
  <c r="F90" i="39"/>
  <c r="F90" i="12"/>
  <c r="F310" i="39"/>
  <c r="F310" i="12"/>
  <c r="F124" i="12"/>
  <c r="F124" i="39"/>
  <c r="F18" i="39"/>
  <c r="F18" i="12"/>
  <c r="F146" i="12"/>
  <c r="F146" i="39"/>
  <c r="F289" i="39"/>
  <c r="F289" i="12"/>
  <c r="F8" i="39"/>
  <c r="F8" i="12"/>
  <c r="F111" i="12"/>
  <c r="F111" i="39"/>
  <c r="F50" i="39"/>
  <c r="F50" i="12"/>
  <c r="F125" i="39"/>
  <c r="F125" i="12"/>
  <c r="F276" i="39"/>
  <c r="F276" i="12"/>
  <c r="F69" i="12"/>
  <c r="F69" i="39"/>
  <c r="F175" i="39"/>
  <c r="F175" i="12"/>
  <c r="F200" i="39"/>
  <c r="F200" i="12"/>
  <c r="F28" i="39"/>
  <c r="F28" i="12"/>
  <c r="F155" i="39"/>
  <c r="F155" i="12"/>
  <c r="F73" i="12"/>
  <c r="F73" i="39"/>
  <c r="F16" i="39"/>
  <c r="F16" i="12"/>
  <c r="F258" i="12"/>
  <c r="F258" i="39"/>
  <c r="F127" i="12"/>
  <c r="F127" i="39"/>
  <c r="F225" i="12"/>
  <c r="F225" i="39"/>
  <c r="F198" i="39"/>
  <c r="F198" i="12"/>
  <c r="F39" i="12"/>
  <c r="F39" i="39"/>
  <c r="F13" i="12"/>
  <c r="F13" i="39"/>
  <c r="F91" i="12"/>
  <c r="F91" i="39"/>
  <c r="F292" i="39"/>
  <c r="F292" i="12"/>
  <c r="F10" i="39"/>
  <c r="F10" i="12"/>
  <c r="F207" i="12"/>
  <c r="F207" i="39"/>
  <c r="F116" i="39"/>
  <c r="F116" i="12"/>
  <c r="F150" i="39"/>
  <c r="F150" i="12"/>
  <c r="F232" i="39"/>
  <c r="F232" i="12"/>
  <c r="F41" i="12"/>
  <c r="F41" i="39"/>
  <c r="F230" i="12"/>
  <c r="F230" i="39"/>
  <c r="F84" i="39"/>
  <c r="F84" i="12"/>
  <c r="F123" i="12"/>
  <c r="F123" i="39"/>
  <c r="F54" i="12"/>
  <c r="F54" i="39"/>
  <c r="F308" i="39"/>
  <c r="F308" i="12"/>
  <c r="F267" i="12"/>
  <c r="F267" i="39"/>
  <c r="F61" i="12"/>
  <c r="F61" i="39"/>
  <c r="F170" i="12"/>
  <c r="F170" i="39"/>
  <c r="F261" i="39"/>
  <c r="F261" i="12"/>
  <c r="F17" i="12"/>
  <c r="F17" i="39"/>
  <c r="F49" i="12"/>
  <c r="F49" i="39"/>
  <c r="F96" i="39"/>
  <c r="F96" i="12"/>
  <c r="F14" i="39"/>
  <c r="F14" i="12"/>
  <c r="F168" i="39"/>
  <c r="F168" i="12"/>
  <c r="F242" i="39"/>
  <c r="F242" i="12"/>
  <c r="F260" i="39"/>
  <c r="F260" i="12"/>
  <c r="F227" i="39"/>
  <c r="F227" i="12"/>
  <c r="F194" i="39"/>
  <c r="F194" i="12"/>
  <c r="F189" i="39"/>
  <c r="F189" i="12"/>
  <c r="F159" i="12"/>
  <c r="F159" i="39"/>
  <c r="F26" i="39"/>
  <c r="F26" i="12"/>
  <c r="F33" i="12"/>
  <c r="F33" i="39"/>
  <c r="O5" i="11"/>
  <c r="P5" i="11" s="1"/>
  <c r="J314" i="11"/>
  <c r="F34" i="48"/>
  <c r="H33" i="25"/>
  <c r="H206" i="25"/>
  <c r="H172" i="25"/>
  <c r="H155" i="25"/>
  <c r="H199" i="25"/>
  <c r="H166" i="25"/>
  <c r="H134" i="25"/>
  <c r="H17" i="25"/>
  <c r="H177" i="25"/>
  <c r="H300" i="25"/>
  <c r="H41" i="25"/>
  <c r="H197" i="25"/>
  <c r="H89" i="25"/>
  <c r="H215" i="25"/>
  <c r="H219" i="25"/>
  <c r="H223" i="25"/>
  <c r="H196" i="25"/>
  <c r="H180" i="25"/>
  <c r="H163" i="25"/>
  <c r="H147" i="25"/>
  <c r="H32" i="25"/>
  <c r="H191" i="25"/>
  <c r="H175" i="25"/>
  <c r="H158" i="25"/>
  <c r="H127" i="25"/>
  <c r="H112" i="25"/>
  <c r="H92" i="25"/>
  <c r="H190" i="25"/>
  <c r="H212" i="25"/>
  <c r="H7" i="25"/>
  <c r="H268" i="25"/>
  <c r="H25" i="25"/>
  <c r="H224" i="25"/>
  <c r="H210" i="25"/>
  <c r="H222" i="25"/>
  <c r="H214" i="25"/>
  <c r="H192" i="25"/>
  <c r="H176" i="25"/>
  <c r="H159" i="25"/>
  <c r="H143" i="25"/>
  <c r="H35" i="25"/>
  <c r="H203" i="25"/>
  <c r="H187" i="25"/>
  <c r="H171" i="25"/>
  <c r="H154" i="25"/>
  <c r="H138" i="25"/>
  <c r="H124" i="25"/>
  <c r="H108" i="25"/>
  <c r="H24" i="25"/>
  <c r="H91" i="25"/>
  <c r="H174" i="25"/>
  <c r="H193" i="25"/>
  <c r="H128" i="25"/>
  <c r="H64" i="25"/>
  <c r="H93" i="25"/>
  <c r="H252" i="25"/>
  <c r="H303" i="25"/>
  <c r="H237" i="25"/>
  <c r="H50" i="25"/>
  <c r="H80" i="25"/>
  <c r="H29" i="25"/>
  <c r="H153" i="25"/>
  <c r="H173" i="25"/>
  <c r="H306" i="25"/>
  <c r="H240" i="25"/>
  <c r="H145" i="25"/>
  <c r="H309" i="25"/>
  <c r="H245" i="25"/>
  <c r="H148" i="25"/>
  <c r="H304" i="25"/>
  <c r="H238" i="25"/>
  <c r="H291" i="25"/>
  <c r="H45" i="25"/>
  <c r="H95" i="25"/>
  <c r="H266" i="25"/>
  <c r="H301" i="25"/>
  <c r="H233" i="25"/>
  <c r="H26" i="25"/>
  <c r="H76" i="25"/>
  <c r="H254" i="25"/>
  <c r="H305" i="25"/>
  <c r="H239" i="25"/>
  <c r="H86" i="25"/>
  <c r="H47" i="25"/>
  <c r="H260" i="25"/>
  <c r="H295" i="25"/>
  <c r="H74" i="25"/>
  <c r="H122" i="25"/>
  <c r="H152" i="25"/>
  <c r="H264" i="25"/>
  <c r="H299" i="25"/>
  <c r="H37" i="25"/>
  <c r="H201" i="25"/>
  <c r="H36" i="25"/>
  <c r="H102" i="25"/>
  <c r="H68" i="25"/>
  <c r="H310" i="25"/>
  <c r="H246" i="25"/>
  <c r="H281" i="25"/>
  <c r="H51" i="25"/>
  <c r="H217" i="25"/>
  <c r="H69" i="25"/>
  <c r="H101" i="25"/>
  <c r="H77" i="25"/>
  <c r="H55" i="25"/>
  <c r="H65" i="25"/>
  <c r="H57" i="25"/>
  <c r="H113" i="25"/>
  <c r="H97" i="25"/>
  <c r="H42" i="25"/>
  <c r="H104" i="25"/>
  <c r="H114" i="25"/>
  <c r="H287" i="25"/>
  <c r="H48" i="25"/>
  <c r="H156" i="25"/>
  <c r="H194" i="25"/>
  <c r="H293" i="25"/>
  <c r="H132" i="25"/>
  <c r="H288" i="25"/>
  <c r="H126" i="25"/>
  <c r="H285" i="25"/>
  <c r="H314" i="25"/>
  <c r="H250" i="25"/>
  <c r="H269" i="25"/>
  <c r="H244" i="25"/>
  <c r="H60" i="25"/>
  <c r="H302" i="25"/>
  <c r="H236" i="25"/>
  <c r="H289" i="25"/>
  <c r="H43" i="25"/>
  <c r="H70" i="25"/>
  <c r="H308" i="25"/>
  <c r="H242" i="25"/>
  <c r="H279" i="25"/>
  <c r="H58" i="25"/>
  <c r="H182" i="25"/>
  <c r="H312" i="25"/>
  <c r="H248" i="25"/>
  <c r="H283" i="25"/>
  <c r="H198" i="25"/>
  <c r="H168" i="25"/>
  <c r="H87" i="25"/>
  <c r="H46" i="25"/>
  <c r="H52" i="25"/>
  <c r="H294" i="25"/>
  <c r="H21" i="25"/>
  <c r="H265" i="25"/>
  <c r="H220" i="25"/>
  <c r="H123" i="25"/>
  <c r="H53" i="25"/>
  <c r="H79" i="25"/>
  <c r="H61" i="25"/>
  <c r="H119" i="25"/>
  <c r="H49" i="25"/>
  <c r="H59" i="25"/>
  <c r="H6" i="25"/>
  <c r="H232" i="25"/>
  <c r="H230" i="25"/>
  <c r="H188" i="25"/>
  <c r="H139" i="25"/>
  <c r="H183" i="25"/>
  <c r="H150" i="25"/>
  <c r="H120" i="25"/>
  <c r="H99" i="25"/>
  <c r="H157" i="25"/>
  <c r="H19" i="25"/>
  <c r="H234" i="25"/>
  <c r="H208" i="25"/>
  <c r="H202" i="25"/>
  <c r="H137" i="25"/>
  <c r="H290" i="25"/>
  <c r="H129" i="25"/>
  <c r="H275" i="25"/>
  <c r="H31" i="25"/>
  <c r="H207" i="25"/>
  <c r="H227" i="25"/>
  <c r="H205" i="25"/>
  <c r="H231" i="25"/>
  <c r="H184" i="25"/>
  <c r="H167" i="25"/>
  <c r="H135" i="25"/>
  <c r="H38" i="25"/>
  <c r="H195" i="25"/>
  <c r="H179" i="25"/>
  <c r="H162" i="25"/>
  <c r="H146" i="25"/>
  <c r="H130" i="25"/>
  <c r="H116" i="25"/>
  <c r="H100" i="25"/>
  <c r="H13" i="25"/>
  <c r="H211" i="25"/>
  <c r="H141" i="25"/>
  <c r="H160" i="25"/>
  <c r="H22" i="25"/>
  <c r="H78" i="25"/>
  <c r="H284" i="25"/>
  <c r="H94" i="25"/>
  <c r="H271" i="25"/>
  <c r="H82" i="25"/>
  <c r="H140" i="25"/>
  <c r="H62" i="25"/>
  <c r="H186" i="25"/>
  <c r="H28" i="25"/>
  <c r="H125" i="25"/>
  <c r="H274" i="25"/>
  <c r="H178" i="25"/>
  <c r="H40" i="25"/>
  <c r="H277" i="25"/>
  <c r="H181" i="25"/>
  <c r="H11" i="25"/>
  <c r="H272" i="25"/>
  <c r="H16" i="25"/>
  <c r="H259" i="25"/>
  <c r="H235" i="25"/>
  <c r="H298" i="25"/>
  <c r="H90" i="25"/>
  <c r="H253" i="25"/>
  <c r="H72" i="25"/>
  <c r="H204" i="25"/>
  <c r="H286" i="25"/>
  <c r="H98" i="25"/>
  <c r="H273" i="25"/>
  <c r="H226" i="25"/>
  <c r="H54" i="25"/>
  <c r="H292" i="25"/>
  <c r="H20" i="25"/>
  <c r="H263" i="25"/>
  <c r="H30" i="25"/>
  <c r="H149" i="25"/>
  <c r="H296" i="25"/>
  <c r="H23" i="25"/>
  <c r="H267" i="25"/>
  <c r="H165" i="25"/>
  <c r="H136" i="25"/>
  <c r="H221" i="25"/>
  <c r="H228" i="25"/>
  <c r="H225" i="25"/>
  <c r="H278" i="25"/>
  <c r="H313" i="25"/>
  <c r="H249" i="25"/>
  <c r="H121" i="25"/>
  <c r="H107" i="25"/>
  <c r="H67" i="25"/>
  <c r="H63" i="25"/>
  <c r="H109" i="25"/>
  <c r="H103" i="25"/>
  <c r="H111" i="25"/>
  <c r="H243" i="25"/>
  <c r="H200" i="25"/>
  <c r="H151" i="25"/>
  <c r="H213" i="25"/>
  <c r="H131" i="25"/>
  <c r="H142" i="25"/>
  <c r="H9" i="25"/>
  <c r="H144" i="25"/>
  <c r="H27" i="25"/>
  <c r="H12" i="25"/>
  <c r="H255" i="25"/>
  <c r="H66" i="25"/>
  <c r="H88" i="25"/>
  <c r="H44" i="25"/>
  <c r="H170" i="25"/>
  <c r="H189" i="25"/>
  <c r="H110" i="25"/>
  <c r="H258" i="25"/>
  <c r="H161" i="25"/>
  <c r="H18" i="25"/>
  <c r="H261" i="25"/>
  <c r="H164" i="25"/>
  <c r="H209" i="25"/>
  <c r="H256" i="25"/>
  <c r="H307" i="25"/>
  <c r="H241" i="25"/>
  <c r="H229" i="25"/>
  <c r="H282" i="25"/>
  <c r="H10" i="25"/>
  <c r="H39" i="25"/>
  <c r="H56" i="25"/>
  <c r="H34" i="25"/>
  <c r="H270" i="25"/>
  <c r="H14" i="25"/>
  <c r="H257" i="25"/>
  <c r="H216" i="25"/>
  <c r="H169" i="25"/>
  <c r="H276" i="25"/>
  <c r="H311" i="25"/>
  <c r="H247" i="25"/>
  <c r="H106" i="25"/>
  <c r="H185" i="25"/>
  <c r="H280" i="25"/>
  <c r="H8" i="25"/>
  <c r="H251" i="25"/>
  <c r="H133" i="25"/>
  <c r="H15" i="25"/>
  <c r="H118" i="25"/>
  <c r="H84" i="25"/>
  <c r="H96" i="25"/>
  <c r="H262" i="25"/>
  <c r="H297" i="25"/>
  <c r="H105" i="25"/>
  <c r="H83" i="25"/>
  <c r="H85" i="25"/>
  <c r="H117" i="25"/>
  <c r="H115" i="25"/>
  <c r="H71" i="25"/>
  <c r="H81" i="25"/>
  <c r="H73" i="25"/>
  <c r="H75" i="25"/>
  <c r="H218" i="25"/>
  <c r="O314" i="11" l="1"/>
  <c r="P314" i="11" s="1"/>
  <c r="F314" i="39" s="1"/>
  <c r="F5" i="39"/>
  <c r="F5" i="12"/>
  <c r="C7" i="34" l="1"/>
  <c r="C9" i="34" s="1"/>
  <c r="H315" i="25"/>
  <c r="F314" i="12"/>
  <c r="D7" i="34" l="1"/>
  <c r="D9" i="34" s="1"/>
  <c r="E15" i="34" s="1"/>
  <c r="E22" i="34" s="1"/>
  <c r="I22" i="34" s="1"/>
  <c r="E188" i="34"/>
  <c r="I188" i="34" s="1"/>
  <c r="E280" i="34"/>
  <c r="I280" i="34" s="1"/>
  <c r="E116" i="34"/>
  <c r="I116" i="34" s="1"/>
  <c r="E20" i="34"/>
  <c r="I20" i="34" s="1"/>
  <c r="E73" i="34"/>
  <c r="I73" i="34" s="1"/>
  <c r="E56" i="34"/>
  <c r="I56" i="34" s="1"/>
  <c r="E266" i="34"/>
  <c r="I266" i="34" s="1"/>
  <c r="E93" i="34"/>
  <c r="I93" i="34" s="1"/>
  <c r="E104" i="34"/>
  <c r="I104" i="34" s="1"/>
  <c r="E64" i="34"/>
  <c r="I64" i="34" s="1"/>
  <c r="E37" i="34"/>
  <c r="I37" i="34" s="1"/>
  <c r="E255" i="34"/>
  <c r="I255" i="34" s="1"/>
  <c r="E320" i="34"/>
  <c r="I320" i="34" s="1"/>
  <c r="E84" i="34"/>
  <c r="I84" i="34" s="1"/>
  <c r="E108" i="34"/>
  <c r="I108" i="34" s="1"/>
  <c r="E81" i="34"/>
  <c r="I81" i="34" s="1"/>
  <c r="E168" i="34"/>
  <c r="I168" i="34" s="1"/>
  <c r="E45" i="34"/>
  <c r="I45" i="34" s="1"/>
  <c r="E124" i="34"/>
  <c r="I124" i="34" s="1"/>
  <c r="E236" i="34"/>
  <c r="I236" i="34" s="1"/>
  <c r="E152" i="34"/>
  <c r="I152" i="34" s="1"/>
  <c r="E28" i="34"/>
  <c r="I28" i="34" s="1"/>
  <c r="E274" i="34"/>
  <c r="I274" i="34" s="1"/>
  <c r="E264" i="34"/>
  <c r="I264" i="34" s="1"/>
  <c r="E241" i="34"/>
  <c r="I241" i="34" s="1"/>
  <c r="E319" i="34"/>
  <c r="I319" i="34" s="1"/>
  <c r="E306" i="34"/>
  <c r="I306" i="34" s="1"/>
  <c r="E311" i="34"/>
  <c r="I311" i="34" s="1"/>
  <c r="E205" i="34"/>
  <c r="I205" i="34" s="1"/>
  <c r="E61" i="34"/>
  <c r="I61" i="34" s="1"/>
  <c r="E112" i="34"/>
  <c r="I112" i="34" s="1"/>
  <c r="E209" i="34"/>
  <c r="I209" i="34" s="1"/>
  <c r="E85" i="34"/>
  <c r="I85" i="34" s="1"/>
  <c r="E196" i="34"/>
  <c r="I196" i="34" s="1"/>
  <c r="E72" i="34"/>
  <c r="I72" i="34" s="1"/>
  <c r="E181" i="34"/>
  <c r="I181" i="34" s="1"/>
  <c r="E68" i="34"/>
  <c r="I68" i="34" s="1"/>
  <c r="E156" i="34"/>
  <c r="I156" i="34" s="1"/>
  <c r="E36" i="34"/>
  <c r="I36" i="34" s="1"/>
  <c r="E101" i="34"/>
  <c r="I101" i="34" s="1"/>
  <c r="E129" i="34"/>
  <c r="I129" i="34" s="1"/>
  <c r="E249" i="34"/>
  <c r="I249" i="34" s="1"/>
  <c r="E250" i="34"/>
  <c r="I250" i="34" s="1"/>
  <c r="E298" i="34"/>
  <c r="I298" i="34" s="1"/>
  <c r="E281" i="34"/>
  <c r="I281" i="34" s="1"/>
  <c r="E296" i="34"/>
  <c r="I296" i="34" s="1"/>
  <c r="E297" i="34"/>
  <c r="I297" i="34" s="1"/>
  <c r="E189" i="34"/>
  <c r="I189" i="34" s="1"/>
  <c r="E33" i="34"/>
  <c r="I33" i="34" s="1"/>
  <c r="E89" i="34"/>
  <c r="I89" i="34" s="1"/>
  <c r="E193" i="34"/>
  <c r="I193" i="34" s="1"/>
  <c r="E76" i="34"/>
  <c r="I76" i="34" s="1"/>
  <c r="E180" i="34"/>
  <c r="I180" i="34" s="1"/>
  <c r="E44" i="34"/>
  <c r="I44" i="34" s="1"/>
  <c r="E49" i="34"/>
  <c r="I49" i="34" s="1"/>
  <c r="E137" i="34"/>
  <c r="I137" i="34" s="1"/>
  <c r="E17" i="34"/>
  <c r="I17" i="34" s="1"/>
  <c r="E92" i="34"/>
  <c r="I92" i="34" s="1"/>
  <c r="E224" i="34"/>
  <c r="I224" i="34" s="1"/>
  <c r="E120" i="34"/>
  <c r="I120" i="34" s="1"/>
  <c r="E239" i="34"/>
  <c r="I239" i="34" s="1"/>
  <c r="E240" i="34"/>
  <c r="I240" i="34" s="1"/>
  <c r="E314" i="34"/>
  <c r="I314" i="34" s="1"/>
  <c r="E271" i="34"/>
  <c r="I271" i="34" s="1"/>
  <c r="E282" i="34"/>
  <c r="I282" i="34" s="1"/>
  <c r="E287" i="34"/>
  <c r="I287" i="34" s="1"/>
  <c r="E173" i="34"/>
  <c r="I173" i="34" s="1"/>
  <c r="E192" i="34"/>
  <c r="I192" i="34" s="1"/>
  <c r="E80" i="34"/>
  <c r="I80" i="34" s="1"/>
  <c r="E177" i="34"/>
  <c r="I177" i="34" s="1"/>
  <c r="E53" i="34"/>
  <c r="I53" i="34" s="1"/>
  <c r="E164" i="34"/>
  <c r="I164" i="34" s="1"/>
  <c r="E208" i="34"/>
  <c r="I208" i="34" s="1"/>
  <c r="E165" i="34"/>
  <c r="I165" i="34" s="1"/>
  <c r="E40" i="34"/>
  <c r="I40" i="34" s="1"/>
  <c r="E128" i="34"/>
  <c r="I128" i="34" s="1"/>
  <c r="E217" i="34"/>
  <c r="I217" i="34" s="1"/>
  <c r="E69" i="34"/>
  <c r="I69" i="34" s="1"/>
  <c r="E220" i="34"/>
  <c r="I220" i="34" s="1"/>
  <c r="E97" i="34"/>
  <c r="I97" i="34" s="1"/>
  <c r="E225" i="34"/>
  <c r="I225" i="34" s="1"/>
  <c r="E263" i="34"/>
  <c r="I263" i="34" s="1"/>
  <c r="E305" i="34"/>
  <c r="I305" i="34" s="1"/>
  <c r="E256" i="34"/>
  <c r="I256" i="34" s="1"/>
  <c r="E257" i="34"/>
  <c r="I257" i="34" s="1"/>
  <c r="E272" i="34"/>
  <c r="I272" i="34" s="1"/>
  <c r="E148" i="34"/>
  <c r="I148" i="34" s="1"/>
  <c r="E176" i="34"/>
  <c r="I176" i="34" s="1"/>
  <c r="E57" i="34"/>
  <c r="I57" i="34" s="1"/>
  <c r="E161" i="34"/>
  <c r="I161" i="34" s="1"/>
  <c r="E48" i="34"/>
  <c r="I48" i="34" s="1"/>
  <c r="E145" i="34"/>
  <c r="I145" i="34" s="1"/>
  <c r="E141" i="34"/>
  <c r="I141" i="34" s="1"/>
  <c r="E21" i="34"/>
  <c r="I21" i="34" s="1"/>
  <c r="E105" i="34"/>
  <c r="I105" i="34" s="1"/>
  <c r="E201" i="34"/>
  <c r="I201" i="34" s="1"/>
  <c r="E60" i="34"/>
  <c r="I60" i="34" s="1"/>
  <c r="E204" i="34"/>
  <c r="I204" i="34" s="1"/>
  <c r="E88" i="34"/>
  <c r="I88" i="34" s="1"/>
  <c r="E16" i="34"/>
  <c r="E295" i="34" l="1"/>
  <c r="I295" i="34" s="1"/>
  <c r="E302" i="34"/>
  <c r="I302" i="34" s="1"/>
  <c r="E230" i="34"/>
  <c r="I230" i="34" s="1"/>
  <c r="E25" i="34"/>
  <c r="I25" i="34" s="1"/>
  <c r="E285" i="34"/>
  <c r="I285" i="34" s="1"/>
  <c r="E163" i="34"/>
  <c r="I163" i="34" s="1"/>
  <c r="E212" i="34"/>
  <c r="I212" i="34" s="1"/>
  <c r="E221" i="34"/>
  <c r="I221" i="34" s="1"/>
  <c r="E279" i="34"/>
  <c r="I279" i="34" s="1"/>
  <c r="E100" i="34"/>
  <c r="I100" i="34" s="1"/>
  <c r="E233" i="34"/>
  <c r="I233" i="34" s="1"/>
  <c r="E32" i="34"/>
  <c r="I32" i="34" s="1"/>
  <c r="E29" i="34"/>
  <c r="I29" i="34" s="1"/>
  <c r="E313" i="34"/>
  <c r="I313" i="34" s="1"/>
  <c r="E125" i="34"/>
  <c r="I125" i="34" s="1"/>
  <c r="E270" i="34"/>
  <c r="I270" i="34" s="1"/>
  <c r="E308" i="34"/>
  <c r="I308" i="34" s="1"/>
  <c r="E283" i="34"/>
  <c r="I283" i="34" s="1"/>
  <c r="E276" i="34"/>
  <c r="I276" i="34" s="1"/>
  <c r="E183" i="34"/>
  <c r="I183" i="34" s="1"/>
  <c r="E77" i="34"/>
  <c r="I77" i="34" s="1"/>
  <c r="E121" i="34"/>
  <c r="I121" i="34" s="1"/>
  <c r="E235" i="34"/>
  <c r="I235" i="34" s="1"/>
  <c r="E229" i="34"/>
  <c r="I229" i="34" s="1"/>
  <c r="E24" i="34"/>
  <c r="I24" i="34" s="1"/>
  <c r="E289" i="34"/>
  <c r="I289" i="34" s="1"/>
  <c r="E109" i="34"/>
  <c r="I109" i="34" s="1"/>
  <c r="E237" i="34"/>
  <c r="I237" i="34" s="1"/>
  <c r="E216" i="34"/>
  <c r="I216" i="34" s="1"/>
  <c r="E277" i="34"/>
  <c r="I277" i="34" s="1"/>
  <c r="E190" i="34"/>
  <c r="I190" i="34" s="1"/>
  <c r="E244" i="34"/>
  <c r="I244" i="34" s="1"/>
  <c r="E75" i="34"/>
  <c r="I75" i="34" s="1"/>
  <c r="E157" i="34"/>
  <c r="I157" i="34" s="1"/>
  <c r="E184" i="34"/>
  <c r="I184" i="34" s="1"/>
  <c r="E117" i="34"/>
  <c r="I117" i="34" s="1"/>
  <c r="E228" i="34"/>
  <c r="I228" i="34" s="1"/>
  <c r="E265" i="34"/>
  <c r="I265" i="34" s="1"/>
  <c r="E172" i="34"/>
  <c r="I172" i="34" s="1"/>
  <c r="E200" i="34"/>
  <c r="I200" i="34" s="1"/>
  <c r="E140" i="34"/>
  <c r="I140" i="34" s="1"/>
  <c r="E232" i="34"/>
  <c r="I232" i="34" s="1"/>
  <c r="E290" i="34"/>
  <c r="I290" i="34" s="1"/>
  <c r="E185" i="34"/>
  <c r="I185" i="34" s="1"/>
  <c r="E52" i="34"/>
  <c r="I52" i="34" s="1"/>
  <c r="E273" i="34"/>
  <c r="I273" i="34" s="1"/>
  <c r="E286" i="34"/>
  <c r="I286" i="34" s="1"/>
  <c r="E206" i="34"/>
  <c r="I206" i="34" s="1"/>
  <c r="E324" i="34"/>
  <c r="I324" i="34" s="1"/>
  <c r="E260" i="34"/>
  <c r="I260" i="34" s="1"/>
  <c r="E315" i="34"/>
  <c r="I315" i="34" s="1"/>
  <c r="E219" i="34"/>
  <c r="I219" i="34" s="1"/>
  <c r="E146" i="34"/>
  <c r="I146" i="34" s="1"/>
  <c r="E253" i="34"/>
  <c r="I253" i="34" s="1"/>
  <c r="E82" i="34"/>
  <c r="I82" i="34" s="1"/>
  <c r="E248" i="34"/>
  <c r="I248" i="34" s="1"/>
  <c r="E288" i="34"/>
  <c r="I288" i="34" s="1"/>
  <c r="E133" i="34"/>
  <c r="I133" i="34" s="1"/>
  <c r="E197" i="34"/>
  <c r="I197" i="34" s="1"/>
  <c r="E144" i="34"/>
  <c r="I144" i="34" s="1"/>
  <c r="E321" i="34"/>
  <c r="I321" i="34" s="1"/>
  <c r="E303" i="34"/>
  <c r="I303" i="34" s="1"/>
  <c r="E169" i="34"/>
  <c r="I169" i="34" s="1"/>
  <c r="E113" i="34"/>
  <c r="I113" i="34" s="1"/>
  <c r="E153" i="34"/>
  <c r="I153" i="34" s="1"/>
  <c r="E227" i="34"/>
  <c r="I227" i="34" s="1"/>
  <c r="E312" i="34"/>
  <c r="I312" i="34" s="1"/>
  <c r="E213" i="34"/>
  <c r="I213" i="34" s="1"/>
  <c r="E247" i="34"/>
  <c r="I247" i="34" s="1"/>
  <c r="E318" i="34"/>
  <c r="I318" i="34" s="1"/>
  <c r="E254" i="34"/>
  <c r="I254" i="34" s="1"/>
  <c r="E174" i="34"/>
  <c r="I174" i="34" s="1"/>
  <c r="E292" i="34"/>
  <c r="I292" i="34" s="1"/>
  <c r="E195" i="34"/>
  <c r="I195" i="34" s="1"/>
  <c r="E309" i="34"/>
  <c r="I309" i="34" s="1"/>
  <c r="E139" i="34"/>
  <c r="I139" i="34" s="1"/>
  <c r="E18" i="34"/>
  <c r="I18" i="34" s="1"/>
  <c r="E65" i="34"/>
  <c r="I65" i="34" s="1"/>
  <c r="E96" i="34"/>
  <c r="I96" i="34" s="1"/>
  <c r="E136" i="34"/>
  <c r="I136" i="34" s="1"/>
  <c r="E160" i="34"/>
  <c r="I160" i="34" s="1"/>
  <c r="E149" i="39" s="1"/>
  <c r="G149" i="39" s="1"/>
  <c r="H149" i="39" s="1"/>
  <c r="I149" i="39" s="1"/>
  <c r="J149" i="39" s="1"/>
  <c r="E242" i="34"/>
  <c r="I242" i="34" s="1"/>
  <c r="E322" i="34"/>
  <c r="I322" i="34" s="1"/>
  <c r="E310" i="34"/>
  <c r="I310" i="34" s="1"/>
  <c r="E278" i="34"/>
  <c r="I278" i="34" s="1"/>
  <c r="E267" i="12" s="1"/>
  <c r="G267" i="12" s="1"/>
  <c r="H267" i="12" s="1"/>
  <c r="E246" i="34"/>
  <c r="I246" i="34" s="1"/>
  <c r="E191" i="34"/>
  <c r="I191" i="34" s="1"/>
  <c r="E154" i="34"/>
  <c r="I154" i="34" s="1"/>
  <c r="E316" i="34"/>
  <c r="I316" i="34" s="1"/>
  <c r="E305" i="39" s="1"/>
  <c r="G305" i="39" s="1"/>
  <c r="H305" i="39" s="1"/>
  <c r="I305" i="39" s="1"/>
  <c r="J305" i="39" s="1"/>
  <c r="E284" i="34"/>
  <c r="I284" i="34" s="1"/>
  <c r="E252" i="34"/>
  <c r="I252" i="34" s="1"/>
  <c r="E179" i="34"/>
  <c r="I179" i="34" s="1"/>
  <c r="E299" i="34"/>
  <c r="I299" i="34" s="1"/>
  <c r="E215" i="34"/>
  <c r="I215" i="34" s="1"/>
  <c r="E187" i="34"/>
  <c r="I187" i="34" s="1"/>
  <c r="E107" i="34"/>
  <c r="I107" i="34" s="1"/>
  <c r="E114" i="34"/>
  <c r="I114" i="34" s="1"/>
  <c r="E135" i="34"/>
  <c r="I135" i="34" s="1"/>
  <c r="E103" i="34"/>
  <c r="I103" i="34" s="1"/>
  <c r="E41" i="34"/>
  <c r="I41" i="34" s="1"/>
  <c r="E132" i="34"/>
  <c r="I132" i="34" s="1"/>
  <c r="E149" i="34"/>
  <c r="I149" i="34" s="1"/>
  <c r="E258" i="34"/>
  <c r="I258" i="34" s="1"/>
  <c r="E304" i="34"/>
  <c r="I304" i="34" s="1"/>
  <c r="E261" i="34"/>
  <c r="I261" i="34" s="1"/>
  <c r="E294" i="34"/>
  <c r="I294" i="34" s="1"/>
  <c r="E262" i="34"/>
  <c r="I262" i="34" s="1"/>
  <c r="E207" i="34"/>
  <c r="I207" i="34" s="1"/>
  <c r="E175" i="34"/>
  <c r="I175" i="34" s="1"/>
  <c r="E245" i="34"/>
  <c r="I245" i="34" s="1"/>
  <c r="E300" i="34"/>
  <c r="I300" i="34" s="1"/>
  <c r="E268" i="34"/>
  <c r="I268" i="34" s="1"/>
  <c r="E211" i="34"/>
  <c r="I211" i="34" s="1"/>
  <c r="E301" i="34"/>
  <c r="I301" i="34" s="1"/>
  <c r="E251" i="34"/>
  <c r="I251" i="34" s="1"/>
  <c r="E317" i="34"/>
  <c r="I317" i="34" s="1"/>
  <c r="E222" i="34"/>
  <c r="I222" i="34" s="1"/>
  <c r="E43" i="34"/>
  <c r="I43" i="34" s="1"/>
  <c r="E50" i="34"/>
  <c r="I50" i="34" s="1"/>
  <c r="E71" i="34"/>
  <c r="I71" i="34" s="1"/>
  <c r="E142" i="34"/>
  <c r="I142" i="34" s="1"/>
  <c r="E167" i="34"/>
  <c r="I167" i="34" s="1"/>
  <c r="E203" i="34"/>
  <c r="I203" i="34" s="1"/>
  <c r="E231" i="34"/>
  <c r="I231" i="34" s="1"/>
  <c r="E123" i="34"/>
  <c r="I123" i="34" s="1"/>
  <c r="E59" i="34"/>
  <c r="I59" i="34" s="1"/>
  <c r="E130" i="34"/>
  <c r="I130" i="34" s="1"/>
  <c r="E66" i="34"/>
  <c r="I66" i="34" s="1"/>
  <c r="E151" i="34"/>
  <c r="I151" i="34" s="1"/>
  <c r="E87" i="34"/>
  <c r="I87" i="34" s="1"/>
  <c r="E110" i="34"/>
  <c r="I110" i="34" s="1"/>
  <c r="E78" i="34"/>
  <c r="I78" i="34" s="1"/>
  <c r="E267" i="34"/>
  <c r="I267" i="34" s="1"/>
  <c r="E199" i="34"/>
  <c r="I199" i="34" s="1"/>
  <c r="E238" i="34"/>
  <c r="I238" i="34" s="1"/>
  <c r="E171" i="34"/>
  <c r="I171" i="34" s="1"/>
  <c r="E155" i="34"/>
  <c r="I155" i="34" s="1"/>
  <c r="E91" i="34"/>
  <c r="I91" i="34" s="1"/>
  <c r="E27" i="34"/>
  <c r="I27" i="34" s="1"/>
  <c r="E98" i="34"/>
  <c r="I98" i="34" s="1"/>
  <c r="E34" i="34"/>
  <c r="I34" i="34" s="1"/>
  <c r="E119" i="34"/>
  <c r="I119" i="34" s="1"/>
  <c r="E39" i="34"/>
  <c r="I39" i="34" s="1"/>
  <c r="E46" i="34"/>
  <c r="I46" i="34" s="1"/>
  <c r="E194" i="34"/>
  <c r="I194" i="34" s="1"/>
  <c r="E162" i="34"/>
  <c r="I162" i="34" s="1"/>
  <c r="E307" i="34"/>
  <c r="I307" i="34" s="1"/>
  <c r="E275" i="34"/>
  <c r="I275" i="34" s="1"/>
  <c r="E243" i="34"/>
  <c r="I243" i="34" s="1"/>
  <c r="E214" i="34"/>
  <c r="I214" i="34" s="1"/>
  <c r="E182" i="34"/>
  <c r="I182" i="34" s="1"/>
  <c r="E269" i="34"/>
  <c r="I269" i="34" s="1"/>
  <c r="E218" i="34"/>
  <c r="I218" i="34" s="1"/>
  <c r="E186" i="34"/>
  <c r="I186" i="34" s="1"/>
  <c r="E234" i="34"/>
  <c r="I234" i="34" s="1"/>
  <c r="E158" i="34"/>
  <c r="I158" i="34" s="1"/>
  <c r="E131" i="34"/>
  <c r="I131" i="34" s="1"/>
  <c r="E99" i="34"/>
  <c r="I99" i="34" s="1"/>
  <c r="E67" i="34"/>
  <c r="I67" i="34" s="1"/>
  <c r="E35" i="34"/>
  <c r="I35" i="34" s="1"/>
  <c r="E138" i="34"/>
  <c r="I138" i="34" s="1"/>
  <c r="E106" i="34"/>
  <c r="I106" i="34" s="1"/>
  <c r="E74" i="34"/>
  <c r="I74" i="34" s="1"/>
  <c r="E42" i="34"/>
  <c r="I42" i="34" s="1"/>
  <c r="E159" i="34"/>
  <c r="I159" i="34" s="1"/>
  <c r="E127" i="34"/>
  <c r="I127" i="34" s="1"/>
  <c r="E95" i="34"/>
  <c r="I95" i="34" s="1"/>
  <c r="E63" i="34"/>
  <c r="I63" i="34" s="1"/>
  <c r="E31" i="34"/>
  <c r="I31" i="34" s="1"/>
  <c r="E134" i="34"/>
  <c r="I134" i="34" s="1"/>
  <c r="E102" i="34"/>
  <c r="I102" i="34" s="1"/>
  <c r="E70" i="34"/>
  <c r="I70" i="34" s="1"/>
  <c r="E38" i="34"/>
  <c r="I38" i="34" s="1"/>
  <c r="E55" i="34"/>
  <c r="I55" i="34" s="1"/>
  <c r="E23" i="34"/>
  <c r="I23" i="34" s="1"/>
  <c r="E126" i="34"/>
  <c r="I126" i="34" s="1"/>
  <c r="E94" i="34"/>
  <c r="I94" i="34" s="1"/>
  <c r="E62" i="34"/>
  <c r="I62" i="34" s="1"/>
  <c r="E30" i="34"/>
  <c r="I30" i="34" s="1"/>
  <c r="E210" i="34"/>
  <c r="I210" i="34" s="1"/>
  <c r="E178" i="34"/>
  <c r="I178" i="34" s="1"/>
  <c r="E323" i="34"/>
  <c r="I323" i="34" s="1"/>
  <c r="E291" i="34"/>
  <c r="I291" i="34" s="1"/>
  <c r="E259" i="34"/>
  <c r="I259" i="34" s="1"/>
  <c r="E293" i="34"/>
  <c r="I293" i="34" s="1"/>
  <c r="E198" i="34"/>
  <c r="I198" i="34" s="1"/>
  <c r="E166" i="34"/>
  <c r="I166" i="34" s="1"/>
  <c r="E223" i="34"/>
  <c r="I223" i="34" s="1"/>
  <c r="E202" i="34"/>
  <c r="I202" i="34" s="1"/>
  <c r="E170" i="34"/>
  <c r="I170" i="34" s="1"/>
  <c r="E226" i="34"/>
  <c r="I226" i="34" s="1"/>
  <c r="E147" i="34"/>
  <c r="I147" i="34" s="1"/>
  <c r="E115" i="34"/>
  <c r="I115" i="34" s="1"/>
  <c r="E83" i="34"/>
  <c r="I83" i="34" s="1"/>
  <c r="E51" i="34"/>
  <c r="I51" i="34" s="1"/>
  <c r="E19" i="34"/>
  <c r="I19" i="34" s="1"/>
  <c r="E122" i="34"/>
  <c r="I122" i="34" s="1"/>
  <c r="E90" i="34"/>
  <c r="I90" i="34" s="1"/>
  <c r="E58" i="34"/>
  <c r="I58" i="34" s="1"/>
  <c r="E26" i="34"/>
  <c r="I26" i="34" s="1"/>
  <c r="E143" i="34"/>
  <c r="I143" i="34" s="1"/>
  <c r="E111" i="34"/>
  <c r="I111" i="34" s="1"/>
  <c r="E79" i="34"/>
  <c r="I79" i="34" s="1"/>
  <c r="E47" i="34"/>
  <c r="I47" i="34" s="1"/>
  <c r="E150" i="34"/>
  <c r="I150" i="34" s="1"/>
  <c r="E118" i="34"/>
  <c r="I118" i="34" s="1"/>
  <c r="E86" i="34"/>
  <c r="I86" i="34" s="1"/>
  <c r="E54" i="34"/>
  <c r="I54" i="34" s="1"/>
  <c r="E94" i="39"/>
  <c r="G94" i="39" s="1"/>
  <c r="H94" i="39" s="1"/>
  <c r="I94" i="39" s="1"/>
  <c r="J94" i="39" s="1"/>
  <c r="E94" i="12"/>
  <c r="G94" i="12" s="1"/>
  <c r="H94" i="12" s="1"/>
  <c r="E209" i="12"/>
  <c r="G209" i="12" s="1"/>
  <c r="H209" i="12" s="1"/>
  <c r="E209" i="39"/>
  <c r="G209" i="39" s="1"/>
  <c r="H209" i="39" s="1"/>
  <c r="I209" i="39" s="1"/>
  <c r="J209" i="39" s="1"/>
  <c r="E42" i="39"/>
  <c r="G42" i="39" s="1"/>
  <c r="H42" i="39" s="1"/>
  <c r="I42" i="39" s="1"/>
  <c r="J42" i="39" s="1"/>
  <c r="E42" i="12"/>
  <c r="G42" i="12" s="1"/>
  <c r="H42" i="12" s="1"/>
  <c r="E303" i="39"/>
  <c r="G303" i="39" s="1"/>
  <c r="H303" i="39" s="1"/>
  <c r="I303" i="39" s="1"/>
  <c r="J303" i="39" s="1"/>
  <c r="E303" i="12"/>
  <c r="G303" i="12" s="1"/>
  <c r="H303" i="12" s="1"/>
  <c r="E38" i="39"/>
  <c r="G38" i="39" s="1"/>
  <c r="H38" i="39" s="1"/>
  <c r="I38" i="39" s="1"/>
  <c r="J38" i="39" s="1"/>
  <c r="E38" i="12"/>
  <c r="G38" i="12" s="1"/>
  <c r="H38" i="12" s="1"/>
  <c r="E286" i="12"/>
  <c r="G286" i="12" s="1"/>
  <c r="H286" i="12" s="1"/>
  <c r="E286" i="39"/>
  <c r="G286" i="39" s="1"/>
  <c r="H286" i="39" s="1"/>
  <c r="I286" i="39" s="1"/>
  <c r="J286" i="39" s="1"/>
  <c r="E25" i="39"/>
  <c r="G25" i="39" s="1"/>
  <c r="H25" i="39" s="1"/>
  <c r="I25" i="39" s="1"/>
  <c r="J25" i="39" s="1"/>
  <c r="E25" i="12"/>
  <c r="G25" i="12" s="1"/>
  <c r="H25" i="12" s="1"/>
  <c r="E101" i="39"/>
  <c r="G101" i="39" s="1"/>
  <c r="H101" i="39" s="1"/>
  <c r="I101" i="39" s="1"/>
  <c r="J101" i="39" s="1"/>
  <c r="E101" i="12"/>
  <c r="G101" i="12" s="1"/>
  <c r="H101" i="12" s="1"/>
  <c r="E263" i="39"/>
  <c r="G263" i="39" s="1"/>
  <c r="H263" i="39" s="1"/>
  <c r="I263" i="39" s="1"/>
  <c r="J263" i="39" s="1"/>
  <c r="E263" i="12"/>
  <c r="G263" i="12" s="1"/>
  <c r="H263" i="12" s="1"/>
  <c r="E70" i="39"/>
  <c r="G70" i="39" s="1"/>
  <c r="H70" i="39" s="1"/>
  <c r="I70" i="39" s="1"/>
  <c r="J70" i="39" s="1"/>
  <c r="E70" i="12"/>
  <c r="G70" i="12" s="1"/>
  <c r="H70" i="12" s="1"/>
  <c r="E224" i="39"/>
  <c r="G224" i="39" s="1"/>
  <c r="H224" i="39" s="1"/>
  <c r="I224" i="39" s="1"/>
  <c r="J224" i="39" s="1"/>
  <c r="E224" i="12"/>
  <c r="G224" i="12" s="1"/>
  <c r="H224" i="12" s="1"/>
  <c r="E53" i="39"/>
  <c r="G53" i="39" s="1"/>
  <c r="H53" i="39" s="1"/>
  <c r="I53" i="39" s="1"/>
  <c r="J53" i="39" s="1"/>
  <c r="E53" i="12"/>
  <c r="G53" i="12" s="1"/>
  <c r="H53" i="12" s="1"/>
  <c r="E82" i="39"/>
  <c r="G82" i="39" s="1"/>
  <c r="H82" i="39" s="1"/>
  <c r="I82" i="39" s="1"/>
  <c r="J82" i="39" s="1"/>
  <c r="E82" i="12"/>
  <c r="G82" i="12" s="1"/>
  <c r="H82" i="12" s="1"/>
  <c r="E45" i="39"/>
  <c r="G45" i="39" s="1"/>
  <c r="H45" i="39" s="1"/>
  <c r="I45" i="39" s="1"/>
  <c r="J45" i="39" s="1"/>
  <c r="E45" i="12"/>
  <c r="G45" i="12" s="1"/>
  <c r="H45" i="12" s="1"/>
  <c r="E9" i="39"/>
  <c r="G9" i="39" s="1"/>
  <c r="H9" i="39" s="1"/>
  <c r="I9" i="39" s="1"/>
  <c r="J9" i="39" s="1"/>
  <c r="E9" i="12"/>
  <c r="G9" i="12" s="1"/>
  <c r="H9" i="12" s="1"/>
  <c r="E269" i="39"/>
  <c r="G269" i="39" s="1"/>
  <c r="H269" i="39" s="1"/>
  <c r="I269" i="39" s="1"/>
  <c r="J269" i="39" s="1"/>
  <c r="E269" i="12"/>
  <c r="G269" i="12" s="1"/>
  <c r="H269" i="12" s="1"/>
  <c r="E85" i="39"/>
  <c r="G85" i="39" s="1"/>
  <c r="H85" i="39" s="1"/>
  <c r="I85" i="39" s="1"/>
  <c r="J85" i="39" s="1"/>
  <c r="E85" i="12"/>
  <c r="G85" i="12" s="1"/>
  <c r="H85" i="12" s="1"/>
  <c r="E149" i="12"/>
  <c r="G149" i="12" s="1"/>
  <c r="H149" i="12" s="1"/>
  <c r="E311" i="39"/>
  <c r="G311" i="39" s="1"/>
  <c r="H311" i="39" s="1"/>
  <c r="I311" i="39" s="1"/>
  <c r="J311" i="39" s="1"/>
  <c r="E311" i="12"/>
  <c r="G311" i="12" s="1"/>
  <c r="H311" i="12" s="1"/>
  <c r="E267" i="39"/>
  <c r="G267" i="39" s="1"/>
  <c r="H267" i="39" s="1"/>
  <c r="I267" i="39" s="1"/>
  <c r="J267" i="39" s="1"/>
  <c r="E180" i="39"/>
  <c r="G180" i="39" s="1"/>
  <c r="H180" i="39" s="1"/>
  <c r="I180" i="39" s="1"/>
  <c r="J180" i="39" s="1"/>
  <c r="E180" i="12"/>
  <c r="G180" i="12" s="1"/>
  <c r="H180" i="12" s="1"/>
  <c r="E305" i="12"/>
  <c r="G305" i="12" s="1"/>
  <c r="H305" i="12" s="1"/>
  <c r="E241" i="12"/>
  <c r="G241" i="12" s="1"/>
  <c r="H241" i="12" s="1"/>
  <c r="E241" i="39"/>
  <c r="G241" i="39" s="1"/>
  <c r="H241" i="39" s="1"/>
  <c r="I241" i="39" s="1"/>
  <c r="J241" i="39" s="1"/>
  <c r="E152" i="39"/>
  <c r="G152" i="39" s="1"/>
  <c r="H152" i="39" s="1"/>
  <c r="I152" i="39" s="1"/>
  <c r="J152" i="39" s="1"/>
  <c r="E152" i="12"/>
  <c r="G152" i="12" s="1"/>
  <c r="H152" i="12" s="1"/>
  <c r="E272" i="39"/>
  <c r="G272" i="39" s="1"/>
  <c r="H272" i="39" s="1"/>
  <c r="I272" i="39" s="1"/>
  <c r="J272" i="39" s="1"/>
  <c r="E272" i="12"/>
  <c r="G272" i="12" s="1"/>
  <c r="H272" i="12" s="1"/>
  <c r="E204" i="39"/>
  <c r="G204" i="39" s="1"/>
  <c r="H204" i="39" s="1"/>
  <c r="I204" i="39" s="1"/>
  <c r="J204" i="39" s="1"/>
  <c r="E204" i="12"/>
  <c r="G204" i="12" s="1"/>
  <c r="H204" i="12" s="1"/>
  <c r="E306" i="12"/>
  <c r="G306" i="12" s="1"/>
  <c r="H306" i="12" s="1"/>
  <c r="E306" i="39"/>
  <c r="G306" i="39" s="1"/>
  <c r="H306" i="39" s="1"/>
  <c r="I306" i="39" s="1"/>
  <c r="J306" i="39" s="1"/>
  <c r="E176" i="39"/>
  <c r="G176" i="39" s="1"/>
  <c r="H176" i="39" s="1"/>
  <c r="I176" i="39" s="1"/>
  <c r="J176" i="39" s="1"/>
  <c r="E176" i="12"/>
  <c r="G176" i="12" s="1"/>
  <c r="H176" i="12" s="1"/>
  <c r="E211" i="39"/>
  <c r="G211" i="39" s="1"/>
  <c r="H211" i="39" s="1"/>
  <c r="I211" i="39" s="1"/>
  <c r="J211" i="39" s="1"/>
  <c r="E211" i="12"/>
  <c r="G211" i="12" s="1"/>
  <c r="H211" i="12" s="1"/>
  <c r="E96" i="39"/>
  <c r="G96" i="39" s="1"/>
  <c r="H96" i="39" s="1"/>
  <c r="I96" i="39" s="1"/>
  <c r="J96" i="39" s="1"/>
  <c r="E96" i="12"/>
  <c r="G96" i="12" s="1"/>
  <c r="H96" i="12" s="1"/>
  <c r="E32" i="12"/>
  <c r="G32" i="12" s="1"/>
  <c r="H32" i="12" s="1"/>
  <c r="E32" i="39"/>
  <c r="G32" i="39" s="1"/>
  <c r="H32" i="39" s="1"/>
  <c r="I32" i="39" s="1"/>
  <c r="J32" i="39" s="1"/>
  <c r="E103" i="12"/>
  <c r="G103" i="12" s="1"/>
  <c r="H103" i="12" s="1"/>
  <c r="E103" i="39"/>
  <c r="G103" i="39" s="1"/>
  <c r="H103" i="39" s="1"/>
  <c r="I103" i="39" s="1"/>
  <c r="J103" i="39" s="1"/>
  <c r="E39" i="39"/>
  <c r="G39" i="39" s="1"/>
  <c r="H39" i="39" s="1"/>
  <c r="I39" i="39" s="1"/>
  <c r="J39" i="39" s="1"/>
  <c r="E39" i="12"/>
  <c r="G39" i="12" s="1"/>
  <c r="H39" i="12" s="1"/>
  <c r="E124" i="39"/>
  <c r="G124" i="39" s="1"/>
  <c r="H124" i="39" s="1"/>
  <c r="I124" i="39" s="1"/>
  <c r="J124" i="39" s="1"/>
  <c r="E124" i="12"/>
  <c r="G124" i="12" s="1"/>
  <c r="H124" i="12" s="1"/>
  <c r="E60" i="12"/>
  <c r="G60" i="12" s="1"/>
  <c r="H60" i="12" s="1"/>
  <c r="E60" i="39"/>
  <c r="G60" i="39" s="1"/>
  <c r="H60" i="39" s="1"/>
  <c r="I60" i="39" s="1"/>
  <c r="J60" i="39" s="1"/>
  <c r="E131" i="12"/>
  <c r="G131" i="12" s="1"/>
  <c r="H131" i="12" s="1"/>
  <c r="E131" i="39"/>
  <c r="G131" i="39" s="1"/>
  <c r="H131" i="39" s="1"/>
  <c r="I131" i="39" s="1"/>
  <c r="J131" i="39" s="1"/>
  <c r="E67" i="39"/>
  <c r="G67" i="39" s="1"/>
  <c r="H67" i="39" s="1"/>
  <c r="I67" i="39" s="1"/>
  <c r="J67" i="39" s="1"/>
  <c r="E67" i="12"/>
  <c r="G67" i="12" s="1"/>
  <c r="H67" i="12" s="1"/>
  <c r="E58" i="12"/>
  <c r="G58" i="12" s="1"/>
  <c r="H58" i="12" s="1"/>
  <c r="E58" i="39"/>
  <c r="G58" i="39" s="1"/>
  <c r="H58" i="39" s="1"/>
  <c r="I58" i="39" s="1"/>
  <c r="J58" i="39" s="1"/>
  <c r="E145" i="39"/>
  <c r="G145" i="39" s="1"/>
  <c r="H145" i="39" s="1"/>
  <c r="I145" i="39" s="1"/>
  <c r="J145" i="39" s="1"/>
  <c r="E145" i="12"/>
  <c r="G145" i="12" s="1"/>
  <c r="H145" i="12" s="1"/>
  <c r="E50" i="39"/>
  <c r="G50" i="39" s="1"/>
  <c r="H50" i="39" s="1"/>
  <c r="I50" i="39" s="1"/>
  <c r="J50" i="39" s="1"/>
  <c r="E50" i="12"/>
  <c r="G50" i="12" s="1"/>
  <c r="H50" i="12" s="1"/>
  <c r="E17" i="39"/>
  <c r="G17" i="39" s="1"/>
  <c r="H17" i="39" s="1"/>
  <c r="I17" i="39" s="1"/>
  <c r="J17" i="39" s="1"/>
  <c r="E17" i="12"/>
  <c r="G17" i="12" s="1"/>
  <c r="H17" i="12" s="1"/>
  <c r="E201" i="12"/>
  <c r="G201" i="12" s="1"/>
  <c r="H201" i="12" s="1"/>
  <c r="E201" i="39"/>
  <c r="G201" i="39" s="1"/>
  <c r="H201" i="39" s="1"/>
  <c r="I201" i="39" s="1"/>
  <c r="J201" i="39" s="1"/>
  <c r="E244" i="39"/>
  <c r="G244" i="39" s="1"/>
  <c r="H244" i="39" s="1"/>
  <c r="I244" i="39" s="1"/>
  <c r="J244" i="39" s="1"/>
  <c r="E244" i="12"/>
  <c r="G244" i="12" s="1"/>
  <c r="H244" i="12" s="1"/>
  <c r="E173" i="39"/>
  <c r="G173" i="39" s="1"/>
  <c r="H173" i="39" s="1"/>
  <c r="I173" i="39" s="1"/>
  <c r="J173" i="39" s="1"/>
  <c r="E173" i="12"/>
  <c r="G173" i="12" s="1"/>
  <c r="H173" i="12" s="1"/>
  <c r="E217" i="39"/>
  <c r="G217" i="39" s="1"/>
  <c r="H217" i="39" s="1"/>
  <c r="I217" i="39" s="1"/>
  <c r="J217" i="39" s="1"/>
  <c r="E217" i="12"/>
  <c r="G217" i="12" s="1"/>
  <c r="H217" i="12" s="1"/>
  <c r="E161" i="39"/>
  <c r="G161" i="39" s="1"/>
  <c r="H161" i="39" s="1"/>
  <c r="I161" i="39" s="1"/>
  <c r="J161" i="39" s="1"/>
  <c r="E161" i="12"/>
  <c r="G161" i="12" s="1"/>
  <c r="H161" i="12" s="1"/>
  <c r="E129" i="39"/>
  <c r="G129" i="39" s="1"/>
  <c r="H129" i="39" s="1"/>
  <c r="I129" i="39" s="1"/>
  <c r="J129" i="39" s="1"/>
  <c r="E129" i="12"/>
  <c r="G129" i="12" s="1"/>
  <c r="H129" i="12" s="1"/>
  <c r="E279" i="39"/>
  <c r="G279" i="39" s="1"/>
  <c r="H279" i="39" s="1"/>
  <c r="I279" i="39" s="1"/>
  <c r="J279" i="39" s="1"/>
  <c r="E279" i="12"/>
  <c r="G279" i="12" s="1"/>
  <c r="H279" i="12" s="1"/>
  <c r="E205" i="39"/>
  <c r="G205" i="39" s="1"/>
  <c r="H205" i="39" s="1"/>
  <c r="I205" i="39" s="1"/>
  <c r="J205" i="39" s="1"/>
  <c r="E205" i="12"/>
  <c r="G205" i="12" s="1"/>
  <c r="H205" i="12" s="1"/>
  <c r="E114" i="12"/>
  <c r="G114" i="12" s="1"/>
  <c r="H114" i="12" s="1"/>
  <c r="E114" i="39"/>
  <c r="G114" i="39" s="1"/>
  <c r="H114" i="39" s="1"/>
  <c r="I114" i="39" s="1"/>
  <c r="J114" i="39" s="1"/>
  <c r="E266" i="39"/>
  <c r="G266" i="39" s="1"/>
  <c r="H266" i="39" s="1"/>
  <c r="I266" i="39" s="1"/>
  <c r="J266" i="39" s="1"/>
  <c r="E266" i="12"/>
  <c r="G266" i="12" s="1"/>
  <c r="H266" i="12" s="1"/>
  <c r="E259" i="12"/>
  <c r="G259" i="12" s="1"/>
  <c r="H259" i="12" s="1"/>
  <c r="E259" i="39"/>
  <c r="G259" i="39" s="1"/>
  <c r="H259" i="39" s="1"/>
  <c r="I259" i="39" s="1"/>
  <c r="J259" i="39" s="1"/>
  <c r="E179" i="39"/>
  <c r="G179" i="39" s="1"/>
  <c r="H179" i="39" s="1"/>
  <c r="I179" i="39" s="1"/>
  <c r="J179" i="39" s="1"/>
  <c r="E179" i="12"/>
  <c r="G179" i="12" s="1"/>
  <c r="H179" i="12" s="1"/>
  <c r="E297" i="39"/>
  <c r="G297" i="39" s="1"/>
  <c r="H297" i="39" s="1"/>
  <c r="I297" i="39" s="1"/>
  <c r="J297" i="39" s="1"/>
  <c r="E297" i="12"/>
  <c r="G297" i="12" s="1"/>
  <c r="H297" i="12" s="1"/>
  <c r="E233" i="39"/>
  <c r="G233" i="39" s="1"/>
  <c r="H233" i="39" s="1"/>
  <c r="I233" i="39" s="1"/>
  <c r="J233" i="39" s="1"/>
  <c r="E233" i="12"/>
  <c r="G233" i="12" s="1"/>
  <c r="H233" i="12" s="1"/>
  <c r="E151" i="12"/>
  <c r="G151" i="12" s="1"/>
  <c r="H151" i="12" s="1"/>
  <c r="E151" i="39"/>
  <c r="G151" i="39" s="1"/>
  <c r="H151" i="39" s="1"/>
  <c r="I151" i="39" s="1"/>
  <c r="J151" i="39" s="1"/>
  <c r="E264" i="39"/>
  <c r="G264" i="39" s="1"/>
  <c r="H264" i="39" s="1"/>
  <c r="I264" i="39" s="1"/>
  <c r="J264" i="39" s="1"/>
  <c r="E264" i="12"/>
  <c r="G264" i="12" s="1"/>
  <c r="H264" i="12" s="1"/>
  <c r="E203" i="39"/>
  <c r="G203" i="39" s="1"/>
  <c r="H203" i="39" s="1"/>
  <c r="I203" i="39" s="1"/>
  <c r="J203" i="39" s="1"/>
  <c r="E203" i="12"/>
  <c r="G203" i="12" s="1"/>
  <c r="H203" i="12" s="1"/>
  <c r="E258" i="39"/>
  <c r="G258" i="39" s="1"/>
  <c r="H258" i="39" s="1"/>
  <c r="I258" i="39" s="1"/>
  <c r="J258" i="39" s="1"/>
  <c r="E258" i="12"/>
  <c r="G258" i="12" s="1"/>
  <c r="H258" i="12" s="1"/>
  <c r="E175" i="39"/>
  <c r="G175" i="39" s="1"/>
  <c r="H175" i="39" s="1"/>
  <c r="I175" i="39" s="1"/>
  <c r="J175" i="39" s="1"/>
  <c r="E175" i="12"/>
  <c r="G175" i="12" s="1"/>
  <c r="H175" i="12" s="1"/>
  <c r="E147" i="12"/>
  <c r="G147" i="12" s="1"/>
  <c r="H147" i="12" s="1"/>
  <c r="E147" i="39"/>
  <c r="G147" i="39" s="1"/>
  <c r="H147" i="39" s="1"/>
  <c r="I147" i="39" s="1"/>
  <c r="J147" i="39" s="1"/>
  <c r="E88" i="39"/>
  <c r="G88" i="39" s="1"/>
  <c r="H88" i="39" s="1"/>
  <c r="I88" i="39" s="1"/>
  <c r="J88" i="39" s="1"/>
  <c r="E88" i="12"/>
  <c r="G88" i="12" s="1"/>
  <c r="H88" i="12" s="1"/>
  <c r="E24" i="12"/>
  <c r="G24" i="12" s="1"/>
  <c r="H24" i="12" s="1"/>
  <c r="E24" i="39"/>
  <c r="G24" i="39" s="1"/>
  <c r="H24" i="39" s="1"/>
  <c r="I24" i="39" s="1"/>
  <c r="J24" i="39" s="1"/>
  <c r="E95" i="39"/>
  <c r="G95" i="39" s="1"/>
  <c r="H95" i="39" s="1"/>
  <c r="I95" i="39" s="1"/>
  <c r="J95" i="39" s="1"/>
  <c r="E95" i="12"/>
  <c r="G95" i="12" s="1"/>
  <c r="H95" i="12" s="1"/>
  <c r="E31" i="39"/>
  <c r="G31" i="39" s="1"/>
  <c r="H31" i="39" s="1"/>
  <c r="I31" i="39" s="1"/>
  <c r="J31" i="39" s="1"/>
  <c r="E31" i="12"/>
  <c r="G31" i="12" s="1"/>
  <c r="H31" i="12" s="1"/>
  <c r="E116" i="12"/>
  <c r="G116" i="12" s="1"/>
  <c r="H116" i="12" s="1"/>
  <c r="E116" i="39"/>
  <c r="G116" i="39" s="1"/>
  <c r="H116" i="39" s="1"/>
  <c r="I116" i="39" s="1"/>
  <c r="J116" i="39" s="1"/>
  <c r="E52" i="12"/>
  <c r="G52" i="12" s="1"/>
  <c r="H52" i="12" s="1"/>
  <c r="E52" i="39"/>
  <c r="G52" i="39" s="1"/>
  <c r="H52" i="39" s="1"/>
  <c r="I52" i="39" s="1"/>
  <c r="J52" i="39" s="1"/>
  <c r="E123" i="39"/>
  <c r="G123" i="39" s="1"/>
  <c r="H123" i="39" s="1"/>
  <c r="I123" i="39" s="1"/>
  <c r="J123" i="39" s="1"/>
  <c r="E123" i="12"/>
  <c r="G123" i="12" s="1"/>
  <c r="H123" i="12" s="1"/>
  <c r="E59" i="39"/>
  <c r="G59" i="39" s="1"/>
  <c r="H59" i="39" s="1"/>
  <c r="I59" i="39" s="1"/>
  <c r="J59" i="39" s="1"/>
  <c r="E59" i="12"/>
  <c r="G59" i="12" s="1"/>
  <c r="H59" i="12" s="1"/>
  <c r="E285" i="39"/>
  <c r="G285" i="39" s="1"/>
  <c r="H285" i="39" s="1"/>
  <c r="I285" i="39" s="1"/>
  <c r="J285" i="39" s="1"/>
  <c r="E285" i="12"/>
  <c r="G285" i="12" s="1"/>
  <c r="H285" i="12" s="1"/>
  <c r="E69" i="39"/>
  <c r="G69" i="39" s="1"/>
  <c r="H69" i="39" s="1"/>
  <c r="I69" i="39" s="1"/>
  <c r="J69" i="39" s="1"/>
  <c r="E69" i="12"/>
  <c r="G69" i="12" s="1"/>
  <c r="H69" i="12" s="1"/>
  <c r="E228" i="39"/>
  <c r="G228" i="39" s="1"/>
  <c r="H228" i="39" s="1"/>
  <c r="I228" i="39" s="1"/>
  <c r="J228" i="39" s="1"/>
  <c r="E228" i="12"/>
  <c r="G228" i="12" s="1"/>
  <c r="H228" i="12" s="1"/>
  <c r="E169" i="39"/>
  <c r="G169" i="39" s="1"/>
  <c r="H169" i="39" s="1"/>
  <c r="I169" i="39" s="1"/>
  <c r="J169" i="39" s="1"/>
  <c r="E169" i="12"/>
  <c r="G169" i="12" s="1"/>
  <c r="H169" i="12" s="1"/>
  <c r="E270" i="12"/>
  <c r="G270" i="12" s="1"/>
  <c r="H270" i="12" s="1"/>
  <c r="E270" i="39"/>
  <c r="G270" i="39" s="1"/>
  <c r="H270" i="39" s="1"/>
  <c r="I270" i="39" s="1"/>
  <c r="J270" i="39" s="1"/>
  <c r="E57" i="39"/>
  <c r="G57" i="39" s="1"/>
  <c r="H57" i="39" s="1"/>
  <c r="I57" i="39" s="1"/>
  <c r="J57" i="39" s="1"/>
  <c r="E57" i="12"/>
  <c r="G57" i="12" s="1"/>
  <c r="H57" i="12" s="1"/>
  <c r="E194" i="12"/>
  <c r="G194" i="12" s="1"/>
  <c r="H194" i="12" s="1"/>
  <c r="E194" i="39"/>
  <c r="G194" i="39" s="1"/>
  <c r="H194" i="39" s="1"/>
  <c r="I194" i="39" s="1"/>
  <c r="J194" i="39" s="1"/>
  <c r="E141" i="12"/>
  <c r="G141" i="12" s="1"/>
  <c r="H141" i="12" s="1"/>
  <c r="E141" i="39"/>
  <c r="G141" i="39" s="1"/>
  <c r="H141" i="39" s="1"/>
  <c r="I141" i="39" s="1"/>
  <c r="J141" i="39" s="1"/>
  <c r="E97" i="39"/>
  <c r="G97" i="39" s="1"/>
  <c r="H97" i="39" s="1"/>
  <c r="I97" i="39" s="1"/>
  <c r="J97" i="39" s="1"/>
  <c r="E97" i="12"/>
  <c r="G97" i="12" s="1"/>
  <c r="H97" i="12" s="1"/>
  <c r="E268" i="39"/>
  <c r="G268" i="39" s="1"/>
  <c r="H268" i="39" s="1"/>
  <c r="I268" i="39" s="1"/>
  <c r="J268" i="39" s="1"/>
  <c r="E268" i="12"/>
  <c r="G268" i="12" s="1"/>
  <c r="H268" i="12" s="1"/>
  <c r="E89" i="39"/>
  <c r="G89" i="39" s="1"/>
  <c r="H89" i="39" s="1"/>
  <c r="I89" i="39" s="1"/>
  <c r="J89" i="39" s="1"/>
  <c r="E89" i="12"/>
  <c r="G89" i="12" s="1"/>
  <c r="H89" i="12" s="1"/>
  <c r="E222" i="39"/>
  <c r="G222" i="39" s="1"/>
  <c r="H222" i="39" s="1"/>
  <c r="I222" i="39" s="1"/>
  <c r="J222" i="39" s="1"/>
  <c r="E222" i="12"/>
  <c r="G222" i="12" s="1"/>
  <c r="H222" i="12" s="1"/>
  <c r="E21" i="39"/>
  <c r="G21" i="39" s="1"/>
  <c r="H21" i="39" s="1"/>
  <c r="I21" i="39" s="1"/>
  <c r="J21" i="39" s="1"/>
  <c r="E21" i="12"/>
  <c r="G21" i="12" s="1"/>
  <c r="H21" i="12" s="1"/>
  <c r="E18" i="39"/>
  <c r="G18" i="39" s="1"/>
  <c r="H18" i="39" s="1"/>
  <c r="I18" i="39" s="1"/>
  <c r="J18" i="39" s="1"/>
  <c r="E18" i="12"/>
  <c r="G18" i="12" s="1"/>
  <c r="H18" i="12" s="1"/>
  <c r="E302" i="12"/>
  <c r="G302" i="12" s="1"/>
  <c r="H302" i="12" s="1"/>
  <c r="E302" i="39"/>
  <c r="G302" i="39" s="1"/>
  <c r="H302" i="39" s="1"/>
  <c r="I302" i="39" s="1"/>
  <c r="J302" i="39" s="1"/>
  <c r="E121" i="39"/>
  <c r="G121" i="39" s="1"/>
  <c r="H121" i="39" s="1"/>
  <c r="I121" i="39" s="1"/>
  <c r="J121" i="39" s="1"/>
  <c r="E121" i="12"/>
  <c r="G121" i="12" s="1"/>
  <c r="H121" i="12" s="1"/>
  <c r="E247" i="39"/>
  <c r="G247" i="39" s="1"/>
  <c r="H247" i="39" s="1"/>
  <c r="I247" i="39" s="1"/>
  <c r="J247" i="39" s="1"/>
  <c r="E247" i="12"/>
  <c r="G247" i="12" s="1"/>
  <c r="H247" i="12" s="1"/>
  <c r="E250" i="12"/>
  <c r="G250" i="12" s="1"/>
  <c r="H250" i="12" s="1"/>
  <c r="E250" i="39"/>
  <c r="G250" i="39" s="1"/>
  <c r="H250" i="39" s="1"/>
  <c r="I250" i="39" s="1"/>
  <c r="J250" i="39" s="1"/>
  <c r="E251" i="12"/>
  <c r="G251" i="12" s="1"/>
  <c r="H251" i="12" s="1"/>
  <c r="E251" i="39"/>
  <c r="G251" i="39" s="1"/>
  <c r="H251" i="39" s="1"/>
  <c r="I251" i="39" s="1"/>
  <c r="J251" i="39" s="1"/>
  <c r="E164" i="12"/>
  <c r="G164" i="12" s="1"/>
  <c r="H164" i="12" s="1"/>
  <c r="E164" i="39"/>
  <c r="G164" i="39" s="1"/>
  <c r="H164" i="39" s="1"/>
  <c r="I164" i="39" s="1"/>
  <c r="J164" i="39" s="1"/>
  <c r="E289" i="39"/>
  <c r="G289" i="39" s="1"/>
  <c r="H289" i="39" s="1"/>
  <c r="I289" i="39" s="1"/>
  <c r="J289" i="39" s="1"/>
  <c r="E289" i="12"/>
  <c r="G289" i="12" s="1"/>
  <c r="H289" i="12" s="1"/>
  <c r="E200" i="12"/>
  <c r="G200" i="12" s="1"/>
  <c r="H200" i="12" s="1"/>
  <c r="E200" i="39"/>
  <c r="G200" i="39" s="1"/>
  <c r="H200" i="39" s="1"/>
  <c r="I200" i="39" s="1"/>
  <c r="J200" i="39" s="1"/>
  <c r="E290" i="39"/>
  <c r="G290" i="39" s="1"/>
  <c r="H290" i="39" s="1"/>
  <c r="I290" i="39" s="1"/>
  <c r="J290" i="39" s="1"/>
  <c r="E290" i="12"/>
  <c r="G290" i="12" s="1"/>
  <c r="H290" i="12" s="1"/>
  <c r="E256" i="39"/>
  <c r="G256" i="39" s="1"/>
  <c r="H256" i="39" s="1"/>
  <c r="I256" i="39" s="1"/>
  <c r="J256" i="39" s="1"/>
  <c r="E256" i="12"/>
  <c r="G256" i="12" s="1"/>
  <c r="H256" i="12" s="1"/>
  <c r="E188" i="39"/>
  <c r="G188" i="39" s="1"/>
  <c r="H188" i="39" s="1"/>
  <c r="I188" i="39" s="1"/>
  <c r="J188" i="39" s="1"/>
  <c r="E188" i="12"/>
  <c r="G188" i="12" s="1"/>
  <c r="H188" i="12" s="1"/>
  <c r="E227" i="12"/>
  <c r="G227" i="12" s="1"/>
  <c r="H227" i="12" s="1"/>
  <c r="E227" i="39"/>
  <c r="G227" i="39" s="1"/>
  <c r="H227" i="39" s="1"/>
  <c r="I227" i="39" s="1"/>
  <c r="J227" i="39" s="1"/>
  <c r="E160" i="39"/>
  <c r="G160" i="39" s="1"/>
  <c r="H160" i="39" s="1"/>
  <c r="I160" i="39" s="1"/>
  <c r="J160" i="39" s="1"/>
  <c r="E160" i="12"/>
  <c r="G160" i="12" s="1"/>
  <c r="H160" i="12" s="1"/>
  <c r="E144" i="39"/>
  <c r="G144" i="39" s="1"/>
  <c r="H144" i="39" s="1"/>
  <c r="I144" i="39" s="1"/>
  <c r="J144" i="39" s="1"/>
  <c r="E144" i="12"/>
  <c r="G144" i="12" s="1"/>
  <c r="H144" i="12" s="1"/>
  <c r="E80" i="39"/>
  <c r="G80" i="39" s="1"/>
  <c r="H80" i="39" s="1"/>
  <c r="I80" i="39" s="1"/>
  <c r="J80" i="39" s="1"/>
  <c r="E80" i="12"/>
  <c r="G80" i="12" s="1"/>
  <c r="H80" i="12" s="1"/>
  <c r="E16" i="12"/>
  <c r="G16" i="12" s="1"/>
  <c r="H16" i="12" s="1"/>
  <c r="E16" i="39"/>
  <c r="G16" i="39" s="1"/>
  <c r="H16" i="39" s="1"/>
  <c r="I16" i="39" s="1"/>
  <c r="J16" i="39" s="1"/>
  <c r="E87" i="39"/>
  <c r="G87" i="39" s="1"/>
  <c r="H87" i="39" s="1"/>
  <c r="I87" i="39" s="1"/>
  <c r="J87" i="39" s="1"/>
  <c r="E87" i="12"/>
  <c r="G87" i="12" s="1"/>
  <c r="H87" i="12" s="1"/>
  <c r="E23" i="39"/>
  <c r="G23" i="39" s="1"/>
  <c r="H23" i="39" s="1"/>
  <c r="I23" i="39" s="1"/>
  <c r="J23" i="39" s="1"/>
  <c r="E23" i="12"/>
  <c r="G23" i="12" s="1"/>
  <c r="H23" i="12" s="1"/>
  <c r="E108" i="39"/>
  <c r="G108" i="39" s="1"/>
  <c r="H108" i="39" s="1"/>
  <c r="I108" i="39" s="1"/>
  <c r="J108" i="39" s="1"/>
  <c r="E108" i="12"/>
  <c r="G108" i="12" s="1"/>
  <c r="H108" i="12" s="1"/>
  <c r="E44" i="12"/>
  <c r="G44" i="12" s="1"/>
  <c r="H44" i="12" s="1"/>
  <c r="E44" i="39"/>
  <c r="G44" i="39" s="1"/>
  <c r="H44" i="39" s="1"/>
  <c r="I44" i="39" s="1"/>
  <c r="J44" i="39" s="1"/>
  <c r="E115" i="39"/>
  <c r="G115" i="39" s="1"/>
  <c r="H115" i="39" s="1"/>
  <c r="I115" i="39" s="1"/>
  <c r="J115" i="39" s="1"/>
  <c r="E115" i="12"/>
  <c r="G115" i="12" s="1"/>
  <c r="H115" i="12" s="1"/>
  <c r="E51" i="39"/>
  <c r="G51" i="39" s="1"/>
  <c r="H51" i="39" s="1"/>
  <c r="I51" i="39" s="1"/>
  <c r="J51" i="39" s="1"/>
  <c r="E51" i="12"/>
  <c r="G51" i="12" s="1"/>
  <c r="H51" i="12" s="1"/>
  <c r="E166" i="39"/>
  <c r="G166" i="39" s="1"/>
  <c r="H166" i="39" s="1"/>
  <c r="I166" i="39" s="1"/>
  <c r="J166" i="39" s="1"/>
  <c r="E166" i="12"/>
  <c r="G166" i="12" s="1"/>
  <c r="H166" i="12" s="1"/>
  <c r="E206" i="39"/>
  <c r="G206" i="39" s="1"/>
  <c r="H206" i="39" s="1"/>
  <c r="I206" i="39" s="1"/>
  <c r="J206" i="39" s="1"/>
  <c r="E206" i="12"/>
  <c r="G206" i="12" s="1"/>
  <c r="H206" i="12" s="1"/>
  <c r="E134" i="39"/>
  <c r="G134" i="39" s="1"/>
  <c r="H134" i="39" s="1"/>
  <c r="I134" i="39" s="1"/>
  <c r="J134" i="39" s="1"/>
  <c r="E134" i="12"/>
  <c r="G134" i="12" s="1"/>
  <c r="H134" i="12" s="1"/>
  <c r="E245" i="12"/>
  <c r="G245" i="12" s="1"/>
  <c r="H245" i="12" s="1"/>
  <c r="E245" i="39"/>
  <c r="G245" i="39" s="1"/>
  <c r="H245" i="39" s="1"/>
  <c r="I245" i="39" s="1"/>
  <c r="J245" i="39" s="1"/>
  <c r="E117" i="39"/>
  <c r="G117" i="39" s="1"/>
  <c r="H117" i="39" s="1"/>
  <c r="I117" i="39" s="1"/>
  <c r="J117" i="39" s="1"/>
  <c r="E117" i="12"/>
  <c r="G117" i="12" s="1"/>
  <c r="H117" i="12" s="1"/>
  <c r="E181" i="39"/>
  <c r="G181" i="39" s="1"/>
  <c r="H181" i="39" s="1"/>
  <c r="I181" i="39" s="1"/>
  <c r="J181" i="39" s="1"/>
  <c r="E181" i="12"/>
  <c r="G181" i="12" s="1"/>
  <c r="H181" i="12" s="1"/>
  <c r="E109" i="39"/>
  <c r="G109" i="39" s="1"/>
  <c r="H109" i="39" s="1"/>
  <c r="I109" i="39" s="1"/>
  <c r="J109" i="39" s="1"/>
  <c r="E109" i="12"/>
  <c r="G109" i="12" s="1"/>
  <c r="H109" i="12" s="1"/>
  <c r="E65" i="39"/>
  <c r="G65" i="39" s="1"/>
  <c r="H65" i="39" s="1"/>
  <c r="I65" i="39" s="1"/>
  <c r="J65" i="39" s="1"/>
  <c r="E65" i="12"/>
  <c r="G65" i="12" s="1"/>
  <c r="H65" i="12" s="1"/>
  <c r="E287" i="12"/>
  <c r="G287" i="12" s="1"/>
  <c r="H287" i="12" s="1"/>
  <c r="E287" i="39"/>
  <c r="G287" i="39" s="1"/>
  <c r="H287" i="39" s="1"/>
  <c r="I287" i="39" s="1"/>
  <c r="J287" i="39" s="1"/>
  <c r="E170" i="12"/>
  <c r="G170" i="12" s="1"/>
  <c r="H170" i="12" s="1"/>
  <c r="E170" i="39"/>
  <c r="G170" i="39" s="1"/>
  <c r="H170" i="39" s="1"/>
  <c r="I170" i="39" s="1"/>
  <c r="J170" i="39" s="1"/>
  <c r="E300" i="12"/>
  <c r="G300" i="12" s="1"/>
  <c r="H300" i="12" s="1"/>
  <c r="E300" i="39"/>
  <c r="G300" i="39" s="1"/>
  <c r="H300" i="39" s="1"/>
  <c r="I300" i="39" s="1"/>
  <c r="J300" i="39" s="1"/>
  <c r="E225" i="12"/>
  <c r="G225" i="12" s="1"/>
  <c r="H225" i="12" s="1"/>
  <c r="E225" i="39"/>
  <c r="G225" i="39" s="1"/>
  <c r="H225" i="39" s="1"/>
  <c r="I225" i="39" s="1"/>
  <c r="J225" i="39" s="1"/>
  <c r="E110" i="12"/>
  <c r="G110" i="12" s="1"/>
  <c r="H110" i="12" s="1"/>
  <c r="E110" i="39"/>
  <c r="G110" i="39" s="1"/>
  <c r="H110" i="39" s="1"/>
  <c r="I110" i="39" s="1"/>
  <c r="J110" i="39" s="1"/>
  <c r="E277" i="39"/>
  <c r="G277" i="39" s="1"/>
  <c r="H277" i="39" s="1"/>
  <c r="I277" i="39" s="1"/>
  <c r="J277" i="39" s="1"/>
  <c r="E277" i="12"/>
  <c r="G277" i="12" s="1"/>
  <c r="H277" i="12" s="1"/>
  <c r="E186" i="12"/>
  <c r="G186" i="12" s="1"/>
  <c r="H186" i="12" s="1"/>
  <c r="E186" i="39"/>
  <c r="G186" i="39" s="1"/>
  <c r="H186" i="39" s="1"/>
  <c r="I186" i="39" s="1"/>
  <c r="J186" i="39" s="1"/>
  <c r="E310" i="39"/>
  <c r="G310" i="39" s="1"/>
  <c r="H310" i="39" s="1"/>
  <c r="I310" i="39" s="1"/>
  <c r="J310" i="39" s="1"/>
  <c r="E310" i="12"/>
  <c r="G310" i="12" s="1"/>
  <c r="H310" i="12" s="1"/>
  <c r="E158" i="39"/>
  <c r="G158" i="39" s="1"/>
  <c r="H158" i="39" s="1"/>
  <c r="I158" i="39" s="1"/>
  <c r="J158" i="39" s="1"/>
  <c r="E158" i="12"/>
  <c r="G158" i="12" s="1"/>
  <c r="H158" i="12" s="1"/>
  <c r="E142" i="39"/>
  <c r="G142" i="39" s="1"/>
  <c r="H142" i="39" s="1"/>
  <c r="I142" i="39" s="1"/>
  <c r="J142" i="39" s="1"/>
  <c r="E142" i="12"/>
  <c r="G142" i="12" s="1"/>
  <c r="H142" i="12" s="1"/>
  <c r="E301" i="39"/>
  <c r="G301" i="39" s="1"/>
  <c r="H301" i="39" s="1"/>
  <c r="I301" i="39" s="1"/>
  <c r="J301" i="39" s="1"/>
  <c r="E301" i="12"/>
  <c r="G301" i="12" s="1"/>
  <c r="H301" i="12" s="1"/>
  <c r="E202" i="12"/>
  <c r="G202" i="12" s="1"/>
  <c r="H202" i="12" s="1"/>
  <c r="E202" i="39"/>
  <c r="G202" i="39" s="1"/>
  <c r="H202" i="39" s="1"/>
  <c r="I202" i="39" s="1"/>
  <c r="J202" i="39" s="1"/>
  <c r="E236" i="39"/>
  <c r="G236" i="39" s="1"/>
  <c r="H236" i="39" s="1"/>
  <c r="I236" i="39" s="1"/>
  <c r="J236" i="39" s="1"/>
  <c r="E236" i="12"/>
  <c r="G236" i="12" s="1"/>
  <c r="H236" i="12" s="1"/>
  <c r="E307" i="12"/>
  <c r="G307" i="12" s="1"/>
  <c r="H307" i="12" s="1"/>
  <c r="E307" i="39"/>
  <c r="G307" i="39" s="1"/>
  <c r="H307" i="39" s="1"/>
  <c r="I307" i="39" s="1"/>
  <c r="J307" i="39" s="1"/>
  <c r="E243" i="39"/>
  <c r="G243" i="39" s="1"/>
  <c r="H243" i="39" s="1"/>
  <c r="I243" i="39" s="1"/>
  <c r="J243" i="39" s="1"/>
  <c r="E243" i="12"/>
  <c r="G243" i="12" s="1"/>
  <c r="H243" i="12" s="1"/>
  <c r="E163" i="12"/>
  <c r="G163" i="12" s="1"/>
  <c r="H163" i="12" s="1"/>
  <c r="E163" i="39"/>
  <c r="G163" i="39" s="1"/>
  <c r="H163" i="39" s="1"/>
  <c r="I163" i="39" s="1"/>
  <c r="J163" i="39" s="1"/>
  <c r="E281" i="39"/>
  <c r="G281" i="39" s="1"/>
  <c r="H281" i="39" s="1"/>
  <c r="I281" i="39" s="1"/>
  <c r="J281" i="39" s="1"/>
  <c r="E281" i="12"/>
  <c r="G281" i="12" s="1"/>
  <c r="H281" i="12" s="1"/>
  <c r="E199" i="39"/>
  <c r="G199" i="39" s="1"/>
  <c r="H199" i="39" s="1"/>
  <c r="I199" i="39" s="1"/>
  <c r="J199" i="39" s="1"/>
  <c r="E199" i="12"/>
  <c r="G199" i="12" s="1"/>
  <c r="H199" i="12" s="1"/>
  <c r="E312" i="12"/>
  <c r="G312" i="12" s="1"/>
  <c r="H312" i="12" s="1"/>
  <c r="E312" i="39"/>
  <c r="G312" i="39" s="1"/>
  <c r="H312" i="39" s="1"/>
  <c r="I312" i="39" s="1"/>
  <c r="J312" i="39" s="1"/>
  <c r="E248" i="39"/>
  <c r="G248" i="39" s="1"/>
  <c r="H248" i="39" s="1"/>
  <c r="I248" i="39" s="1"/>
  <c r="J248" i="39" s="1"/>
  <c r="E248" i="12"/>
  <c r="G248" i="12" s="1"/>
  <c r="H248" i="12" s="1"/>
  <c r="E187" i="39"/>
  <c r="G187" i="39" s="1"/>
  <c r="H187" i="39" s="1"/>
  <c r="I187" i="39" s="1"/>
  <c r="J187" i="39" s="1"/>
  <c r="E187" i="12"/>
  <c r="G187" i="12" s="1"/>
  <c r="H187" i="12" s="1"/>
  <c r="E212" i="39"/>
  <c r="G212" i="39" s="1"/>
  <c r="H212" i="39" s="1"/>
  <c r="I212" i="39" s="1"/>
  <c r="J212" i="39" s="1"/>
  <c r="E212" i="12"/>
  <c r="G212" i="12" s="1"/>
  <c r="H212" i="12" s="1"/>
  <c r="E159" i="12"/>
  <c r="G159" i="12" s="1"/>
  <c r="H159" i="12" s="1"/>
  <c r="E159" i="39"/>
  <c r="G159" i="39" s="1"/>
  <c r="H159" i="39" s="1"/>
  <c r="I159" i="39" s="1"/>
  <c r="J159" i="39" s="1"/>
  <c r="E136" i="39"/>
  <c r="G136" i="39" s="1"/>
  <c r="H136" i="39" s="1"/>
  <c r="I136" i="39" s="1"/>
  <c r="J136" i="39" s="1"/>
  <c r="E136" i="12"/>
  <c r="G136" i="12" s="1"/>
  <c r="H136" i="12" s="1"/>
  <c r="E72" i="39"/>
  <c r="G72" i="39" s="1"/>
  <c r="H72" i="39" s="1"/>
  <c r="I72" i="39" s="1"/>
  <c r="J72" i="39" s="1"/>
  <c r="E72" i="12"/>
  <c r="G72" i="12" s="1"/>
  <c r="H72" i="12" s="1"/>
  <c r="E8" i="12"/>
  <c r="G8" i="12" s="1"/>
  <c r="H8" i="12" s="1"/>
  <c r="E8" i="39"/>
  <c r="G8" i="39" s="1"/>
  <c r="H8" i="39" s="1"/>
  <c r="I8" i="39" s="1"/>
  <c r="J8" i="39" s="1"/>
  <c r="E79" i="39"/>
  <c r="G79" i="39" s="1"/>
  <c r="H79" i="39" s="1"/>
  <c r="I79" i="39" s="1"/>
  <c r="J79" i="39" s="1"/>
  <c r="E79" i="12"/>
  <c r="G79" i="12" s="1"/>
  <c r="H79" i="12" s="1"/>
  <c r="E15" i="39"/>
  <c r="G15" i="39" s="1"/>
  <c r="H15" i="39" s="1"/>
  <c r="I15" i="39" s="1"/>
  <c r="J15" i="39" s="1"/>
  <c r="E15" i="12"/>
  <c r="G15" i="12" s="1"/>
  <c r="H15" i="12" s="1"/>
  <c r="E100" i="12"/>
  <c r="G100" i="12" s="1"/>
  <c r="H100" i="12" s="1"/>
  <c r="E100" i="39"/>
  <c r="G100" i="39" s="1"/>
  <c r="H100" i="39" s="1"/>
  <c r="I100" i="39" s="1"/>
  <c r="J100" i="39" s="1"/>
  <c r="E36" i="12"/>
  <c r="G36" i="12" s="1"/>
  <c r="H36" i="12" s="1"/>
  <c r="E36" i="39"/>
  <c r="G36" i="39" s="1"/>
  <c r="H36" i="39" s="1"/>
  <c r="I36" i="39" s="1"/>
  <c r="J36" i="39" s="1"/>
  <c r="E107" i="12"/>
  <c r="G107" i="12" s="1"/>
  <c r="H107" i="12" s="1"/>
  <c r="E107" i="39"/>
  <c r="G107" i="39" s="1"/>
  <c r="H107" i="39" s="1"/>
  <c r="I107" i="39" s="1"/>
  <c r="J107" i="39" s="1"/>
  <c r="E43" i="39"/>
  <c r="G43" i="39" s="1"/>
  <c r="H43" i="39" s="1"/>
  <c r="I43" i="39" s="1"/>
  <c r="J43" i="39" s="1"/>
  <c r="E43" i="12"/>
  <c r="G43" i="12" s="1"/>
  <c r="H43" i="12" s="1"/>
  <c r="E261" i="39"/>
  <c r="G261" i="39" s="1"/>
  <c r="H261" i="39" s="1"/>
  <c r="I261" i="39" s="1"/>
  <c r="J261" i="39" s="1"/>
  <c r="E261" i="12"/>
  <c r="G261" i="12" s="1"/>
  <c r="H261" i="12" s="1"/>
  <c r="E37" i="39"/>
  <c r="G37" i="39" s="1"/>
  <c r="H37" i="39" s="1"/>
  <c r="I37" i="39" s="1"/>
  <c r="J37" i="39" s="1"/>
  <c r="E37" i="12"/>
  <c r="G37" i="12" s="1"/>
  <c r="H37" i="12" s="1"/>
  <c r="E213" i="39"/>
  <c r="G213" i="39" s="1"/>
  <c r="H213" i="39" s="1"/>
  <c r="I213" i="39" s="1"/>
  <c r="J213" i="39" s="1"/>
  <c r="E213" i="12"/>
  <c r="G213" i="12" s="1"/>
  <c r="H213" i="12" s="1"/>
  <c r="E61" i="39"/>
  <c r="G61" i="39" s="1"/>
  <c r="H61" i="39" s="1"/>
  <c r="I61" i="39" s="1"/>
  <c r="J61" i="39" s="1"/>
  <c r="E61" i="12"/>
  <c r="G61" i="12" s="1"/>
  <c r="H61" i="12" s="1"/>
  <c r="E295" i="39"/>
  <c r="G295" i="39" s="1"/>
  <c r="H295" i="39" s="1"/>
  <c r="I295" i="39" s="1"/>
  <c r="J295" i="39" s="1"/>
  <c r="E295" i="12"/>
  <c r="G295" i="12" s="1"/>
  <c r="H295" i="12" s="1"/>
  <c r="E113" i="39"/>
  <c r="G113" i="39" s="1"/>
  <c r="H113" i="39" s="1"/>
  <c r="I113" i="39" s="1"/>
  <c r="J113" i="39" s="1"/>
  <c r="E113" i="12"/>
  <c r="G113" i="12" s="1"/>
  <c r="H113" i="12" s="1"/>
  <c r="E73" i="39"/>
  <c r="G73" i="39" s="1"/>
  <c r="H73" i="39" s="1"/>
  <c r="I73" i="39" s="1"/>
  <c r="J73" i="39" s="1"/>
  <c r="E73" i="12"/>
  <c r="G73" i="12" s="1"/>
  <c r="H73" i="12" s="1"/>
  <c r="E26" i="39"/>
  <c r="G26" i="39" s="1"/>
  <c r="H26" i="39" s="1"/>
  <c r="I26" i="39" s="1"/>
  <c r="J26" i="39" s="1"/>
  <c r="E26" i="12"/>
  <c r="G26" i="12" s="1"/>
  <c r="H26" i="12" s="1"/>
  <c r="E93" i="39"/>
  <c r="G93" i="39" s="1"/>
  <c r="H93" i="39" s="1"/>
  <c r="I93" i="39" s="1"/>
  <c r="J93" i="39" s="1"/>
  <c r="E93" i="12"/>
  <c r="G93" i="12" s="1"/>
  <c r="H93" i="12" s="1"/>
  <c r="E255" i="39"/>
  <c r="G255" i="39" s="1"/>
  <c r="H255" i="39" s="1"/>
  <c r="I255" i="39" s="1"/>
  <c r="J255" i="39" s="1"/>
  <c r="E255" i="12"/>
  <c r="G255" i="12" s="1"/>
  <c r="H255" i="12" s="1"/>
  <c r="E62" i="39"/>
  <c r="G62" i="39" s="1"/>
  <c r="H62" i="39" s="1"/>
  <c r="I62" i="39" s="1"/>
  <c r="J62" i="39" s="1"/>
  <c r="E62" i="12"/>
  <c r="G62" i="12" s="1"/>
  <c r="H62" i="12" s="1"/>
  <c r="E105" i="39"/>
  <c r="G105" i="39" s="1"/>
  <c r="H105" i="39" s="1"/>
  <c r="I105" i="39" s="1"/>
  <c r="J105" i="39" s="1"/>
  <c r="E105" i="12"/>
  <c r="G105" i="12" s="1"/>
  <c r="H105" i="12" s="1"/>
  <c r="E54" i="39"/>
  <c r="G54" i="39" s="1"/>
  <c r="H54" i="39" s="1"/>
  <c r="I54" i="39" s="1"/>
  <c r="J54" i="39" s="1"/>
  <c r="E54" i="12"/>
  <c r="G54" i="12" s="1"/>
  <c r="H54" i="12" s="1"/>
  <c r="E125" i="39"/>
  <c r="G125" i="39" s="1"/>
  <c r="H125" i="39" s="1"/>
  <c r="I125" i="39" s="1"/>
  <c r="J125" i="39" s="1"/>
  <c r="E125" i="12"/>
  <c r="G125" i="12" s="1"/>
  <c r="H125" i="12" s="1"/>
  <c r="E231" i="12"/>
  <c r="G231" i="12" s="1"/>
  <c r="H231" i="12" s="1"/>
  <c r="E231" i="39"/>
  <c r="G231" i="39" s="1"/>
  <c r="H231" i="39" s="1"/>
  <c r="I231" i="39" s="1"/>
  <c r="J231" i="39" s="1"/>
  <c r="E299" i="12"/>
  <c r="G299" i="12" s="1"/>
  <c r="H299" i="12" s="1"/>
  <c r="E299" i="39"/>
  <c r="G299" i="39" s="1"/>
  <c r="H299" i="39" s="1"/>
  <c r="I299" i="39" s="1"/>
  <c r="J299" i="39" s="1"/>
  <c r="E235" i="12"/>
  <c r="G235" i="12" s="1"/>
  <c r="H235" i="12" s="1"/>
  <c r="E235" i="39"/>
  <c r="G235" i="39" s="1"/>
  <c r="H235" i="39" s="1"/>
  <c r="I235" i="39" s="1"/>
  <c r="J235" i="39" s="1"/>
  <c r="E143" i="12"/>
  <c r="G143" i="12" s="1"/>
  <c r="H143" i="12" s="1"/>
  <c r="E143" i="39"/>
  <c r="G143" i="39" s="1"/>
  <c r="H143" i="39" s="1"/>
  <c r="I143" i="39" s="1"/>
  <c r="J143" i="39" s="1"/>
  <c r="E273" i="39"/>
  <c r="G273" i="39" s="1"/>
  <c r="H273" i="39" s="1"/>
  <c r="I273" i="39" s="1"/>
  <c r="J273" i="39" s="1"/>
  <c r="E273" i="12"/>
  <c r="G273" i="12" s="1"/>
  <c r="H273" i="12" s="1"/>
  <c r="E184" i="39"/>
  <c r="G184" i="39" s="1"/>
  <c r="H184" i="39" s="1"/>
  <c r="I184" i="39" s="1"/>
  <c r="J184" i="39" s="1"/>
  <c r="E184" i="12"/>
  <c r="G184" i="12" s="1"/>
  <c r="H184" i="12" s="1"/>
  <c r="E304" i="12"/>
  <c r="G304" i="12" s="1"/>
  <c r="H304" i="12" s="1"/>
  <c r="E304" i="39"/>
  <c r="G304" i="39" s="1"/>
  <c r="H304" i="39" s="1"/>
  <c r="I304" i="39" s="1"/>
  <c r="J304" i="39" s="1"/>
  <c r="E240" i="39"/>
  <c r="G240" i="39" s="1"/>
  <c r="H240" i="39" s="1"/>
  <c r="I240" i="39" s="1"/>
  <c r="J240" i="39" s="1"/>
  <c r="E240" i="12"/>
  <c r="G240" i="12" s="1"/>
  <c r="H240" i="12" s="1"/>
  <c r="E172" i="39"/>
  <c r="G172" i="39" s="1"/>
  <c r="H172" i="39" s="1"/>
  <c r="I172" i="39" s="1"/>
  <c r="J172" i="39" s="1"/>
  <c r="E172" i="12"/>
  <c r="G172" i="12" s="1"/>
  <c r="H172" i="12" s="1"/>
  <c r="E208" i="39"/>
  <c r="G208" i="39" s="1"/>
  <c r="H208" i="39" s="1"/>
  <c r="I208" i="39" s="1"/>
  <c r="J208" i="39" s="1"/>
  <c r="E208" i="12"/>
  <c r="G208" i="12" s="1"/>
  <c r="H208" i="12" s="1"/>
  <c r="E242" i="39"/>
  <c r="G242" i="39" s="1"/>
  <c r="H242" i="39" s="1"/>
  <c r="I242" i="39" s="1"/>
  <c r="J242" i="39" s="1"/>
  <c r="E242" i="12"/>
  <c r="G242" i="12" s="1"/>
  <c r="H242" i="12" s="1"/>
  <c r="E128" i="39"/>
  <c r="G128" i="39" s="1"/>
  <c r="H128" i="39" s="1"/>
  <c r="I128" i="39" s="1"/>
  <c r="J128" i="39" s="1"/>
  <c r="E128" i="12"/>
  <c r="G128" i="12" s="1"/>
  <c r="H128" i="12" s="1"/>
  <c r="E64" i="39"/>
  <c r="G64" i="39" s="1"/>
  <c r="H64" i="39" s="1"/>
  <c r="I64" i="39" s="1"/>
  <c r="J64" i="39" s="1"/>
  <c r="E64" i="12"/>
  <c r="G64" i="12" s="1"/>
  <c r="H64" i="12" s="1"/>
  <c r="E135" i="39"/>
  <c r="G135" i="39" s="1"/>
  <c r="H135" i="39" s="1"/>
  <c r="I135" i="39" s="1"/>
  <c r="J135" i="39" s="1"/>
  <c r="E135" i="12"/>
  <c r="G135" i="12" s="1"/>
  <c r="H135" i="12" s="1"/>
  <c r="E71" i="39"/>
  <c r="G71" i="39" s="1"/>
  <c r="H71" i="39" s="1"/>
  <c r="I71" i="39" s="1"/>
  <c r="J71" i="39" s="1"/>
  <c r="E71" i="12"/>
  <c r="G71" i="12" s="1"/>
  <c r="H71" i="12" s="1"/>
  <c r="E7" i="39"/>
  <c r="G7" i="39" s="1"/>
  <c r="H7" i="39" s="1"/>
  <c r="I7" i="39" s="1"/>
  <c r="J7" i="39" s="1"/>
  <c r="E7" i="12"/>
  <c r="G7" i="12" s="1"/>
  <c r="H7" i="12" s="1"/>
  <c r="E92" i="12"/>
  <c r="G92" i="12" s="1"/>
  <c r="H92" i="12" s="1"/>
  <c r="E92" i="39"/>
  <c r="G92" i="39" s="1"/>
  <c r="H92" i="39" s="1"/>
  <c r="I92" i="39" s="1"/>
  <c r="J92" i="39" s="1"/>
  <c r="E28" i="12"/>
  <c r="G28" i="12" s="1"/>
  <c r="H28" i="12" s="1"/>
  <c r="E28" i="39"/>
  <c r="G28" i="39" s="1"/>
  <c r="H28" i="39" s="1"/>
  <c r="I28" i="39" s="1"/>
  <c r="J28" i="39" s="1"/>
  <c r="E99" i="39"/>
  <c r="G99" i="39" s="1"/>
  <c r="H99" i="39" s="1"/>
  <c r="I99" i="39" s="1"/>
  <c r="J99" i="39" s="1"/>
  <c r="E99" i="12"/>
  <c r="G99" i="12" s="1"/>
  <c r="H99" i="12" s="1"/>
  <c r="E35" i="39"/>
  <c r="G35" i="39" s="1"/>
  <c r="H35" i="39" s="1"/>
  <c r="I35" i="39" s="1"/>
  <c r="J35" i="39" s="1"/>
  <c r="E35" i="12"/>
  <c r="G35" i="12" s="1"/>
  <c r="H35" i="12" s="1"/>
  <c r="E137" i="12"/>
  <c r="G137" i="12" s="1"/>
  <c r="H137" i="12" s="1"/>
  <c r="E137" i="39"/>
  <c r="G137" i="39" s="1"/>
  <c r="H137" i="39" s="1"/>
  <c r="I137" i="39" s="1"/>
  <c r="J137" i="39" s="1"/>
  <c r="E10" i="39"/>
  <c r="G10" i="39" s="1"/>
  <c r="H10" i="39" s="1"/>
  <c r="I10" i="39" s="1"/>
  <c r="J10" i="39" s="1"/>
  <c r="E10" i="12"/>
  <c r="G10" i="12" s="1"/>
  <c r="H10" i="12" s="1"/>
  <c r="E246" i="39"/>
  <c r="G246" i="39" s="1"/>
  <c r="H246" i="39" s="1"/>
  <c r="I246" i="39" s="1"/>
  <c r="J246" i="39" s="1"/>
  <c r="E246" i="12"/>
  <c r="G246" i="12" s="1"/>
  <c r="H246" i="12" s="1"/>
  <c r="E29" i="39"/>
  <c r="G29" i="39" s="1"/>
  <c r="H29" i="39" s="1"/>
  <c r="I29" i="39" s="1"/>
  <c r="J29" i="39" s="1"/>
  <c r="E29" i="12"/>
  <c r="G29" i="12" s="1"/>
  <c r="H29" i="12" s="1"/>
  <c r="E150" i="39"/>
  <c r="G150" i="39" s="1"/>
  <c r="H150" i="39" s="1"/>
  <c r="I150" i="39" s="1"/>
  <c r="J150" i="39" s="1"/>
  <c r="E150" i="12"/>
  <c r="G150" i="12" s="1"/>
  <c r="H150" i="12" s="1"/>
  <c r="E276" i="39"/>
  <c r="G276" i="39" s="1"/>
  <c r="H276" i="39" s="1"/>
  <c r="I276" i="39" s="1"/>
  <c r="J276" i="39" s="1"/>
  <c r="E276" i="12"/>
  <c r="G276" i="12" s="1"/>
  <c r="H276" i="12" s="1"/>
  <c r="E238" i="39"/>
  <c r="G238" i="39" s="1"/>
  <c r="H238" i="39" s="1"/>
  <c r="I238" i="39" s="1"/>
  <c r="J238" i="39" s="1"/>
  <c r="E238" i="12"/>
  <c r="G238" i="12" s="1"/>
  <c r="H238" i="12" s="1"/>
  <c r="E34" i="39"/>
  <c r="G34" i="39" s="1"/>
  <c r="H34" i="39" s="1"/>
  <c r="I34" i="39" s="1"/>
  <c r="J34" i="39" s="1"/>
  <c r="E34" i="12"/>
  <c r="G34" i="12" s="1"/>
  <c r="H34" i="12" s="1"/>
  <c r="E210" i="39"/>
  <c r="G210" i="39" s="1"/>
  <c r="H210" i="39" s="1"/>
  <c r="I210" i="39" s="1"/>
  <c r="J210" i="39" s="1"/>
  <c r="E210" i="12"/>
  <c r="G210" i="12" s="1"/>
  <c r="H210" i="12" s="1"/>
  <c r="E146" i="39"/>
  <c r="G146" i="39" s="1"/>
  <c r="H146" i="39" s="1"/>
  <c r="I146" i="39" s="1"/>
  <c r="J146" i="39" s="1"/>
  <c r="E146" i="12"/>
  <c r="G146" i="12" s="1"/>
  <c r="H146" i="12" s="1"/>
  <c r="E106" i="39"/>
  <c r="G106" i="39" s="1"/>
  <c r="H106" i="39" s="1"/>
  <c r="I106" i="39" s="1"/>
  <c r="J106" i="39" s="1"/>
  <c r="E106" i="12"/>
  <c r="G106" i="12" s="1"/>
  <c r="H106" i="12" s="1"/>
  <c r="E254" i="39"/>
  <c r="G254" i="39" s="1"/>
  <c r="H254" i="39" s="1"/>
  <c r="I254" i="39" s="1"/>
  <c r="J254" i="39" s="1"/>
  <c r="E254" i="12"/>
  <c r="G254" i="12" s="1"/>
  <c r="H254" i="12" s="1"/>
  <c r="E189" i="12"/>
  <c r="G189" i="12" s="1"/>
  <c r="H189" i="12" s="1"/>
  <c r="E189" i="39"/>
  <c r="G189" i="39" s="1"/>
  <c r="H189" i="39" s="1"/>
  <c r="I189" i="39" s="1"/>
  <c r="J189" i="39" s="1"/>
  <c r="E221" i="39"/>
  <c r="G221" i="39" s="1"/>
  <c r="H221" i="39" s="1"/>
  <c r="I221" i="39" s="1"/>
  <c r="J221" i="39" s="1"/>
  <c r="E221" i="12"/>
  <c r="G221" i="12" s="1"/>
  <c r="H221" i="12" s="1"/>
  <c r="E177" i="39"/>
  <c r="G177" i="39" s="1"/>
  <c r="H177" i="39" s="1"/>
  <c r="I177" i="39" s="1"/>
  <c r="J177" i="39" s="1"/>
  <c r="E177" i="12"/>
  <c r="G177" i="12" s="1"/>
  <c r="H177" i="12" s="1"/>
  <c r="E14" i="39"/>
  <c r="G14" i="39" s="1"/>
  <c r="H14" i="39" s="1"/>
  <c r="I14" i="39" s="1"/>
  <c r="J14" i="39" s="1"/>
  <c r="E14" i="12"/>
  <c r="G14" i="12" s="1"/>
  <c r="H14" i="12" s="1"/>
  <c r="E284" i="39"/>
  <c r="G284" i="39" s="1"/>
  <c r="H284" i="39" s="1"/>
  <c r="I284" i="39" s="1"/>
  <c r="J284" i="39" s="1"/>
  <c r="E284" i="12"/>
  <c r="G284" i="12" s="1"/>
  <c r="H284" i="12" s="1"/>
  <c r="E291" i="12"/>
  <c r="G291" i="12" s="1"/>
  <c r="H291" i="12" s="1"/>
  <c r="E291" i="39"/>
  <c r="G291" i="39" s="1"/>
  <c r="H291" i="39" s="1"/>
  <c r="I291" i="39" s="1"/>
  <c r="J291" i="39" s="1"/>
  <c r="E219" i="39"/>
  <c r="G219" i="39" s="1"/>
  <c r="H219" i="39" s="1"/>
  <c r="I219" i="39" s="1"/>
  <c r="J219" i="39" s="1"/>
  <c r="E219" i="12"/>
  <c r="G219" i="12" s="1"/>
  <c r="H219" i="12" s="1"/>
  <c r="E274" i="39"/>
  <c r="G274" i="39" s="1"/>
  <c r="H274" i="39" s="1"/>
  <c r="I274" i="39" s="1"/>
  <c r="J274" i="39" s="1"/>
  <c r="E274" i="12"/>
  <c r="G274" i="12" s="1"/>
  <c r="H274" i="12" s="1"/>
  <c r="E265" i="39"/>
  <c r="G265" i="39" s="1"/>
  <c r="H265" i="39" s="1"/>
  <c r="I265" i="39" s="1"/>
  <c r="J265" i="39" s="1"/>
  <c r="E265" i="12"/>
  <c r="G265" i="12" s="1"/>
  <c r="H265" i="12" s="1"/>
  <c r="E183" i="39"/>
  <c r="G183" i="39" s="1"/>
  <c r="H183" i="39" s="1"/>
  <c r="I183" i="39" s="1"/>
  <c r="J183" i="39" s="1"/>
  <c r="E183" i="12"/>
  <c r="G183" i="12" s="1"/>
  <c r="H183" i="12" s="1"/>
  <c r="E296" i="12"/>
  <c r="G296" i="12" s="1"/>
  <c r="H296" i="12" s="1"/>
  <c r="E296" i="39"/>
  <c r="G296" i="39" s="1"/>
  <c r="H296" i="39" s="1"/>
  <c r="I296" i="39" s="1"/>
  <c r="J296" i="39" s="1"/>
  <c r="E232" i="39"/>
  <c r="G232" i="39" s="1"/>
  <c r="H232" i="39" s="1"/>
  <c r="I232" i="39" s="1"/>
  <c r="J232" i="39" s="1"/>
  <c r="E232" i="12"/>
  <c r="G232" i="12" s="1"/>
  <c r="H232" i="12" s="1"/>
  <c r="E171" i="39"/>
  <c r="G171" i="39" s="1"/>
  <c r="H171" i="39" s="1"/>
  <c r="I171" i="39" s="1"/>
  <c r="J171" i="39" s="1"/>
  <c r="E171" i="12"/>
  <c r="G171" i="12" s="1"/>
  <c r="H171" i="12" s="1"/>
  <c r="E207" i="39"/>
  <c r="G207" i="39" s="1"/>
  <c r="H207" i="39" s="1"/>
  <c r="I207" i="39" s="1"/>
  <c r="J207" i="39" s="1"/>
  <c r="E207" i="12"/>
  <c r="G207" i="12" s="1"/>
  <c r="H207" i="12" s="1"/>
  <c r="E223" i="12"/>
  <c r="G223" i="12" s="1"/>
  <c r="H223" i="12" s="1"/>
  <c r="E223" i="39"/>
  <c r="G223" i="39" s="1"/>
  <c r="H223" i="39" s="1"/>
  <c r="I223" i="39" s="1"/>
  <c r="J223" i="39" s="1"/>
  <c r="E120" i="39"/>
  <c r="G120" i="39" s="1"/>
  <c r="H120" i="39" s="1"/>
  <c r="I120" i="39" s="1"/>
  <c r="J120" i="39" s="1"/>
  <c r="E120" i="12"/>
  <c r="G120" i="12" s="1"/>
  <c r="H120" i="12" s="1"/>
  <c r="E56" i="12"/>
  <c r="G56" i="12" s="1"/>
  <c r="H56" i="12" s="1"/>
  <c r="E56" i="39"/>
  <c r="G56" i="39" s="1"/>
  <c r="H56" i="39" s="1"/>
  <c r="I56" i="39" s="1"/>
  <c r="J56" i="39" s="1"/>
  <c r="E127" i="39"/>
  <c r="G127" i="39" s="1"/>
  <c r="H127" i="39" s="1"/>
  <c r="I127" i="39" s="1"/>
  <c r="J127" i="39" s="1"/>
  <c r="E127" i="12"/>
  <c r="G127" i="12" s="1"/>
  <c r="H127" i="12" s="1"/>
  <c r="E63" i="39"/>
  <c r="G63" i="39" s="1"/>
  <c r="H63" i="39" s="1"/>
  <c r="I63" i="39" s="1"/>
  <c r="J63" i="39" s="1"/>
  <c r="E63" i="12"/>
  <c r="G63" i="12" s="1"/>
  <c r="H63" i="12" s="1"/>
  <c r="E148" i="39"/>
  <c r="G148" i="39" s="1"/>
  <c r="H148" i="39" s="1"/>
  <c r="I148" i="39" s="1"/>
  <c r="J148" i="39" s="1"/>
  <c r="E148" i="12"/>
  <c r="G148" i="12" s="1"/>
  <c r="H148" i="12" s="1"/>
  <c r="E84" i="39"/>
  <c r="G84" i="39" s="1"/>
  <c r="H84" i="39" s="1"/>
  <c r="I84" i="39" s="1"/>
  <c r="J84" i="39" s="1"/>
  <c r="E84" i="12"/>
  <c r="G84" i="12" s="1"/>
  <c r="H84" i="12" s="1"/>
  <c r="E20" i="12"/>
  <c r="G20" i="12" s="1"/>
  <c r="H20" i="12" s="1"/>
  <c r="E20" i="39"/>
  <c r="G20" i="39" s="1"/>
  <c r="H20" i="39" s="1"/>
  <c r="I20" i="39" s="1"/>
  <c r="J20" i="39" s="1"/>
  <c r="E91" i="12"/>
  <c r="G91" i="12" s="1"/>
  <c r="H91" i="12" s="1"/>
  <c r="E91" i="39"/>
  <c r="G91" i="39" s="1"/>
  <c r="H91" i="39" s="1"/>
  <c r="I91" i="39" s="1"/>
  <c r="J91" i="39" s="1"/>
  <c r="E27" i="39"/>
  <c r="G27" i="39" s="1"/>
  <c r="H27" i="39" s="1"/>
  <c r="I27" i="39" s="1"/>
  <c r="J27" i="39" s="1"/>
  <c r="E27" i="12"/>
  <c r="G27" i="12" s="1"/>
  <c r="H27" i="12" s="1"/>
  <c r="E33" i="39"/>
  <c r="G33" i="39" s="1"/>
  <c r="H33" i="39" s="1"/>
  <c r="I33" i="39" s="1"/>
  <c r="J33" i="39" s="1"/>
  <c r="E33" i="12"/>
  <c r="G33" i="12" s="1"/>
  <c r="H33" i="12" s="1"/>
  <c r="E77" i="39"/>
  <c r="G77" i="39" s="1"/>
  <c r="H77" i="39" s="1"/>
  <c r="I77" i="39" s="1"/>
  <c r="J77" i="39" s="1"/>
  <c r="E77" i="12"/>
  <c r="G77" i="12" s="1"/>
  <c r="H77" i="12" s="1"/>
  <c r="E162" i="12"/>
  <c r="G162" i="12" s="1"/>
  <c r="H162" i="12" s="1"/>
  <c r="E162" i="39"/>
  <c r="G162" i="39" s="1"/>
  <c r="H162" i="39" s="1"/>
  <c r="I162" i="39" s="1"/>
  <c r="J162" i="39" s="1"/>
  <c r="E239" i="12"/>
  <c r="G239" i="12" s="1"/>
  <c r="H239" i="12" s="1"/>
  <c r="E239" i="39"/>
  <c r="G239" i="39" s="1"/>
  <c r="H239" i="39" s="1"/>
  <c r="I239" i="39" s="1"/>
  <c r="J239" i="39" s="1"/>
  <c r="E252" i="39"/>
  <c r="G252" i="39" s="1"/>
  <c r="H252" i="39" s="1"/>
  <c r="I252" i="39" s="1"/>
  <c r="J252" i="39" s="1"/>
  <c r="E252" i="12"/>
  <c r="G252" i="12" s="1"/>
  <c r="H252" i="12" s="1"/>
  <c r="E81" i="39"/>
  <c r="G81" i="39" s="1"/>
  <c r="H81" i="39" s="1"/>
  <c r="I81" i="39" s="1"/>
  <c r="J81" i="39" s="1"/>
  <c r="E81" i="12"/>
  <c r="G81" i="12" s="1"/>
  <c r="H81" i="12" s="1"/>
  <c r="E185" i="39"/>
  <c r="G185" i="39" s="1"/>
  <c r="H185" i="39" s="1"/>
  <c r="I185" i="39" s="1"/>
  <c r="J185" i="39" s="1"/>
  <c r="E185" i="12"/>
  <c r="G185" i="12" s="1"/>
  <c r="H185" i="12" s="1"/>
  <c r="E214" i="39"/>
  <c r="G214" i="39" s="1"/>
  <c r="H214" i="39" s="1"/>
  <c r="I214" i="39" s="1"/>
  <c r="J214" i="39" s="1"/>
  <c r="E214" i="12"/>
  <c r="G214" i="12" s="1"/>
  <c r="H214" i="12" s="1"/>
  <c r="E271" i="39"/>
  <c r="G271" i="39" s="1"/>
  <c r="H271" i="39" s="1"/>
  <c r="I271" i="39" s="1"/>
  <c r="J271" i="39" s="1"/>
  <c r="E271" i="12"/>
  <c r="G271" i="12" s="1"/>
  <c r="H271" i="12" s="1"/>
  <c r="E6" i="39"/>
  <c r="G6" i="39" s="1"/>
  <c r="H6" i="39" s="1"/>
  <c r="I6" i="39" s="1"/>
  <c r="J6" i="39" s="1"/>
  <c r="E6" i="12"/>
  <c r="G6" i="12" s="1"/>
  <c r="H6" i="12" s="1"/>
  <c r="E22" i="39"/>
  <c r="G22" i="39" s="1"/>
  <c r="H22" i="39" s="1"/>
  <c r="I22" i="39" s="1"/>
  <c r="J22" i="39" s="1"/>
  <c r="E22" i="12"/>
  <c r="G22" i="12" s="1"/>
  <c r="H22" i="12" s="1"/>
  <c r="E118" i="12"/>
  <c r="G118" i="12" s="1"/>
  <c r="H118" i="12" s="1"/>
  <c r="E118" i="39"/>
  <c r="G118" i="39" s="1"/>
  <c r="H118" i="39" s="1"/>
  <c r="I118" i="39" s="1"/>
  <c r="J118" i="39" s="1"/>
  <c r="E74" i="39"/>
  <c r="G74" i="39" s="1"/>
  <c r="H74" i="39" s="1"/>
  <c r="I74" i="39" s="1"/>
  <c r="J74" i="39" s="1"/>
  <c r="E74" i="12"/>
  <c r="G74" i="12" s="1"/>
  <c r="H74" i="12" s="1"/>
  <c r="E230" i="39"/>
  <c r="G230" i="39" s="1"/>
  <c r="H230" i="39" s="1"/>
  <c r="I230" i="39" s="1"/>
  <c r="J230" i="39" s="1"/>
  <c r="E230" i="12"/>
  <c r="G230" i="12" s="1"/>
  <c r="H230" i="12" s="1"/>
  <c r="E157" i="39"/>
  <c r="G157" i="39" s="1"/>
  <c r="H157" i="39" s="1"/>
  <c r="I157" i="39" s="1"/>
  <c r="J157" i="39" s="1"/>
  <c r="E157" i="12"/>
  <c r="G157" i="12" s="1"/>
  <c r="H157" i="12" s="1"/>
  <c r="E309" i="39"/>
  <c r="G309" i="39" s="1"/>
  <c r="H309" i="39" s="1"/>
  <c r="I309" i="39" s="1"/>
  <c r="J309" i="39" s="1"/>
  <c r="E309" i="12"/>
  <c r="G309" i="12" s="1"/>
  <c r="H309" i="12" s="1"/>
  <c r="E218" i="12"/>
  <c r="G218" i="12" s="1"/>
  <c r="H218" i="12" s="1"/>
  <c r="E218" i="39"/>
  <c r="G218" i="39" s="1"/>
  <c r="H218" i="39" s="1"/>
  <c r="I218" i="39" s="1"/>
  <c r="J218" i="39" s="1"/>
  <c r="E13" i="39"/>
  <c r="G13" i="39" s="1"/>
  <c r="H13" i="39" s="1"/>
  <c r="I13" i="39" s="1"/>
  <c r="J13" i="39" s="1"/>
  <c r="E13" i="12"/>
  <c r="G13" i="12" s="1"/>
  <c r="H13" i="12" s="1"/>
  <c r="E278" i="12"/>
  <c r="G278" i="12" s="1"/>
  <c r="H278" i="12" s="1"/>
  <c r="E278" i="39"/>
  <c r="G278" i="39" s="1"/>
  <c r="H278" i="39" s="1"/>
  <c r="I278" i="39" s="1"/>
  <c r="J278" i="39" s="1"/>
  <c r="E98" i="39"/>
  <c r="G98" i="39" s="1"/>
  <c r="H98" i="39" s="1"/>
  <c r="I98" i="39" s="1"/>
  <c r="J98" i="39" s="1"/>
  <c r="E98" i="12"/>
  <c r="G98" i="12" s="1"/>
  <c r="H98" i="12" s="1"/>
  <c r="E226" i="39"/>
  <c r="G226" i="39" s="1"/>
  <c r="H226" i="39" s="1"/>
  <c r="I226" i="39" s="1"/>
  <c r="J226" i="39" s="1"/>
  <c r="E226" i="12"/>
  <c r="G226" i="12" s="1"/>
  <c r="H226" i="12" s="1"/>
  <c r="E30" i="39"/>
  <c r="G30" i="39" s="1"/>
  <c r="H30" i="39" s="1"/>
  <c r="I30" i="39" s="1"/>
  <c r="J30" i="39" s="1"/>
  <c r="E30" i="12"/>
  <c r="G30" i="12" s="1"/>
  <c r="H30" i="12" s="1"/>
  <c r="E138" i="39"/>
  <c r="G138" i="39" s="1"/>
  <c r="H138" i="39" s="1"/>
  <c r="I138" i="39" s="1"/>
  <c r="J138" i="39" s="1"/>
  <c r="E138" i="12"/>
  <c r="G138" i="12" s="1"/>
  <c r="H138" i="12" s="1"/>
  <c r="E293" i="39"/>
  <c r="G293" i="39" s="1"/>
  <c r="H293" i="39" s="1"/>
  <c r="I293" i="39" s="1"/>
  <c r="J293" i="39" s="1"/>
  <c r="E293" i="12"/>
  <c r="G293" i="12" s="1"/>
  <c r="H293" i="12" s="1"/>
  <c r="E283" i="12"/>
  <c r="G283" i="12" s="1"/>
  <c r="H283" i="12" s="1"/>
  <c r="E283" i="39"/>
  <c r="G283" i="39" s="1"/>
  <c r="H283" i="39" s="1"/>
  <c r="I283" i="39" s="1"/>
  <c r="J283" i="39" s="1"/>
  <c r="E196" i="12"/>
  <c r="G196" i="12" s="1"/>
  <c r="H196" i="12" s="1"/>
  <c r="E196" i="39"/>
  <c r="G196" i="39" s="1"/>
  <c r="H196" i="39" s="1"/>
  <c r="I196" i="39" s="1"/>
  <c r="J196" i="39" s="1"/>
  <c r="E234" i="12"/>
  <c r="G234" i="12" s="1"/>
  <c r="H234" i="12" s="1"/>
  <c r="E234" i="39"/>
  <c r="G234" i="39" s="1"/>
  <c r="H234" i="39" s="1"/>
  <c r="I234" i="39" s="1"/>
  <c r="J234" i="39" s="1"/>
  <c r="E257" i="39"/>
  <c r="G257" i="39" s="1"/>
  <c r="H257" i="39" s="1"/>
  <c r="I257" i="39" s="1"/>
  <c r="J257" i="39" s="1"/>
  <c r="E257" i="12"/>
  <c r="G257" i="12" s="1"/>
  <c r="H257" i="12" s="1"/>
  <c r="E168" i="39"/>
  <c r="G168" i="39" s="1"/>
  <c r="H168" i="39" s="1"/>
  <c r="I168" i="39" s="1"/>
  <c r="J168" i="39" s="1"/>
  <c r="E168" i="12"/>
  <c r="G168" i="12" s="1"/>
  <c r="H168" i="12" s="1"/>
  <c r="E288" i="39"/>
  <c r="G288" i="39" s="1"/>
  <c r="H288" i="39" s="1"/>
  <c r="I288" i="39" s="1"/>
  <c r="J288" i="39" s="1"/>
  <c r="E288" i="12"/>
  <c r="G288" i="12" s="1"/>
  <c r="H288" i="12" s="1"/>
  <c r="E298" i="12"/>
  <c r="G298" i="12" s="1"/>
  <c r="H298" i="12" s="1"/>
  <c r="E298" i="39"/>
  <c r="G298" i="39" s="1"/>
  <c r="H298" i="39" s="1"/>
  <c r="I298" i="39" s="1"/>
  <c r="J298" i="39" s="1"/>
  <c r="E156" i="39"/>
  <c r="G156" i="39" s="1"/>
  <c r="H156" i="39" s="1"/>
  <c r="I156" i="39" s="1"/>
  <c r="J156" i="39" s="1"/>
  <c r="E156" i="12"/>
  <c r="G156" i="12" s="1"/>
  <c r="H156" i="12" s="1"/>
  <c r="E192" i="39"/>
  <c r="G192" i="39" s="1"/>
  <c r="H192" i="39" s="1"/>
  <c r="I192" i="39" s="1"/>
  <c r="J192" i="39" s="1"/>
  <c r="E192" i="12"/>
  <c r="G192" i="12" s="1"/>
  <c r="H192" i="12" s="1"/>
  <c r="E220" i="39"/>
  <c r="G220" i="39" s="1"/>
  <c r="H220" i="39" s="1"/>
  <c r="I220" i="39" s="1"/>
  <c r="J220" i="39" s="1"/>
  <c r="E220" i="12"/>
  <c r="G220" i="12" s="1"/>
  <c r="H220" i="12" s="1"/>
  <c r="E112" i="12"/>
  <c r="G112" i="12" s="1"/>
  <c r="H112" i="12" s="1"/>
  <c r="E112" i="39"/>
  <c r="G112" i="39" s="1"/>
  <c r="H112" i="39" s="1"/>
  <c r="I112" i="39" s="1"/>
  <c r="J112" i="39" s="1"/>
  <c r="E48" i="12"/>
  <c r="G48" i="12" s="1"/>
  <c r="H48" i="12" s="1"/>
  <c r="E48" i="39"/>
  <c r="G48" i="39" s="1"/>
  <c r="H48" i="39" s="1"/>
  <c r="I48" i="39" s="1"/>
  <c r="J48" i="39" s="1"/>
  <c r="E119" i="39"/>
  <c r="G119" i="39" s="1"/>
  <c r="H119" i="39" s="1"/>
  <c r="I119" i="39" s="1"/>
  <c r="J119" i="39" s="1"/>
  <c r="E119" i="12"/>
  <c r="G119" i="12" s="1"/>
  <c r="H119" i="12" s="1"/>
  <c r="E55" i="39"/>
  <c r="G55" i="39" s="1"/>
  <c r="H55" i="39" s="1"/>
  <c r="I55" i="39" s="1"/>
  <c r="J55" i="39" s="1"/>
  <c r="E55" i="12"/>
  <c r="G55" i="12" s="1"/>
  <c r="H55" i="12" s="1"/>
  <c r="E140" i="39"/>
  <c r="G140" i="39" s="1"/>
  <c r="H140" i="39" s="1"/>
  <c r="I140" i="39" s="1"/>
  <c r="J140" i="39" s="1"/>
  <c r="E140" i="12"/>
  <c r="G140" i="12" s="1"/>
  <c r="H140" i="12" s="1"/>
  <c r="E76" i="39"/>
  <c r="G76" i="39" s="1"/>
  <c r="H76" i="39" s="1"/>
  <c r="I76" i="39" s="1"/>
  <c r="J76" i="39" s="1"/>
  <c r="E76" i="12"/>
  <c r="G76" i="12" s="1"/>
  <c r="H76" i="12" s="1"/>
  <c r="E12" i="12"/>
  <c r="G12" i="12" s="1"/>
  <c r="H12" i="12" s="1"/>
  <c r="E12" i="39"/>
  <c r="G12" i="39" s="1"/>
  <c r="H12" i="39" s="1"/>
  <c r="I12" i="39" s="1"/>
  <c r="J12" i="39" s="1"/>
  <c r="E83" i="39"/>
  <c r="G83" i="39" s="1"/>
  <c r="H83" i="39" s="1"/>
  <c r="I83" i="39" s="1"/>
  <c r="J83" i="39" s="1"/>
  <c r="E83" i="12"/>
  <c r="G83" i="12" s="1"/>
  <c r="H83" i="12" s="1"/>
  <c r="E19" i="39"/>
  <c r="G19" i="39" s="1"/>
  <c r="H19" i="39" s="1"/>
  <c r="I19" i="39" s="1"/>
  <c r="J19" i="39" s="1"/>
  <c r="E19" i="12"/>
  <c r="G19" i="12" s="1"/>
  <c r="H19" i="12" s="1"/>
  <c r="E229" i="12"/>
  <c r="G229" i="12" s="1"/>
  <c r="H229" i="12" s="1"/>
  <c r="E229" i="39"/>
  <c r="G229" i="39" s="1"/>
  <c r="H229" i="39" s="1"/>
  <c r="I229" i="39" s="1"/>
  <c r="J229" i="39" s="1"/>
  <c r="E130" i="39"/>
  <c r="G130" i="39" s="1"/>
  <c r="H130" i="39" s="1"/>
  <c r="I130" i="39" s="1"/>
  <c r="J130" i="39" s="1"/>
  <c r="E130" i="12"/>
  <c r="G130" i="12" s="1"/>
  <c r="H130" i="12" s="1"/>
  <c r="E294" i="12"/>
  <c r="G294" i="12" s="1"/>
  <c r="H294" i="12" s="1"/>
  <c r="E294" i="39"/>
  <c r="G294" i="39" s="1"/>
  <c r="H294" i="39" s="1"/>
  <c r="I294" i="39" s="1"/>
  <c r="J294" i="39" s="1"/>
  <c r="E182" i="12"/>
  <c r="G182" i="12" s="1"/>
  <c r="H182" i="12" s="1"/>
  <c r="E182" i="39"/>
  <c r="G182" i="39" s="1"/>
  <c r="H182" i="39" s="1"/>
  <c r="I182" i="39" s="1"/>
  <c r="J182" i="39" s="1"/>
  <c r="E193" i="39"/>
  <c r="G193" i="39" s="1"/>
  <c r="H193" i="39" s="1"/>
  <c r="I193" i="39" s="1"/>
  <c r="J193" i="39" s="1"/>
  <c r="E193" i="12"/>
  <c r="G193" i="12" s="1"/>
  <c r="H193" i="12" s="1"/>
  <c r="E154" i="39"/>
  <c r="G154" i="39" s="1"/>
  <c r="H154" i="39" s="1"/>
  <c r="I154" i="39" s="1"/>
  <c r="J154" i="39" s="1"/>
  <c r="E154" i="12"/>
  <c r="G154" i="12" s="1"/>
  <c r="H154" i="12" s="1"/>
  <c r="E78" i="39"/>
  <c r="G78" i="39" s="1"/>
  <c r="H78" i="39" s="1"/>
  <c r="I78" i="39" s="1"/>
  <c r="J78" i="39" s="1"/>
  <c r="E78" i="12"/>
  <c r="G78" i="12" s="1"/>
  <c r="H78" i="12" s="1"/>
  <c r="E308" i="12"/>
  <c r="G308" i="12" s="1"/>
  <c r="H308" i="12" s="1"/>
  <c r="E308" i="39"/>
  <c r="G308" i="39" s="1"/>
  <c r="H308" i="39" s="1"/>
  <c r="I308" i="39" s="1"/>
  <c r="J308" i="39" s="1"/>
  <c r="E49" i="39"/>
  <c r="G49" i="39" s="1"/>
  <c r="H49" i="39" s="1"/>
  <c r="I49" i="39" s="1"/>
  <c r="J49" i="39" s="1"/>
  <c r="E49" i="12"/>
  <c r="G49" i="12" s="1"/>
  <c r="H49" i="12" s="1"/>
  <c r="E46" i="39"/>
  <c r="G46" i="39" s="1"/>
  <c r="H46" i="39" s="1"/>
  <c r="I46" i="39" s="1"/>
  <c r="J46" i="39" s="1"/>
  <c r="E46" i="12"/>
  <c r="G46" i="12" s="1"/>
  <c r="H46" i="12" s="1"/>
  <c r="E197" i="39"/>
  <c r="G197" i="39" s="1"/>
  <c r="H197" i="39" s="1"/>
  <c r="I197" i="39" s="1"/>
  <c r="J197" i="39" s="1"/>
  <c r="E197" i="12"/>
  <c r="G197" i="12" s="1"/>
  <c r="H197" i="12" s="1"/>
  <c r="E190" i="12"/>
  <c r="G190" i="12" s="1"/>
  <c r="H190" i="12" s="1"/>
  <c r="E190" i="39"/>
  <c r="G190" i="39" s="1"/>
  <c r="H190" i="39" s="1"/>
  <c r="I190" i="39" s="1"/>
  <c r="J190" i="39" s="1"/>
  <c r="E165" i="39"/>
  <c r="G165" i="39" s="1"/>
  <c r="H165" i="39" s="1"/>
  <c r="I165" i="39" s="1"/>
  <c r="J165" i="39" s="1"/>
  <c r="E165" i="12"/>
  <c r="G165" i="12" s="1"/>
  <c r="H165" i="12" s="1"/>
  <c r="E86" i="39"/>
  <c r="G86" i="39" s="1"/>
  <c r="H86" i="39" s="1"/>
  <c r="I86" i="39" s="1"/>
  <c r="J86" i="39" s="1"/>
  <c r="E86" i="12"/>
  <c r="G86" i="12" s="1"/>
  <c r="H86" i="12" s="1"/>
  <c r="E153" i="12"/>
  <c r="G153" i="12" s="1"/>
  <c r="H153" i="12" s="1"/>
  <c r="E153" i="39"/>
  <c r="G153" i="39" s="1"/>
  <c r="H153" i="39" s="1"/>
  <c r="I153" i="39" s="1"/>
  <c r="J153" i="39" s="1"/>
  <c r="E260" i="39"/>
  <c r="G260" i="39" s="1"/>
  <c r="H260" i="39" s="1"/>
  <c r="I260" i="39" s="1"/>
  <c r="J260" i="39" s="1"/>
  <c r="E260" i="12"/>
  <c r="G260" i="12" s="1"/>
  <c r="H260" i="12" s="1"/>
  <c r="E126" i="12"/>
  <c r="G126" i="12" s="1"/>
  <c r="H126" i="12" s="1"/>
  <c r="E126" i="39"/>
  <c r="G126" i="39" s="1"/>
  <c r="H126" i="39" s="1"/>
  <c r="I126" i="39" s="1"/>
  <c r="J126" i="39" s="1"/>
  <c r="E178" i="12"/>
  <c r="G178" i="12" s="1"/>
  <c r="H178" i="12" s="1"/>
  <c r="E178" i="39"/>
  <c r="G178" i="39" s="1"/>
  <c r="H178" i="39" s="1"/>
  <c r="I178" i="39" s="1"/>
  <c r="J178" i="39" s="1"/>
  <c r="E90" i="39"/>
  <c r="G90" i="39" s="1"/>
  <c r="H90" i="39" s="1"/>
  <c r="I90" i="39" s="1"/>
  <c r="J90" i="39" s="1"/>
  <c r="E90" i="12"/>
  <c r="G90" i="12" s="1"/>
  <c r="H90" i="12" s="1"/>
  <c r="E198" i="12"/>
  <c r="G198" i="12" s="1"/>
  <c r="H198" i="12" s="1"/>
  <c r="E198" i="39"/>
  <c r="G198" i="39" s="1"/>
  <c r="H198" i="39" s="1"/>
  <c r="I198" i="39" s="1"/>
  <c r="J198" i="39" s="1"/>
  <c r="E253" i="39"/>
  <c r="G253" i="39" s="1"/>
  <c r="H253" i="39" s="1"/>
  <c r="I253" i="39" s="1"/>
  <c r="J253" i="39" s="1"/>
  <c r="E253" i="12"/>
  <c r="G253" i="12" s="1"/>
  <c r="H253" i="12" s="1"/>
  <c r="E66" i="39"/>
  <c r="G66" i="39" s="1"/>
  <c r="H66" i="39" s="1"/>
  <c r="I66" i="39" s="1"/>
  <c r="J66" i="39" s="1"/>
  <c r="E66" i="12"/>
  <c r="G66" i="12" s="1"/>
  <c r="H66" i="12" s="1"/>
  <c r="E237" i="12"/>
  <c r="G237" i="12" s="1"/>
  <c r="H237" i="12" s="1"/>
  <c r="E237" i="39"/>
  <c r="G237" i="39" s="1"/>
  <c r="H237" i="39" s="1"/>
  <c r="I237" i="39" s="1"/>
  <c r="J237" i="39" s="1"/>
  <c r="E122" i="12"/>
  <c r="G122" i="12" s="1"/>
  <c r="H122" i="12" s="1"/>
  <c r="E122" i="39"/>
  <c r="G122" i="39" s="1"/>
  <c r="H122" i="39" s="1"/>
  <c r="I122" i="39" s="1"/>
  <c r="J122" i="39" s="1"/>
  <c r="E133" i="12"/>
  <c r="G133" i="12" s="1"/>
  <c r="H133" i="12" s="1"/>
  <c r="E133" i="39"/>
  <c r="G133" i="39" s="1"/>
  <c r="H133" i="39" s="1"/>
  <c r="I133" i="39" s="1"/>
  <c r="J133" i="39" s="1"/>
  <c r="E292" i="39"/>
  <c r="G292" i="39" s="1"/>
  <c r="H292" i="39" s="1"/>
  <c r="I292" i="39" s="1"/>
  <c r="J292" i="39" s="1"/>
  <c r="E292" i="12"/>
  <c r="G292" i="12" s="1"/>
  <c r="H292" i="12" s="1"/>
  <c r="E102" i="39"/>
  <c r="G102" i="39" s="1"/>
  <c r="H102" i="39" s="1"/>
  <c r="I102" i="39" s="1"/>
  <c r="J102" i="39" s="1"/>
  <c r="E102" i="12"/>
  <c r="G102" i="12" s="1"/>
  <c r="H102" i="12" s="1"/>
  <c r="E216" i="39"/>
  <c r="G216" i="39" s="1"/>
  <c r="H216" i="39" s="1"/>
  <c r="I216" i="39" s="1"/>
  <c r="J216" i="39" s="1"/>
  <c r="E216" i="12"/>
  <c r="G216" i="12" s="1"/>
  <c r="H216" i="12" s="1"/>
  <c r="E174" i="12"/>
  <c r="G174" i="12" s="1"/>
  <c r="H174" i="12" s="1"/>
  <c r="E174" i="39"/>
  <c r="G174" i="39" s="1"/>
  <c r="H174" i="39" s="1"/>
  <c r="I174" i="39" s="1"/>
  <c r="J174" i="39" s="1"/>
  <c r="E41" i="39"/>
  <c r="G41" i="39" s="1"/>
  <c r="H41" i="39" s="1"/>
  <c r="I41" i="39" s="1"/>
  <c r="J41" i="39" s="1"/>
  <c r="E41" i="12"/>
  <c r="G41" i="12" s="1"/>
  <c r="H41" i="12" s="1"/>
  <c r="E262" i="12"/>
  <c r="G262" i="12" s="1"/>
  <c r="H262" i="12" s="1"/>
  <c r="E262" i="39"/>
  <c r="G262" i="39" s="1"/>
  <c r="H262" i="39" s="1"/>
  <c r="I262" i="39" s="1"/>
  <c r="J262" i="39" s="1"/>
  <c r="E275" i="12"/>
  <c r="G275" i="12" s="1"/>
  <c r="H275" i="12" s="1"/>
  <c r="E275" i="39"/>
  <c r="G275" i="39" s="1"/>
  <c r="H275" i="39" s="1"/>
  <c r="I275" i="39" s="1"/>
  <c r="J275" i="39" s="1"/>
  <c r="E195" i="39"/>
  <c r="G195" i="39" s="1"/>
  <c r="H195" i="39" s="1"/>
  <c r="I195" i="39" s="1"/>
  <c r="J195" i="39" s="1"/>
  <c r="E195" i="12"/>
  <c r="G195" i="12" s="1"/>
  <c r="H195" i="12" s="1"/>
  <c r="E313" i="39"/>
  <c r="G313" i="39" s="1"/>
  <c r="H313" i="39" s="1"/>
  <c r="I313" i="39" s="1"/>
  <c r="J313" i="39" s="1"/>
  <c r="E313" i="12"/>
  <c r="G313" i="12" s="1"/>
  <c r="H313" i="12" s="1"/>
  <c r="E249" i="39"/>
  <c r="G249" i="39" s="1"/>
  <c r="H249" i="39" s="1"/>
  <c r="I249" i="39" s="1"/>
  <c r="J249" i="39" s="1"/>
  <c r="E249" i="12"/>
  <c r="G249" i="12" s="1"/>
  <c r="H249" i="12" s="1"/>
  <c r="E167" i="39"/>
  <c r="G167" i="39" s="1"/>
  <c r="H167" i="39" s="1"/>
  <c r="I167" i="39" s="1"/>
  <c r="J167" i="39" s="1"/>
  <c r="E167" i="12"/>
  <c r="G167" i="12" s="1"/>
  <c r="H167" i="12" s="1"/>
  <c r="E280" i="39"/>
  <c r="G280" i="39" s="1"/>
  <c r="H280" i="39" s="1"/>
  <c r="I280" i="39" s="1"/>
  <c r="J280" i="39" s="1"/>
  <c r="E280" i="12"/>
  <c r="G280" i="12" s="1"/>
  <c r="H280" i="12" s="1"/>
  <c r="E282" i="39"/>
  <c r="G282" i="39" s="1"/>
  <c r="H282" i="39" s="1"/>
  <c r="I282" i="39" s="1"/>
  <c r="J282" i="39" s="1"/>
  <c r="E282" i="12"/>
  <c r="G282" i="12" s="1"/>
  <c r="H282" i="12" s="1"/>
  <c r="E155" i="12"/>
  <c r="G155" i="12" s="1"/>
  <c r="H155" i="12" s="1"/>
  <c r="E155" i="39"/>
  <c r="G155" i="39" s="1"/>
  <c r="H155" i="39" s="1"/>
  <c r="I155" i="39" s="1"/>
  <c r="J155" i="39" s="1"/>
  <c r="E191" i="39"/>
  <c r="G191" i="39" s="1"/>
  <c r="H191" i="39" s="1"/>
  <c r="I191" i="39" s="1"/>
  <c r="J191" i="39" s="1"/>
  <c r="E191" i="12"/>
  <c r="G191" i="12" s="1"/>
  <c r="H191" i="12" s="1"/>
  <c r="E215" i="12"/>
  <c r="G215" i="12" s="1"/>
  <c r="H215" i="12" s="1"/>
  <c r="E215" i="39"/>
  <c r="G215" i="39" s="1"/>
  <c r="H215" i="39" s="1"/>
  <c r="I215" i="39" s="1"/>
  <c r="J215" i="39" s="1"/>
  <c r="E104" i="39"/>
  <c r="G104" i="39" s="1"/>
  <c r="H104" i="39" s="1"/>
  <c r="I104" i="39" s="1"/>
  <c r="J104" i="39" s="1"/>
  <c r="E104" i="12"/>
  <c r="G104" i="12" s="1"/>
  <c r="H104" i="12" s="1"/>
  <c r="E40" i="12"/>
  <c r="G40" i="12" s="1"/>
  <c r="H40" i="12" s="1"/>
  <c r="E40" i="39"/>
  <c r="G40" i="39" s="1"/>
  <c r="H40" i="39" s="1"/>
  <c r="I40" i="39" s="1"/>
  <c r="J40" i="39" s="1"/>
  <c r="E111" i="39"/>
  <c r="G111" i="39" s="1"/>
  <c r="H111" i="39" s="1"/>
  <c r="I111" i="39" s="1"/>
  <c r="J111" i="39" s="1"/>
  <c r="E111" i="12"/>
  <c r="G111" i="12" s="1"/>
  <c r="H111" i="12" s="1"/>
  <c r="E47" i="39"/>
  <c r="G47" i="39" s="1"/>
  <c r="H47" i="39" s="1"/>
  <c r="I47" i="39" s="1"/>
  <c r="J47" i="39" s="1"/>
  <c r="E47" i="12"/>
  <c r="G47" i="12" s="1"/>
  <c r="H47" i="12" s="1"/>
  <c r="E132" i="39"/>
  <c r="G132" i="39" s="1"/>
  <c r="H132" i="39" s="1"/>
  <c r="I132" i="39" s="1"/>
  <c r="J132" i="39" s="1"/>
  <c r="E132" i="12"/>
  <c r="G132" i="12" s="1"/>
  <c r="H132" i="12" s="1"/>
  <c r="E68" i="39"/>
  <c r="G68" i="39" s="1"/>
  <c r="H68" i="39" s="1"/>
  <c r="I68" i="39" s="1"/>
  <c r="J68" i="39" s="1"/>
  <c r="E68" i="12"/>
  <c r="G68" i="12" s="1"/>
  <c r="H68" i="12" s="1"/>
  <c r="E139" i="12"/>
  <c r="G139" i="12" s="1"/>
  <c r="H139" i="12" s="1"/>
  <c r="E139" i="39"/>
  <c r="G139" i="39" s="1"/>
  <c r="H139" i="39" s="1"/>
  <c r="I139" i="39" s="1"/>
  <c r="J139" i="39" s="1"/>
  <c r="E75" i="39"/>
  <c r="G75" i="39" s="1"/>
  <c r="H75" i="39" s="1"/>
  <c r="I75" i="39" s="1"/>
  <c r="J75" i="39" s="1"/>
  <c r="E75" i="12"/>
  <c r="G75" i="12" s="1"/>
  <c r="H75" i="12" s="1"/>
  <c r="E11" i="39"/>
  <c r="G11" i="39" s="1"/>
  <c r="H11" i="39" s="1"/>
  <c r="I11" i="39" s="1"/>
  <c r="J11" i="39" s="1"/>
  <c r="E11" i="12"/>
  <c r="G11" i="12" s="1"/>
  <c r="H11" i="12" s="1"/>
  <c r="G253" i="25"/>
  <c r="G52" i="25"/>
  <c r="G150" i="25"/>
  <c r="G156" i="25"/>
  <c r="G245" i="25"/>
  <c r="G48" i="25"/>
  <c r="G117" i="25"/>
  <c r="G260" i="25"/>
  <c r="G159" i="25"/>
  <c r="G199" i="25"/>
  <c r="G314" i="25"/>
  <c r="G250" i="25"/>
  <c r="G186" i="25"/>
  <c r="G122" i="25"/>
  <c r="G275" i="25"/>
  <c r="G83" i="25"/>
  <c r="G17" i="25"/>
  <c r="G14" i="25"/>
  <c r="G7" i="25"/>
  <c r="G289" i="25"/>
  <c r="G247" i="25"/>
  <c r="G155" i="25"/>
  <c r="G160" i="25"/>
  <c r="G91" i="25"/>
  <c r="G50" i="25"/>
  <c r="G23" i="25"/>
  <c r="G173" i="25"/>
  <c r="G273" i="25"/>
  <c r="G100" i="25"/>
  <c r="G101" i="25"/>
  <c r="G104" i="25"/>
  <c r="G62" i="25"/>
  <c r="G177" i="25"/>
  <c r="G300" i="25"/>
  <c r="G185" i="25"/>
  <c r="G56" i="25"/>
  <c r="G65" i="25"/>
  <c r="G72" i="25"/>
  <c r="G73" i="25"/>
  <c r="G77" i="25"/>
  <c r="G108" i="25"/>
  <c r="G182" i="25"/>
  <c r="G142" i="25"/>
  <c r="G292" i="25"/>
  <c r="G189" i="25"/>
  <c r="G238" i="25"/>
  <c r="G224" i="25"/>
  <c r="G279" i="25"/>
  <c r="G303" i="25"/>
  <c r="G127" i="25"/>
  <c r="G79" i="25"/>
  <c r="G167" i="25"/>
  <c r="G306" i="25"/>
  <c r="G242" i="25"/>
  <c r="G178" i="25"/>
  <c r="G114" i="25"/>
  <c r="G41" i="25"/>
  <c r="G267" i="25"/>
  <c r="G203" i="25"/>
  <c r="G139" i="25"/>
  <c r="G75" i="25"/>
  <c r="G13" i="25"/>
  <c r="G10" i="25"/>
  <c r="G55" i="25"/>
  <c r="G285" i="25"/>
  <c r="G227" i="25"/>
  <c r="G258" i="25"/>
  <c r="G149" i="25"/>
  <c r="G152" i="25"/>
  <c r="G42" i="25"/>
  <c r="G21" i="25"/>
  <c r="G209" i="25"/>
  <c r="G228" i="25"/>
  <c r="G172" i="25"/>
  <c r="G249" i="25"/>
  <c r="G168" i="25"/>
  <c r="G126" i="25"/>
  <c r="G254" i="25"/>
  <c r="G193" i="25"/>
  <c r="G197" i="25"/>
  <c r="G28" i="25"/>
  <c r="G165" i="25"/>
  <c r="G136" i="25"/>
  <c r="G244" i="25"/>
  <c r="G246" i="25"/>
  <c r="G76" i="25"/>
  <c r="G81" i="25"/>
  <c r="G206" i="25"/>
  <c r="G121" i="25"/>
  <c r="G222" i="25"/>
  <c r="G280" i="25"/>
  <c r="G293" i="25"/>
  <c r="G294" i="25"/>
  <c r="G271" i="25"/>
  <c r="G95" i="25"/>
  <c r="G295" i="25"/>
  <c r="G135" i="25"/>
  <c r="G298" i="25"/>
  <c r="G234" i="25"/>
  <c r="G170" i="25"/>
  <c r="G106" i="25"/>
  <c r="G58" i="25"/>
  <c r="G259" i="25"/>
  <c r="G195" i="25"/>
  <c r="G131" i="25"/>
  <c r="G67" i="25"/>
  <c r="G38" i="25"/>
  <c r="G59" i="25"/>
  <c r="G47" i="25"/>
  <c r="G305" i="25"/>
  <c r="G97" i="25"/>
  <c r="G109" i="25"/>
  <c r="G308" i="25"/>
  <c r="G261" i="25"/>
  <c r="G32" i="25"/>
  <c r="G78" i="25"/>
  <c r="G310" i="25"/>
  <c r="G211" i="25"/>
  <c r="G225" i="25"/>
  <c r="G143" i="25"/>
  <c r="G26" i="25"/>
  <c r="G124" i="25"/>
  <c r="G190" i="25"/>
  <c r="G70" i="25"/>
  <c r="G12" i="25"/>
  <c r="G241" i="25"/>
  <c r="G80" i="25"/>
  <c r="G223" i="25"/>
  <c r="G103" i="25"/>
  <c r="G98" i="25"/>
  <c r="G187" i="25"/>
  <c r="G54" i="25"/>
  <c r="G51" i="25"/>
  <c r="G221" i="25"/>
  <c r="G132" i="25"/>
  <c r="G86" i="25"/>
  <c r="G166" i="25"/>
  <c r="G257" i="25"/>
  <c r="G196" i="25"/>
  <c r="G181" i="25"/>
  <c r="G94" i="25"/>
  <c r="G141" i="25"/>
  <c r="G153" i="25"/>
  <c r="G286" i="25"/>
  <c r="G282" i="25"/>
  <c r="G90" i="25"/>
  <c r="G179" i="25"/>
  <c r="G35" i="25"/>
  <c r="G269" i="25"/>
  <c r="G219" i="25"/>
  <c r="G210" i="25"/>
  <c r="G119" i="25"/>
  <c r="G130" i="25"/>
  <c r="G18" i="25"/>
  <c r="G148" i="25"/>
  <c r="G220" i="25"/>
  <c r="G157" i="25"/>
  <c r="G120" i="25"/>
  <c r="G252" i="25"/>
  <c r="G176" i="25"/>
  <c r="G301" i="25"/>
  <c r="G8" i="25"/>
  <c r="G201" i="25"/>
  <c r="G205" i="25"/>
  <c r="G88" i="25"/>
  <c r="G198" i="25"/>
  <c r="G112" i="25"/>
  <c r="G40" i="25"/>
  <c r="G272" i="25"/>
  <c r="G158" i="25"/>
  <c r="G256" i="25"/>
  <c r="G278" i="25"/>
  <c r="G44" i="25"/>
  <c r="G92" i="25"/>
  <c r="G85" i="25"/>
  <c r="G233" i="25"/>
  <c r="G183" i="25"/>
  <c r="G270" i="25"/>
  <c r="G215" i="25"/>
  <c r="G311" i="25"/>
  <c r="G287" i="25"/>
  <c r="G146" i="25"/>
  <c r="G82" i="25"/>
  <c r="G299" i="25"/>
  <c r="G235" i="25"/>
  <c r="G171" i="25"/>
  <c r="G107" i="25"/>
  <c r="G33" i="25"/>
  <c r="G31" i="25"/>
  <c r="G19" i="25"/>
  <c r="G175" i="25"/>
  <c r="G29" i="25"/>
  <c r="G297" i="25"/>
  <c r="G214" i="25"/>
  <c r="G276" i="25"/>
  <c r="G69" i="25"/>
  <c r="G169" i="25"/>
  <c r="G111" i="25"/>
  <c r="G46" i="25"/>
  <c r="G283" i="25"/>
  <c r="G144" i="25"/>
  <c r="G284" i="25"/>
  <c r="G208" i="25"/>
  <c r="G188" i="25"/>
  <c r="G36" i="25"/>
  <c r="G64" i="25"/>
  <c r="G268" i="25"/>
  <c r="G89" i="25"/>
  <c r="G63" i="25"/>
  <c r="G226" i="25"/>
  <c r="G251" i="25"/>
  <c r="G43" i="25"/>
  <c r="G277" i="25"/>
  <c r="G125" i="25"/>
  <c r="G24" i="25"/>
  <c r="G93" i="25"/>
  <c r="G240" i="25"/>
  <c r="G180" i="25"/>
  <c r="G264" i="25"/>
  <c r="G217" i="25"/>
  <c r="G216" i="25"/>
  <c r="G231" i="25"/>
  <c r="G207" i="25"/>
  <c r="G154" i="25"/>
  <c r="G243" i="25"/>
  <c r="G37" i="25"/>
  <c r="G30" i="25"/>
  <c r="G312" i="25"/>
  <c r="G213" i="25"/>
  <c r="G204" i="25"/>
  <c r="G105" i="25"/>
  <c r="G110" i="25"/>
  <c r="G57" i="25"/>
  <c r="G116" i="25"/>
  <c r="G96" i="25"/>
  <c r="G237" i="25"/>
  <c r="G184" i="25"/>
  <c r="G129" i="25"/>
  <c r="G49" i="25"/>
  <c r="G161" i="25"/>
  <c r="G229" i="25"/>
  <c r="G313" i="25"/>
  <c r="G236" i="25"/>
  <c r="G20" i="25"/>
  <c r="G137" i="25"/>
  <c r="G128" i="25"/>
  <c r="G281" i="25"/>
  <c r="G151" i="25"/>
  <c r="G239" i="25"/>
  <c r="G255" i="25"/>
  <c r="G266" i="25"/>
  <c r="G202" i="25"/>
  <c r="G138" i="25"/>
  <c r="G74" i="25"/>
  <c r="G291" i="25"/>
  <c r="G163" i="25"/>
  <c r="G25" i="25"/>
  <c r="G22" i="25"/>
  <c r="G27" i="25"/>
  <c r="G15" i="25"/>
  <c r="G174" i="25"/>
  <c r="G248" i="25"/>
  <c r="G113" i="25"/>
  <c r="G265" i="25"/>
  <c r="G60" i="25"/>
  <c r="G61" i="25"/>
  <c r="G87" i="25"/>
  <c r="G147" i="25"/>
  <c r="G232" i="25"/>
  <c r="G11" i="25"/>
  <c r="G304" i="25"/>
  <c r="G102" i="25"/>
  <c r="G288" i="25"/>
  <c r="G212" i="25"/>
  <c r="G200" i="25"/>
  <c r="G133" i="25"/>
  <c r="G145" i="25"/>
  <c r="G68" i="25"/>
  <c r="G262" i="25"/>
  <c r="G263" i="25"/>
  <c r="G290" i="25"/>
  <c r="G162" i="25"/>
  <c r="G53" i="25"/>
  <c r="G123" i="25"/>
  <c r="G34" i="25"/>
  <c r="G230" i="25"/>
  <c r="G84" i="25"/>
  <c r="G16" i="25"/>
  <c r="G296" i="25"/>
  <c r="G164" i="25"/>
  <c r="G134" i="25"/>
  <c r="G192" i="25"/>
  <c r="G118" i="25"/>
  <c r="G140" i="25"/>
  <c r="G302" i="25"/>
  <c r="G71" i="25"/>
  <c r="G218" i="25"/>
  <c r="G307" i="25"/>
  <c r="G115" i="25"/>
  <c r="G39" i="25"/>
  <c r="G309" i="25"/>
  <c r="G274" i="25"/>
  <c r="G191" i="25"/>
  <c r="G194" i="25"/>
  <c r="G99" i="25"/>
  <c r="G66" i="25"/>
  <c r="G45" i="25"/>
  <c r="G9" i="25"/>
  <c r="F41" i="48"/>
  <c r="E325" i="34"/>
  <c r="I16" i="34"/>
  <c r="I11" i="12" l="1"/>
  <c r="J11" i="12" s="1"/>
  <c r="I132" i="12"/>
  <c r="J132" i="12" s="1"/>
  <c r="I104" i="12"/>
  <c r="J104" i="12" s="1"/>
  <c r="J105" i="25" s="1"/>
  <c r="I282" i="12"/>
  <c r="J282" i="12" s="1"/>
  <c r="I313" i="12"/>
  <c r="J313" i="12" s="1"/>
  <c r="I41" i="12"/>
  <c r="J41" i="12" s="1"/>
  <c r="I292" i="12"/>
  <c r="J292" i="12" s="1"/>
  <c r="I66" i="12"/>
  <c r="J66" i="12" s="1"/>
  <c r="I86" i="12"/>
  <c r="J86" i="12" s="1"/>
  <c r="I46" i="12"/>
  <c r="J46" i="12" s="1"/>
  <c r="I154" i="12"/>
  <c r="J154" i="12" s="1"/>
  <c r="J155" i="25" s="1"/>
  <c r="I130" i="12"/>
  <c r="J130" i="12" s="1"/>
  <c r="I119" i="12"/>
  <c r="J119" i="12" s="1"/>
  <c r="I192" i="12"/>
  <c r="J192" i="12" s="1"/>
  <c r="I168" i="12"/>
  <c r="J168" i="12" s="1"/>
  <c r="J169" i="25" s="1"/>
  <c r="I226" i="12"/>
  <c r="J226" i="12" s="1"/>
  <c r="J227" i="25" s="1"/>
  <c r="I74" i="12"/>
  <c r="J74" i="12" s="1"/>
  <c r="I271" i="12"/>
  <c r="J271" i="12" s="1"/>
  <c r="J272" i="25" s="1"/>
  <c r="I252" i="12"/>
  <c r="J252" i="12" s="1"/>
  <c r="J253" i="25" s="1"/>
  <c r="I33" i="12"/>
  <c r="J33" i="12" s="1"/>
  <c r="I84" i="12"/>
  <c r="J84" i="12" s="1"/>
  <c r="I171" i="12"/>
  <c r="J171" i="12" s="1"/>
  <c r="I265" i="12"/>
  <c r="J265" i="12" s="1"/>
  <c r="I284" i="12"/>
  <c r="J284" i="12" s="1"/>
  <c r="I210" i="12"/>
  <c r="J210" i="12" s="1"/>
  <c r="I150" i="12"/>
  <c r="J150" i="12" s="1"/>
  <c r="J151" i="25" s="1"/>
  <c r="I64" i="12"/>
  <c r="J64" i="12" s="1"/>
  <c r="I172" i="12"/>
  <c r="J172" i="12" s="1"/>
  <c r="I273" i="12"/>
  <c r="J273" i="12" s="1"/>
  <c r="J274" i="25" s="1"/>
  <c r="I62" i="12"/>
  <c r="J62" i="12" s="1"/>
  <c r="I73" i="12"/>
  <c r="J73" i="12" s="1"/>
  <c r="J74" i="25" s="1"/>
  <c r="I213" i="12"/>
  <c r="J213" i="12" s="1"/>
  <c r="I79" i="12"/>
  <c r="J79" i="12" s="1"/>
  <c r="I243" i="12"/>
  <c r="J243" i="12" s="1"/>
  <c r="I301" i="12"/>
  <c r="J301" i="12" s="1"/>
  <c r="I109" i="12"/>
  <c r="J109" i="12" s="1"/>
  <c r="J110" i="25" s="1"/>
  <c r="I134" i="12"/>
  <c r="J134" i="12" s="1"/>
  <c r="J135" i="25" s="1"/>
  <c r="I115" i="12"/>
  <c r="J115" i="12" s="1"/>
  <c r="J116" i="25" s="1"/>
  <c r="I87" i="12"/>
  <c r="J87" i="12" s="1"/>
  <c r="I160" i="12"/>
  <c r="J160" i="12" s="1"/>
  <c r="I290" i="12"/>
  <c r="J290" i="12" s="1"/>
  <c r="I89" i="12"/>
  <c r="J89" i="12" s="1"/>
  <c r="J90" i="25" s="1"/>
  <c r="I228" i="12"/>
  <c r="J228" i="12" s="1"/>
  <c r="I123" i="12"/>
  <c r="J123" i="12" s="1"/>
  <c r="I95" i="12"/>
  <c r="J95" i="12" s="1"/>
  <c r="I175" i="12"/>
  <c r="J175" i="12" s="1"/>
  <c r="I279" i="12"/>
  <c r="J279" i="12" s="1"/>
  <c r="I173" i="12"/>
  <c r="J173" i="12" s="1"/>
  <c r="I50" i="12"/>
  <c r="J50" i="12" s="1"/>
  <c r="J51" i="25" s="1"/>
  <c r="I176" i="12"/>
  <c r="J176" i="12" s="1"/>
  <c r="I152" i="12"/>
  <c r="J152" i="12" s="1"/>
  <c r="J153" i="25" s="1"/>
  <c r="I269" i="12"/>
  <c r="J269" i="12" s="1"/>
  <c r="J270" i="25" s="1"/>
  <c r="I53" i="12"/>
  <c r="J53" i="12" s="1"/>
  <c r="I101" i="12"/>
  <c r="J101" i="12" s="1"/>
  <c r="I303" i="12"/>
  <c r="J303" i="12" s="1"/>
  <c r="I178" i="12"/>
  <c r="J178" i="12" s="1"/>
  <c r="I12" i="12"/>
  <c r="J12" i="12" s="1"/>
  <c r="I283" i="12"/>
  <c r="J283" i="12" s="1"/>
  <c r="I218" i="12"/>
  <c r="J218" i="12" s="1"/>
  <c r="I56" i="12"/>
  <c r="J56" i="12" s="1"/>
  <c r="I189" i="12"/>
  <c r="J189" i="12" s="1"/>
  <c r="I137" i="12"/>
  <c r="J137" i="12" s="1"/>
  <c r="I92" i="12"/>
  <c r="J92" i="12" s="1"/>
  <c r="I231" i="12"/>
  <c r="J231" i="12" s="1"/>
  <c r="I107" i="12"/>
  <c r="J107" i="12" s="1"/>
  <c r="I159" i="12"/>
  <c r="J159" i="12" s="1"/>
  <c r="I312" i="12"/>
  <c r="J312" i="12" s="1"/>
  <c r="I186" i="12"/>
  <c r="J186" i="12" s="1"/>
  <c r="I300" i="12"/>
  <c r="J300" i="12" s="1"/>
  <c r="I251" i="12"/>
  <c r="J251" i="12" s="1"/>
  <c r="J252" i="25" s="1"/>
  <c r="I302" i="12"/>
  <c r="J302" i="12" s="1"/>
  <c r="J303" i="25" s="1"/>
  <c r="I194" i="12"/>
  <c r="J194" i="12" s="1"/>
  <c r="I151" i="12"/>
  <c r="J151" i="12" s="1"/>
  <c r="I259" i="12"/>
  <c r="J259" i="12" s="1"/>
  <c r="I131" i="12"/>
  <c r="J131" i="12" s="1"/>
  <c r="I103" i="12"/>
  <c r="J103" i="12" s="1"/>
  <c r="I267" i="12"/>
  <c r="J267" i="12" s="1"/>
  <c r="I75" i="12"/>
  <c r="J75" i="12" s="1"/>
  <c r="J76" i="25" s="1"/>
  <c r="I47" i="12"/>
  <c r="J47" i="12" s="1"/>
  <c r="I280" i="12"/>
  <c r="J280" i="12" s="1"/>
  <c r="I195" i="12"/>
  <c r="J195" i="12" s="1"/>
  <c r="I253" i="12"/>
  <c r="J253" i="12" s="1"/>
  <c r="I165" i="12"/>
  <c r="J165" i="12" s="1"/>
  <c r="I49" i="12"/>
  <c r="J49" i="12" s="1"/>
  <c r="J50" i="25" s="1"/>
  <c r="I193" i="12"/>
  <c r="J193" i="12" s="1"/>
  <c r="I76" i="12"/>
  <c r="J76" i="12" s="1"/>
  <c r="I156" i="12"/>
  <c r="J156" i="12" s="1"/>
  <c r="I257" i="12"/>
  <c r="J257" i="12" s="1"/>
  <c r="I293" i="12"/>
  <c r="J293" i="12" s="1"/>
  <c r="I98" i="12"/>
  <c r="J98" i="12" s="1"/>
  <c r="I309" i="12"/>
  <c r="J309" i="12" s="1"/>
  <c r="I214" i="12"/>
  <c r="J214" i="12" s="1"/>
  <c r="I27" i="12"/>
  <c r="J27" i="12" s="1"/>
  <c r="I148" i="12"/>
  <c r="J148" i="12" s="1"/>
  <c r="I120" i="12"/>
  <c r="J120" i="12" s="1"/>
  <c r="J121" i="25" s="1"/>
  <c r="I232" i="12"/>
  <c r="J232" i="12" s="1"/>
  <c r="I274" i="12"/>
  <c r="J274" i="12" s="1"/>
  <c r="I14" i="12"/>
  <c r="J14" i="12" s="1"/>
  <c r="I254" i="12"/>
  <c r="J254" i="12" s="1"/>
  <c r="J255" i="25" s="1"/>
  <c r="I34" i="12"/>
  <c r="J34" i="12" s="1"/>
  <c r="I29" i="12"/>
  <c r="J29" i="12" s="1"/>
  <c r="I35" i="12"/>
  <c r="J35" i="12" s="1"/>
  <c r="I7" i="12"/>
  <c r="J7" i="12" s="1"/>
  <c r="J8" i="25" s="1"/>
  <c r="I128" i="12"/>
  <c r="J128" i="12" s="1"/>
  <c r="I240" i="12"/>
  <c r="J240" i="12" s="1"/>
  <c r="J241" i="25" s="1"/>
  <c r="I125" i="12"/>
  <c r="J125" i="12" s="1"/>
  <c r="I255" i="12"/>
  <c r="J255" i="12" s="1"/>
  <c r="I113" i="12"/>
  <c r="J113" i="12" s="1"/>
  <c r="I37" i="12"/>
  <c r="J37" i="12" s="1"/>
  <c r="I212" i="12"/>
  <c r="J212" i="12" s="1"/>
  <c r="I199" i="12"/>
  <c r="J199" i="12" s="1"/>
  <c r="I142" i="12"/>
  <c r="J142" i="12" s="1"/>
  <c r="I277" i="12"/>
  <c r="J277" i="12" s="1"/>
  <c r="I181" i="12"/>
  <c r="J181" i="12" s="1"/>
  <c r="I206" i="12"/>
  <c r="J206" i="12" s="1"/>
  <c r="J207" i="25" s="1"/>
  <c r="I18" i="12"/>
  <c r="J18" i="12" s="1"/>
  <c r="I268" i="12"/>
  <c r="J268" i="12" s="1"/>
  <c r="I57" i="12"/>
  <c r="J57" i="12" s="1"/>
  <c r="I69" i="12"/>
  <c r="J69" i="12" s="1"/>
  <c r="I258" i="12"/>
  <c r="J258" i="12" s="1"/>
  <c r="I233" i="12"/>
  <c r="J233" i="12" s="1"/>
  <c r="I266" i="12"/>
  <c r="J266" i="12" s="1"/>
  <c r="J267" i="25" s="1"/>
  <c r="I129" i="12"/>
  <c r="J129" i="12" s="1"/>
  <c r="J130" i="25" s="1"/>
  <c r="I244" i="12"/>
  <c r="J244" i="12" s="1"/>
  <c r="I145" i="12"/>
  <c r="J145" i="12" s="1"/>
  <c r="I311" i="12"/>
  <c r="J311" i="12" s="1"/>
  <c r="I9" i="12"/>
  <c r="J9" i="12" s="1"/>
  <c r="J10" i="25" s="1"/>
  <c r="I224" i="12"/>
  <c r="J224" i="12" s="1"/>
  <c r="I25" i="12"/>
  <c r="J25" i="12" s="1"/>
  <c r="I42" i="12"/>
  <c r="J42" i="12" s="1"/>
  <c r="I215" i="12"/>
  <c r="J215" i="12" s="1"/>
  <c r="I174" i="12"/>
  <c r="J174" i="12" s="1"/>
  <c r="I133" i="12"/>
  <c r="J133" i="12" s="1"/>
  <c r="J134" i="25" s="1"/>
  <c r="I126" i="12"/>
  <c r="J126" i="12" s="1"/>
  <c r="I229" i="12"/>
  <c r="J229" i="12" s="1"/>
  <c r="J230" i="25" s="1"/>
  <c r="I48" i="12"/>
  <c r="J48" i="12" s="1"/>
  <c r="I118" i="12"/>
  <c r="J118" i="12" s="1"/>
  <c r="I239" i="12"/>
  <c r="J239" i="12" s="1"/>
  <c r="J240" i="25" s="1"/>
  <c r="I143" i="12"/>
  <c r="J143" i="12" s="1"/>
  <c r="I36" i="12"/>
  <c r="J36" i="12" s="1"/>
  <c r="J37" i="25" s="1"/>
  <c r="I8" i="12"/>
  <c r="J8" i="12" s="1"/>
  <c r="I307" i="12"/>
  <c r="J307" i="12" s="1"/>
  <c r="I170" i="12"/>
  <c r="J170" i="12" s="1"/>
  <c r="I44" i="12"/>
  <c r="J44" i="12" s="1"/>
  <c r="I16" i="12"/>
  <c r="J16" i="12" s="1"/>
  <c r="I227" i="12"/>
  <c r="J227" i="12" s="1"/>
  <c r="J228" i="25" s="1"/>
  <c r="I200" i="12"/>
  <c r="J200" i="12" s="1"/>
  <c r="I250" i="12"/>
  <c r="J250" i="12" s="1"/>
  <c r="I52" i="12"/>
  <c r="J52" i="12" s="1"/>
  <c r="I24" i="12"/>
  <c r="J24" i="12" s="1"/>
  <c r="J25" i="25" s="1"/>
  <c r="I60" i="12"/>
  <c r="J60" i="12" s="1"/>
  <c r="J61" i="25" s="1"/>
  <c r="I32" i="12"/>
  <c r="J32" i="12" s="1"/>
  <c r="J33" i="25" s="1"/>
  <c r="I306" i="12"/>
  <c r="J306" i="12" s="1"/>
  <c r="I241" i="12"/>
  <c r="J241" i="12" s="1"/>
  <c r="I111" i="12"/>
  <c r="J111" i="12" s="1"/>
  <c r="J112" i="25" s="1"/>
  <c r="I191" i="12"/>
  <c r="J191" i="12" s="1"/>
  <c r="I167" i="12"/>
  <c r="J167" i="12" s="1"/>
  <c r="I216" i="12"/>
  <c r="J216" i="12" s="1"/>
  <c r="I260" i="12"/>
  <c r="J260" i="12" s="1"/>
  <c r="I19" i="12"/>
  <c r="J19" i="12" s="1"/>
  <c r="I140" i="12"/>
  <c r="J140" i="12" s="1"/>
  <c r="I138" i="12"/>
  <c r="J138" i="12" s="1"/>
  <c r="J139" i="25" s="1"/>
  <c r="I157" i="12"/>
  <c r="J157" i="12" s="1"/>
  <c r="I22" i="12"/>
  <c r="J22" i="12" s="1"/>
  <c r="I185" i="12"/>
  <c r="J185" i="12" s="1"/>
  <c r="I63" i="12"/>
  <c r="J63" i="12" s="1"/>
  <c r="I219" i="12"/>
  <c r="J219" i="12" s="1"/>
  <c r="J220" i="25" s="1"/>
  <c r="I177" i="12"/>
  <c r="J177" i="12" s="1"/>
  <c r="I106" i="12"/>
  <c r="J106" i="12" s="1"/>
  <c r="J107" i="25" s="1"/>
  <c r="I238" i="12"/>
  <c r="J238" i="12" s="1"/>
  <c r="J239" i="25" s="1"/>
  <c r="I246" i="12"/>
  <c r="J246" i="12" s="1"/>
  <c r="I99" i="12"/>
  <c r="J99" i="12" s="1"/>
  <c r="I71" i="12"/>
  <c r="J71" i="12" s="1"/>
  <c r="I242" i="12"/>
  <c r="J242" i="12" s="1"/>
  <c r="J243" i="25" s="1"/>
  <c r="I54" i="12"/>
  <c r="J54" i="12" s="1"/>
  <c r="I93" i="12"/>
  <c r="J93" i="12" s="1"/>
  <c r="I295" i="12"/>
  <c r="J295" i="12" s="1"/>
  <c r="J296" i="25" s="1"/>
  <c r="I261" i="12"/>
  <c r="J261" i="12" s="1"/>
  <c r="I72" i="12"/>
  <c r="J72" i="12" s="1"/>
  <c r="I187" i="12"/>
  <c r="J187" i="12" s="1"/>
  <c r="I281" i="12"/>
  <c r="J281" i="12" s="1"/>
  <c r="I236" i="12"/>
  <c r="J236" i="12" s="1"/>
  <c r="J237" i="25" s="1"/>
  <c r="I158" i="12"/>
  <c r="J158" i="12" s="1"/>
  <c r="J159" i="25" s="1"/>
  <c r="I117" i="12"/>
  <c r="J117" i="12" s="1"/>
  <c r="I166" i="12"/>
  <c r="J166" i="12" s="1"/>
  <c r="J167" i="25" s="1"/>
  <c r="I108" i="12"/>
  <c r="J108" i="12" s="1"/>
  <c r="I80" i="12"/>
  <c r="J80" i="12" s="1"/>
  <c r="J81" i="25" s="1"/>
  <c r="I188" i="12"/>
  <c r="J188" i="12" s="1"/>
  <c r="J189" i="25" s="1"/>
  <c r="I289" i="12"/>
  <c r="J289" i="12" s="1"/>
  <c r="J290" i="25" s="1"/>
  <c r="I247" i="12"/>
  <c r="J247" i="12" s="1"/>
  <c r="I21" i="12"/>
  <c r="J21" i="12" s="1"/>
  <c r="J22" i="25" s="1"/>
  <c r="I97" i="12"/>
  <c r="J97" i="12" s="1"/>
  <c r="J98" i="25" s="1"/>
  <c r="I285" i="12"/>
  <c r="J285" i="12" s="1"/>
  <c r="I88" i="12"/>
  <c r="J88" i="12" s="1"/>
  <c r="J89" i="25" s="1"/>
  <c r="I203" i="12"/>
  <c r="J203" i="12" s="1"/>
  <c r="I297" i="12"/>
  <c r="J297" i="12" s="1"/>
  <c r="I161" i="12"/>
  <c r="J161" i="12" s="1"/>
  <c r="J162" i="25" s="1"/>
  <c r="I124" i="12"/>
  <c r="J124" i="12" s="1"/>
  <c r="I96" i="12"/>
  <c r="J96" i="12" s="1"/>
  <c r="I204" i="12"/>
  <c r="J204" i="12" s="1"/>
  <c r="I305" i="12"/>
  <c r="J305" i="12" s="1"/>
  <c r="I149" i="12"/>
  <c r="J149" i="12" s="1"/>
  <c r="J150" i="25" s="1"/>
  <c r="I45" i="12"/>
  <c r="J45" i="12" s="1"/>
  <c r="I70" i="12"/>
  <c r="J70" i="12" s="1"/>
  <c r="I139" i="12"/>
  <c r="J139" i="12" s="1"/>
  <c r="I275" i="12"/>
  <c r="J275" i="12" s="1"/>
  <c r="I122" i="12"/>
  <c r="J122" i="12" s="1"/>
  <c r="J123" i="25" s="1"/>
  <c r="I198" i="12"/>
  <c r="J198" i="12" s="1"/>
  <c r="J199" i="25" s="1"/>
  <c r="I190" i="12"/>
  <c r="J190" i="12" s="1"/>
  <c r="I308" i="12"/>
  <c r="J308" i="12" s="1"/>
  <c r="I182" i="12"/>
  <c r="J182" i="12" s="1"/>
  <c r="J183" i="25" s="1"/>
  <c r="I112" i="12"/>
  <c r="J112" i="12" s="1"/>
  <c r="I298" i="12"/>
  <c r="J298" i="12" s="1"/>
  <c r="I234" i="12"/>
  <c r="J234" i="12" s="1"/>
  <c r="J235" i="25" s="1"/>
  <c r="I278" i="12"/>
  <c r="J278" i="12" s="1"/>
  <c r="J279" i="25" s="1"/>
  <c r="I162" i="12"/>
  <c r="J162" i="12" s="1"/>
  <c r="J163" i="25" s="1"/>
  <c r="I91" i="12"/>
  <c r="J91" i="12" s="1"/>
  <c r="I223" i="12"/>
  <c r="J223" i="12" s="1"/>
  <c r="J224" i="25" s="1"/>
  <c r="I296" i="12"/>
  <c r="J296" i="12" s="1"/>
  <c r="I304" i="12"/>
  <c r="J304" i="12" s="1"/>
  <c r="J305" i="25" s="1"/>
  <c r="I235" i="12"/>
  <c r="J235" i="12" s="1"/>
  <c r="J236" i="25" s="1"/>
  <c r="I100" i="12"/>
  <c r="J100" i="12" s="1"/>
  <c r="I110" i="12"/>
  <c r="J110" i="12" s="1"/>
  <c r="I287" i="12"/>
  <c r="J287" i="12" s="1"/>
  <c r="I270" i="12"/>
  <c r="J270" i="12" s="1"/>
  <c r="J271" i="25" s="1"/>
  <c r="I116" i="12"/>
  <c r="J116" i="12" s="1"/>
  <c r="I114" i="12"/>
  <c r="J114" i="12" s="1"/>
  <c r="J115" i="25" s="1"/>
  <c r="I201" i="12"/>
  <c r="J201" i="12" s="1"/>
  <c r="I58" i="12"/>
  <c r="J58" i="12" s="1"/>
  <c r="I286" i="12"/>
  <c r="J286" i="12" s="1"/>
  <c r="I209" i="12"/>
  <c r="J209" i="12" s="1"/>
  <c r="I68" i="12"/>
  <c r="J68" i="12" s="1"/>
  <c r="J69" i="25" s="1"/>
  <c r="I249" i="12"/>
  <c r="J249" i="12" s="1"/>
  <c r="I102" i="12"/>
  <c r="J102" i="12" s="1"/>
  <c r="I90" i="12"/>
  <c r="J90" i="12" s="1"/>
  <c r="I197" i="12"/>
  <c r="J197" i="12" s="1"/>
  <c r="I78" i="12"/>
  <c r="J78" i="12" s="1"/>
  <c r="J79" i="25" s="1"/>
  <c r="I83" i="12"/>
  <c r="J83" i="12" s="1"/>
  <c r="J84" i="25" s="1"/>
  <c r="I55" i="12"/>
  <c r="J55" i="12" s="1"/>
  <c r="I220" i="12"/>
  <c r="J220" i="12" s="1"/>
  <c r="I288" i="12"/>
  <c r="J288" i="12" s="1"/>
  <c r="I30" i="12"/>
  <c r="J30" i="12" s="1"/>
  <c r="J31" i="25" s="1"/>
  <c r="I13" i="12"/>
  <c r="J13" i="12" s="1"/>
  <c r="I230" i="12"/>
  <c r="J230" i="12" s="1"/>
  <c r="J231" i="25" s="1"/>
  <c r="I6" i="12"/>
  <c r="J6" i="12" s="1"/>
  <c r="J7" i="25" s="1"/>
  <c r="I81" i="12"/>
  <c r="J81" i="12" s="1"/>
  <c r="I77" i="12"/>
  <c r="J77" i="12" s="1"/>
  <c r="I127" i="12"/>
  <c r="J127" i="12" s="1"/>
  <c r="J128" i="25" s="1"/>
  <c r="I207" i="12"/>
  <c r="J207" i="12" s="1"/>
  <c r="I183" i="12"/>
  <c r="J183" i="12" s="1"/>
  <c r="I221" i="12"/>
  <c r="J221" i="12" s="1"/>
  <c r="J222" i="25" s="1"/>
  <c r="I146" i="12"/>
  <c r="J146" i="12" s="1"/>
  <c r="I276" i="12"/>
  <c r="J276" i="12" s="1"/>
  <c r="I10" i="12"/>
  <c r="J10" i="12" s="1"/>
  <c r="J11" i="25" s="1"/>
  <c r="I135" i="12"/>
  <c r="J135" i="12" s="1"/>
  <c r="J136" i="25" s="1"/>
  <c r="I208" i="12"/>
  <c r="J208" i="12" s="1"/>
  <c r="I184" i="12"/>
  <c r="J184" i="12" s="1"/>
  <c r="J185" i="25" s="1"/>
  <c r="I105" i="12"/>
  <c r="J105" i="12" s="1"/>
  <c r="I26" i="12"/>
  <c r="J26" i="12" s="1"/>
  <c r="J27" i="25" s="1"/>
  <c r="I61" i="12"/>
  <c r="J61" i="12" s="1"/>
  <c r="J62" i="25" s="1"/>
  <c r="I43" i="12"/>
  <c r="J43" i="12" s="1"/>
  <c r="I15" i="12"/>
  <c r="J15" i="12" s="1"/>
  <c r="J16" i="25" s="1"/>
  <c r="I136" i="12"/>
  <c r="J136" i="12" s="1"/>
  <c r="J137" i="25" s="1"/>
  <c r="I248" i="12"/>
  <c r="J248" i="12" s="1"/>
  <c r="I310" i="12"/>
  <c r="J310" i="12" s="1"/>
  <c r="J311" i="25" s="1"/>
  <c r="I65" i="12"/>
  <c r="J65" i="12" s="1"/>
  <c r="I51" i="12"/>
  <c r="J51" i="12" s="1"/>
  <c r="J52" i="25" s="1"/>
  <c r="I23" i="12"/>
  <c r="J23" i="12" s="1"/>
  <c r="J24" i="25" s="1"/>
  <c r="I144" i="12"/>
  <c r="J144" i="12" s="1"/>
  <c r="J145" i="25" s="1"/>
  <c r="I256" i="12"/>
  <c r="J256" i="12" s="1"/>
  <c r="J257" i="25" s="1"/>
  <c r="I121" i="12"/>
  <c r="J121" i="12" s="1"/>
  <c r="J122" i="25" s="1"/>
  <c r="I222" i="12"/>
  <c r="J222" i="12" s="1"/>
  <c r="J223" i="25" s="1"/>
  <c r="I169" i="12"/>
  <c r="J169" i="12" s="1"/>
  <c r="I59" i="12"/>
  <c r="J59" i="12" s="1"/>
  <c r="J60" i="25" s="1"/>
  <c r="I31" i="12"/>
  <c r="J31" i="12" s="1"/>
  <c r="J32" i="25" s="1"/>
  <c r="I264" i="12"/>
  <c r="J264" i="12" s="1"/>
  <c r="I179" i="12"/>
  <c r="J179" i="12" s="1"/>
  <c r="J180" i="25" s="1"/>
  <c r="I205" i="12"/>
  <c r="J205" i="12" s="1"/>
  <c r="J206" i="25" s="1"/>
  <c r="I217" i="12"/>
  <c r="J217" i="12" s="1"/>
  <c r="I17" i="12"/>
  <c r="J17" i="12" s="1"/>
  <c r="J18" i="25" s="1"/>
  <c r="I67" i="12"/>
  <c r="J67" i="12" s="1"/>
  <c r="J68" i="25" s="1"/>
  <c r="I39" i="12"/>
  <c r="J39" i="12" s="1"/>
  <c r="I211" i="12"/>
  <c r="J211" i="12" s="1"/>
  <c r="J212" i="25" s="1"/>
  <c r="I272" i="12"/>
  <c r="J272" i="12" s="1"/>
  <c r="I180" i="12"/>
  <c r="J180" i="12" s="1"/>
  <c r="I85" i="12"/>
  <c r="J85" i="12" s="1"/>
  <c r="I82" i="12"/>
  <c r="J82" i="12" s="1"/>
  <c r="I263" i="12"/>
  <c r="J263" i="12" s="1"/>
  <c r="J264" i="25" s="1"/>
  <c r="I38" i="12"/>
  <c r="J38" i="12" s="1"/>
  <c r="I94" i="12"/>
  <c r="J94" i="12" s="1"/>
  <c r="I40" i="12"/>
  <c r="J40" i="12" s="1"/>
  <c r="J41" i="25" s="1"/>
  <c r="I155" i="12"/>
  <c r="J155" i="12" s="1"/>
  <c r="I262" i="12"/>
  <c r="J262" i="12" s="1"/>
  <c r="I237" i="12"/>
  <c r="J237" i="12" s="1"/>
  <c r="J238" i="25" s="1"/>
  <c r="I153" i="12"/>
  <c r="J153" i="12" s="1"/>
  <c r="J154" i="25" s="1"/>
  <c r="I294" i="12"/>
  <c r="J294" i="12" s="1"/>
  <c r="J295" i="25" s="1"/>
  <c r="I196" i="12"/>
  <c r="J196" i="12" s="1"/>
  <c r="I20" i="12"/>
  <c r="J20" i="12" s="1"/>
  <c r="J21" i="25" s="1"/>
  <c r="I291" i="12"/>
  <c r="J291" i="12" s="1"/>
  <c r="I28" i="12"/>
  <c r="J28" i="12" s="1"/>
  <c r="I299" i="12"/>
  <c r="J299" i="12" s="1"/>
  <c r="J300" i="25" s="1"/>
  <c r="I163" i="12"/>
  <c r="J163" i="12" s="1"/>
  <c r="I202" i="12"/>
  <c r="J202" i="12" s="1"/>
  <c r="I225" i="12"/>
  <c r="J225" i="12" s="1"/>
  <c r="I245" i="12"/>
  <c r="J245" i="12" s="1"/>
  <c r="I164" i="12"/>
  <c r="J164" i="12" s="1"/>
  <c r="J165" i="25" s="1"/>
  <c r="I141" i="12"/>
  <c r="J141" i="12" s="1"/>
  <c r="I147" i="12"/>
  <c r="J147" i="12" s="1"/>
  <c r="I325" i="34"/>
  <c r="E314" i="39" s="1"/>
  <c r="G314" i="39" s="1"/>
  <c r="H314" i="39" s="1"/>
  <c r="J57" i="25"/>
  <c r="J146" i="25"/>
  <c r="J100" i="25"/>
  <c r="J259" i="25"/>
  <c r="J114" i="25"/>
  <c r="J120" i="25"/>
  <c r="J188" i="25"/>
  <c r="J177" i="25"/>
  <c r="J278" i="25"/>
  <c r="J28" i="25"/>
  <c r="J254" i="25"/>
  <c r="J20" i="25"/>
  <c r="J211" i="25"/>
  <c r="J92" i="25"/>
  <c r="J35" i="25"/>
  <c r="J196" i="25"/>
  <c r="J119" i="25"/>
  <c r="J12" i="25"/>
  <c r="J75" i="25"/>
  <c r="J294" i="25"/>
  <c r="J53" i="25"/>
  <c r="J9" i="25"/>
  <c r="J77" i="25"/>
  <c r="J187" i="25"/>
  <c r="J17" i="25"/>
  <c r="J229" i="25"/>
  <c r="J13" i="25"/>
  <c r="J126" i="25"/>
  <c r="J38" i="25"/>
  <c r="J244" i="25"/>
  <c r="J143" i="25"/>
  <c r="I191" i="25"/>
  <c r="I9" i="25"/>
  <c r="I194" i="25"/>
  <c r="I39" i="25"/>
  <c r="I140" i="25"/>
  <c r="I164" i="25"/>
  <c r="I230" i="25"/>
  <c r="I162" i="25"/>
  <c r="I68" i="25"/>
  <c r="I212" i="25"/>
  <c r="I147" i="25"/>
  <c r="I265" i="25"/>
  <c r="I22" i="25"/>
  <c r="I255" i="25"/>
  <c r="I20" i="25"/>
  <c r="I161" i="25"/>
  <c r="I204" i="25"/>
  <c r="I37" i="25"/>
  <c r="I231" i="25"/>
  <c r="I180" i="25"/>
  <c r="I43" i="25"/>
  <c r="I89" i="25"/>
  <c r="I188" i="25"/>
  <c r="I284" i="25"/>
  <c r="I283" i="25"/>
  <c r="I111" i="25"/>
  <c r="I214" i="25"/>
  <c r="I29" i="25"/>
  <c r="I19" i="25"/>
  <c r="I33" i="25"/>
  <c r="I171" i="25"/>
  <c r="I299" i="25"/>
  <c r="I146" i="25"/>
  <c r="I311" i="25"/>
  <c r="I270" i="25"/>
  <c r="I233" i="25"/>
  <c r="I92" i="25"/>
  <c r="I158" i="25"/>
  <c r="I40" i="25"/>
  <c r="I198" i="25"/>
  <c r="I205" i="25"/>
  <c r="I8" i="25"/>
  <c r="I176" i="25"/>
  <c r="I120" i="25"/>
  <c r="I220" i="25"/>
  <c r="I18" i="25"/>
  <c r="I119" i="25"/>
  <c r="I219" i="25"/>
  <c r="I35" i="25"/>
  <c r="I90" i="25"/>
  <c r="I286" i="25"/>
  <c r="I141" i="25"/>
  <c r="I181" i="25"/>
  <c r="I257" i="25"/>
  <c r="I86" i="25"/>
  <c r="I221" i="25"/>
  <c r="I54" i="25"/>
  <c r="I98" i="25"/>
  <c r="I223" i="25"/>
  <c r="I241" i="25"/>
  <c r="I70" i="25"/>
  <c r="I124" i="25"/>
  <c r="I211" i="25"/>
  <c r="I78" i="25"/>
  <c r="I261" i="25"/>
  <c r="I109" i="25"/>
  <c r="I305" i="25"/>
  <c r="I59" i="25"/>
  <c r="I67" i="25"/>
  <c r="I195" i="25"/>
  <c r="I58" i="25"/>
  <c r="I170" i="25"/>
  <c r="I298" i="25"/>
  <c r="I295" i="25"/>
  <c r="I271" i="25"/>
  <c r="I222" i="25"/>
  <c r="I206" i="25"/>
  <c r="I76" i="25"/>
  <c r="I244" i="25"/>
  <c r="I165" i="25"/>
  <c r="I197" i="25"/>
  <c r="I254" i="25"/>
  <c r="I168" i="25"/>
  <c r="I172" i="25"/>
  <c r="I209" i="25"/>
  <c r="I42" i="25"/>
  <c r="I149" i="25"/>
  <c r="I227" i="25"/>
  <c r="I55" i="25"/>
  <c r="I13" i="25"/>
  <c r="I139" i="25"/>
  <c r="I267" i="25"/>
  <c r="I114" i="25"/>
  <c r="I242" i="25"/>
  <c r="I167" i="25"/>
  <c r="I127" i="25"/>
  <c r="I279" i="25"/>
  <c r="I238" i="25"/>
  <c r="I292" i="25"/>
  <c r="I182" i="25"/>
  <c r="I77" i="25"/>
  <c r="I72" i="25"/>
  <c r="I56" i="25"/>
  <c r="I62" i="25"/>
  <c r="I101" i="25"/>
  <c r="I273" i="25"/>
  <c r="I23" i="25"/>
  <c r="I91" i="25"/>
  <c r="I155" i="25"/>
  <c r="I289" i="25"/>
  <c r="I14" i="25"/>
  <c r="I83" i="25"/>
  <c r="I122" i="25"/>
  <c r="I250" i="25"/>
  <c r="I199" i="25"/>
  <c r="I260" i="25"/>
  <c r="I48" i="25"/>
  <c r="I156" i="25"/>
  <c r="I52" i="25"/>
  <c r="I115" i="25"/>
  <c r="I66" i="25"/>
  <c r="I274" i="25"/>
  <c r="I307" i="25"/>
  <c r="I71" i="25"/>
  <c r="I192" i="25"/>
  <c r="I16" i="25"/>
  <c r="I123" i="25"/>
  <c r="I263" i="25"/>
  <c r="I133" i="25"/>
  <c r="I102" i="25"/>
  <c r="I61" i="25"/>
  <c r="I248" i="25"/>
  <c r="I15" i="25"/>
  <c r="I163" i="25"/>
  <c r="I202" i="25"/>
  <c r="I151" i="25"/>
  <c r="I128" i="25"/>
  <c r="I313" i="25"/>
  <c r="I129" i="25"/>
  <c r="I116" i="25"/>
  <c r="I110" i="25"/>
  <c r="I312" i="25"/>
  <c r="I154" i="25"/>
  <c r="I217" i="25"/>
  <c r="I93" i="25"/>
  <c r="I125" i="25"/>
  <c r="I226" i="25"/>
  <c r="I64" i="25"/>
  <c r="I69" i="25"/>
  <c r="I11" i="25"/>
  <c r="I74" i="25"/>
  <c r="I237" i="25"/>
  <c r="I278" i="25"/>
  <c r="I143" i="25"/>
  <c r="I293" i="25"/>
  <c r="I300" i="25"/>
  <c r="I99" i="25"/>
  <c r="I218" i="25"/>
  <c r="I118" i="25"/>
  <c r="I296" i="25"/>
  <c r="I53" i="25"/>
  <c r="I200" i="25"/>
  <c r="I304" i="25"/>
  <c r="I87" i="25"/>
  <c r="I113" i="25"/>
  <c r="I27" i="25"/>
  <c r="I291" i="25"/>
  <c r="I138" i="25"/>
  <c r="I266" i="25"/>
  <c r="I239" i="25"/>
  <c r="I281" i="25"/>
  <c r="I236" i="25"/>
  <c r="I229" i="25"/>
  <c r="I49" i="25"/>
  <c r="I184" i="25"/>
  <c r="I96" i="25"/>
  <c r="I57" i="25"/>
  <c r="I105" i="25"/>
  <c r="I213" i="25"/>
  <c r="I30" i="25"/>
  <c r="I243" i="25"/>
  <c r="I207" i="25"/>
  <c r="I216" i="25"/>
  <c r="I264" i="25"/>
  <c r="I240" i="25"/>
  <c r="I24" i="25"/>
  <c r="I251" i="25"/>
  <c r="I63" i="25"/>
  <c r="I36" i="25"/>
  <c r="I208" i="25"/>
  <c r="I144" i="25"/>
  <c r="I46" i="25"/>
  <c r="I169" i="25"/>
  <c r="I276" i="25"/>
  <c r="I297" i="25"/>
  <c r="I175" i="25"/>
  <c r="I31" i="25"/>
  <c r="I107" i="25"/>
  <c r="I235" i="25"/>
  <c r="I82" i="25"/>
  <c r="I287" i="25"/>
  <c r="I215" i="25"/>
  <c r="I183" i="25"/>
  <c r="I85" i="25"/>
  <c r="I44" i="25"/>
  <c r="I256" i="25"/>
  <c r="I112" i="25"/>
  <c r="I88" i="25"/>
  <c r="I301" i="25"/>
  <c r="I252" i="25"/>
  <c r="I157" i="25"/>
  <c r="I148" i="25"/>
  <c r="I130" i="25"/>
  <c r="I269" i="25"/>
  <c r="I179" i="25"/>
  <c r="I153" i="25"/>
  <c r="I94" i="25"/>
  <c r="I196" i="25"/>
  <c r="I166" i="25"/>
  <c r="I132" i="25"/>
  <c r="I187" i="25"/>
  <c r="I103" i="25"/>
  <c r="I80" i="25"/>
  <c r="I12" i="25"/>
  <c r="I190" i="25"/>
  <c r="I26" i="25"/>
  <c r="I225" i="25"/>
  <c r="I310" i="25"/>
  <c r="I32" i="25"/>
  <c r="I308" i="25"/>
  <c r="I97" i="25"/>
  <c r="I47" i="25"/>
  <c r="I38" i="25"/>
  <c r="I131" i="25"/>
  <c r="I259" i="25"/>
  <c r="I106" i="25"/>
  <c r="I234" i="25"/>
  <c r="I135" i="25"/>
  <c r="I95" i="25"/>
  <c r="I294" i="25"/>
  <c r="I280" i="25"/>
  <c r="I121" i="25"/>
  <c r="I81" i="25"/>
  <c r="I246" i="25"/>
  <c r="I136" i="25"/>
  <c r="I28" i="25"/>
  <c r="I193" i="25"/>
  <c r="I126" i="25"/>
  <c r="I249" i="25"/>
  <c r="I228" i="25"/>
  <c r="I21" i="25"/>
  <c r="I152" i="25"/>
  <c r="I258" i="25"/>
  <c r="I75" i="25"/>
  <c r="I203" i="25"/>
  <c r="I41" i="25"/>
  <c r="I178" i="25"/>
  <c r="I306" i="25"/>
  <c r="I79" i="25"/>
  <c r="I303" i="25"/>
  <c r="I224" i="25"/>
  <c r="I189" i="25"/>
  <c r="I142" i="25"/>
  <c r="I108" i="25"/>
  <c r="I73" i="25"/>
  <c r="I65" i="25"/>
  <c r="I185" i="25"/>
  <c r="I104" i="25"/>
  <c r="I100" i="25"/>
  <c r="I173" i="25"/>
  <c r="I50" i="25"/>
  <c r="I160" i="25"/>
  <c r="I247" i="25"/>
  <c r="I7" i="25"/>
  <c r="I17" i="25"/>
  <c r="I275" i="25"/>
  <c r="I186" i="25"/>
  <c r="I159" i="25"/>
  <c r="I117" i="25"/>
  <c r="I245" i="25"/>
  <c r="I150" i="25"/>
  <c r="I45" i="25"/>
  <c r="I309" i="25"/>
  <c r="I302" i="25"/>
  <c r="I134" i="25"/>
  <c r="I84" i="25"/>
  <c r="I34" i="25"/>
  <c r="I145" i="25"/>
  <c r="I232" i="25"/>
  <c r="I60" i="25"/>
  <c r="I174" i="25"/>
  <c r="I25" i="25"/>
  <c r="I137" i="25"/>
  <c r="I290" i="25"/>
  <c r="I262" i="25"/>
  <c r="I288" i="25"/>
  <c r="I277" i="25"/>
  <c r="I268" i="25"/>
  <c r="I272" i="25"/>
  <c r="I201" i="25"/>
  <c r="I210" i="25"/>
  <c r="I282" i="25"/>
  <c r="I51" i="25"/>
  <c r="I285" i="25"/>
  <c r="I10" i="25"/>
  <c r="I177" i="25"/>
  <c r="I314" i="25"/>
  <c r="I253" i="25"/>
  <c r="E5" i="12"/>
  <c r="G5" i="12" s="1"/>
  <c r="H5" i="12" s="1"/>
  <c r="I5" i="12" s="1"/>
  <c r="E5" i="39"/>
  <c r="G5" i="39" s="1"/>
  <c r="E314" i="12"/>
  <c r="G314" i="12" s="1"/>
  <c r="K314" i="12" s="1"/>
  <c r="C4" i="34"/>
  <c r="C10" i="34" s="1"/>
  <c r="C11" i="34" s="1"/>
  <c r="G6" i="25"/>
  <c r="K218" i="12" l="1"/>
  <c r="K255" i="12"/>
  <c r="K168" i="12"/>
  <c r="K125" i="12"/>
  <c r="K152" i="12"/>
  <c r="K172" i="12"/>
  <c r="K165" i="12"/>
  <c r="K265" i="12"/>
  <c r="K119" i="12"/>
  <c r="K102" i="12"/>
  <c r="K182" i="12"/>
  <c r="K70" i="12"/>
  <c r="K127" i="12"/>
  <c r="K120" i="12"/>
  <c r="K171" i="12"/>
  <c r="K226" i="12"/>
  <c r="K154" i="12"/>
  <c r="K84" i="12"/>
  <c r="K306" i="12"/>
  <c r="G315" i="25"/>
  <c r="K118" i="12"/>
  <c r="K252" i="12"/>
  <c r="K66" i="12"/>
  <c r="K312" i="12"/>
  <c r="K87" i="12"/>
  <c r="K64" i="12"/>
  <c r="K29" i="12"/>
  <c r="K40" i="12"/>
  <c r="K23" i="12"/>
  <c r="K55" i="12"/>
  <c r="K302" i="12"/>
  <c r="K210" i="12"/>
  <c r="K199" i="12"/>
  <c r="K254" i="12"/>
  <c r="K109" i="12"/>
  <c r="K273" i="12"/>
  <c r="K86" i="12"/>
  <c r="K104" i="12"/>
  <c r="K310" i="12"/>
  <c r="K158" i="12"/>
  <c r="K93" i="12"/>
  <c r="K106" i="12"/>
  <c r="K215" i="12"/>
  <c r="K279" i="12"/>
  <c r="K7" i="12"/>
  <c r="K135" i="12"/>
  <c r="K285" i="12"/>
  <c r="K167" i="12"/>
  <c r="K227" i="12"/>
  <c r="K126" i="12"/>
  <c r="K150" i="12"/>
  <c r="K164" i="12"/>
  <c r="K28" i="12"/>
  <c r="K217" i="12"/>
  <c r="K61" i="12"/>
  <c r="K32" i="12"/>
  <c r="K239" i="12"/>
  <c r="K258" i="12"/>
  <c r="K274" i="12"/>
  <c r="K77" i="12"/>
  <c r="K191" i="12"/>
  <c r="K69" i="12"/>
  <c r="K98" i="12"/>
  <c r="K75" i="12"/>
  <c r="K159" i="12"/>
  <c r="K53" i="12"/>
  <c r="K290" i="12"/>
  <c r="K225" i="12"/>
  <c r="K179" i="12"/>
  <c r="K256" i="12"/>
  <c r="K105" i="12"/>
  <c r="K111" i="12"/>
  <c r="K251" i="12"/>
  <c r="K6" i="12"/>
  <c r="K48" i="12"/>
  <c r="K240" i="12"/>
  <c r="K257" i="12"/>
  <c r="K67" i="12"/>
  <c r="K83" i="12"/>
  <c r="K190" i="12"/>
  <c r="K266" i="12"/>
  <c r="K156" i="12"/>
  <c r="K303" i="12"/>
  <c r="K228" i="12"/>
  <c r="K73" i="12"/>
  <c r="K74" i="12"/>
  <c r="K147" i="12"/>
  <c r="K294" i="12"/>
  <c r="K155" i="12"/>
  <c r="K263" i="12"/>
  <c r="K272" i="12"/>
  <c r="K17" i="12"/>
  <c r="K264" i="12"/>
  <c r="K222" i="12"/>
  <c r="K248" i="12"/>
  <c r="K208" i="12"/>
  <c r="K146" i="12"/>
  <c r="K230" i="12"/>
  <c r="K220" i="12"/>
  <c r="K197" i="12"/>
  <c r="K68" i="12"/>
  <c r="K201" i="12"/>
  <c r="K287" i="12"/>
  <c r="K304" i="12"/>
  <c r="K162" i="12"/>
  <c r="K112" i="12"/>
  <c r="K198" i="12"/>
  <c r="K204" i="12"/>
  <c r="K297" i="12"/>
  <c r="K97" i="12"/>
  <c r="K188" i="12"/>
  <c r="K117" i="12"/>
  <c r="K187" i="12"/>
  <c r="K99" i="12"/>
  <c r="K177" i="12"/>
  <c r="K22" i="12"/>
  <c r="K19" i="12"/>
  <c r="K250" i="12"/>
  <c r="K44" i="12"/>
  <c r="K36" i="12"/>
  <c r="K174" i="12"/>
  <c r="K224" i="12"/>
  <c r="K244" i="12"/>
  <c r="K18" i="12"/>
  <c r="K142" i="12"/>
  <c r="K113" i="12"/>
  <c r="K128" i="12"/>
  <c r="K34" i="12"/>
  <c r="K232" i="12"/>
  <c r="K214" i="12"/>
  <c r="K49" i="12"/>
  <c r="K280" i="12"/>
  <c r="K103" i="12"/>
  <c r="K194" i="12"/>
  <c r="K186" i="12"/>
  <c r="K231" i="12"/>
  <c r="K56" i="12"/>
  <c r="K178" i="12"/>
  <c r="K269" i="12"/>
  <c r="K173" i="12"/>
  <c r="K160" i="12"/>
  <c r="K123" i="12"/>
  <c r="K213" i="12"/>
  <c r="K284" i="12"/>
  <c r="K33" i="12"/>
  <c r="K130" i="12"/>
  <c r="K282" i="12"/>
  <c r="K141" i="12"/>
  <c r="K202" i="12"/>
  <c r="K291" i="12"/>
  <c r="K153" i="12"/>
  <c r="K82" i="12"/>
  <c r="K211" i="12"/>
  <c r="K31" i="12"/>
  <c r="K121" i="12"/>
  <c r="K51" i="12"/>
  <c r="K136" i="12"/>
  <c r="K26" i="12"/>
  <c r="K221" i="12"/>
  <c r="K13" i="12"/>
  <c r="K90" i="12"/>
  <c r="K209" i="12"/>
  <c r="K114" i="12"/>
  <c r="K110" i="12"/>
  <c r="K296" i="12"/>
  <c r="K278" i="12"/>
  <c r="K122" i="12"/>
  <c r="K45" i="12"/>
  <c r="K96" i="12"/>
  <c r="K203" i="12"/>
  <c r="K21" i="12"/>
  <c r="K80" i="12"/>
  <c r="K72" i="12"/>
  <c r="K54" i="12"/>
  <c r="K246" i="12"/>
  <c r="K219" i="12"/>
  <c r="K157" i="12"/>
  <c r="K260" i="12"/>
  <c r="K60" i="12"/>
  <c r="K200" i="12"/>
  <c r="K170" i="12"/>
  <c r="K143" i="12"/>
  <c r="K229" i="12"/>
  <c r="K129" i="12"/>
  <c r="K9" i="12"/>
  <c r="K206" i="12"/>
  <c r="K309" i="12"/>
  <c r="K47" i="12"/>
  <c r="K131" i="12"/>
  <c r="K92" i="12"/>
  <c r="K301" i="12"/>
  <c r="K292" i="12"/>
  <c r="K163" i="12"/>
  <c r="K20" i="12"/>
  <c r="K237" i="12"/>
  <c r="K94" i="12"/>
  <c r="K85" i="12"/>
  <c r="K39" i="12"/>
  <c r="K205" i="12"/>
  <c r="K59" i="12"/>
  <c r="K65" i="12"/>
  <c r="K15" i="12"/>
  <c r="K10" i="12"/>
  <c r="K183" i="12"/>
  <c r="K81" i="12"/>
  <c r="K30" i="12"/>
  <c r="K286" i="12"/>
  <c r="K116" i="12"/>
  <c r="K100" i="12"/>
  <c r="K223" i="12"/>
  <c r="K234" i="12"/>
  <c r="K308" i="12"/>
  <c r="K275" i="12"/>
  <c r="K149" i="12"/>
  <c r="K124" i="12"/>
  <c r="K88" i="12"/>
  <c r="K247" i="12"/>
  <c r="K108" i="12"/>
  <c r="K236" i="12"/>
  <c r="K261" i="12"/>
  <c r="K242" i="12"/>
  <c r="K238" i="12"/>
  <c r="K63" i="12"/>
  <c r="K138" i="12"/>
  <c r="K216" i="12"/>
  <c r="K241" i="12"/>
  <c r="K24" i="12"/>
  <c r="K307" i="12"/>
  <c r="K42" i="12"/>
  <c r="K311" i="12"/>
  <c r="K57" i="12"/>
  <c r="K181" i="12"/>
  <c r="K212" i="12"/>
  <c r="K35" i="12"/>
  <c r="K14" i="12"/>
  <c r="K148" i="12"/>
  <c r="K76" i="12"/>
  <c r="K253" i="12"/>
  <c r="K259" i="12"/>
  <c r="K137" i="12"/>
  <c r="K283" i="12"/>
  <c r="K101" i="12"/>
  <c r="K176" i="12"/>
  <c r="K175" i="12"/>
  <c r="K89" i="12"/>
  <c r="K115" i="12"/>
  <c r="K243" i="12"/>
  <c r="K62" i="12"/>
  <c r="K271" i="12"/>
  <c r="K192" i="12"/>
  <c r="K46" i="12"/>
  <c r="K41" i="12"/>
  <c r="K132" i="12"/>
  <c r="K245" i="12"/>
  <c r="K299" i="12"/>
  <c r="K196" i="12"/>
  <c r="K262" i="12"/>
  <c r="K38" i="12"/>
  <c r="K180" i="12"/>
  <c r="K169" i="12"/>
  <c r="K144" i="12"/>
  <c r="K43" i="12"/>
  <c r="K184" i="12"/>
  <c r="K276" i="12"/>
  <c r="K207" i="12"/>
  <c r="K288" i="12"/>
  <c r="K78" i="12"/>
  <c r="K249" i="12"/>
  <c r="K58" i="12"/>
  <c r="K270" i="12"/>
  <c r="K235" i="12"/>
  <c r="K91" i="12"/>
  <c r="K298" i="12"/>
  <c r="K139" i="12"/>
  <c r="K305" i="12"/>
  <c r="K161" i="12"/>
  <c r="K289" i="12"/>
  <c r="K166" i="12"/>
  <c r="K281" i="12"/>
  <c r="K295" i="12"/>
  <c r="K71" i="12"/>
  <c r="K185" i="12"/>
  <c r="K140" i="12"/>
  <c r="K52" i="12"/>
  <c r="K16" i="12"/>
  <c r="K8" i="12"/>
  <c r="K133" i="12"/>
  <c r="K25" i="12"/>
  <c r="K145" i="12"/>
  <c r="K233" i="12"/>
  <c r="K268" i="12"/>
  <c r="K277" i="12"/>
  <c r="K37" i="12"/>
  <c r="K27" i="12"/>
  <c r="K293" i="12"/>
  <c r="K193" i="12"/>
  <c r="K195" i="12"/>
  <c r="K267" i="12"/>
  <c r="K151" i="12"/>
  <c r="K300" i="12"/>
  <c r="K107" i="12"/>
  <c r="K189" i="12"/>
  <c r="K12" i="12"/>
  <c r="K50" i="12"/>
  <c r="K95" i="12"/>
  <c r="K134" i="12"/>
  <c r="K79" i="12"/>
  <c r="K313" i="12"/>
  <c r="K11" i="12"/>
  <c r="J263" i="25"/>
  <c r="J203" i="25"/>
  <c r="J234" i="25"/>
  <c r="J197" i="25"/>
  <c r="J42" i="25"/>
  <c r="J80" i="25"/>
  <c r="J45" i="25"/>
  <c r="E37" i="48"/>
  <c r="J117" i="25"/>
  <c r="J141" i="25"/>
  <c r="J97" i="25"/>
  <c r="J39" i="25"/>
  <c r="J40" i="25"/>
  <c r="J248" i="25"/>
  <c r="J67" i="25"/>
  <c r="J269" i="25"/>
  <c r="J83" i="25"/>
  <c r="J102" i="25"/>
  <c r="J225" i="25"/>
  <c r="J15" i="25"/>
  <c r="J273" i="25"/>
  <c r="J291" i="25"/>
  <c r="J71" i="25"/>
  <c r="J191" i="25"/>
  <c r="J171" i="25"/>
  <c r="J247" i="25"/>
  <c r="J213" i="25"/>
  <c r="J156" i="25"/>
  <c r="J70" i="25"/>
  <c r="J46" i="25"/>
  <c r="J289" i="25"/>
  <c r="J172" i="25"/>
  <c r="J214" i="25"/>
  <c r="J266" i="25"/>
  <c r="J63" i="25"/>
  <c r="J36" i="25"/>
  <c r="J310" i="25"/>
  <c r="J280" i="25"/>
  <c r="J298" i="25"/>
  <c r="J312" i="25"/>
  <c r="J96" i="25"/>
  <c r="J245" i="25"/>
  <c r="J78" i="25"/>
  <c r="J56" i="25"/>
  <c r="J293" i="25"/>
  <c r="J164" i="25"/>
  <c r="J178" i="25"/>
  <c r="J138" i="25"/>
  <c r="J285" i="25"/>
  <c r="J226" i="25"/>
  <c r="J306" i="25"/>
  <c r="J86" i="25"/>
  <c r="J179" i="25"/>
  <c r="J148" i="25"/>
  <c r="J184" i="25"/>
  <c r="J111" i="25"/>
  <c r="J43" i="25"/>
  <c r="J219" i="25"/>
  <c r="J250" i="25"/>
  <c r="J94" i="25"/>
  <c r="J186" i="25"/>
  <c r="J242" i="25"/>
  <c r="J55" i="25"/>
  <c r="J192" i="25"/>
  <c r="J124" i="25"/>
  <c r="J54" i="25"/>
  <c r="J14" i="25"/>
  <c r="J262" i="25"/>
  <c r="J216" i="25"/>
  <c r="J302" i="25"/>
  <c r="J233" i="25"/>
  <c r="J176" i="25"/>
  <c r="J277" i="25"/>
  <c r="J204" i="25"/>
  <c r="J309" i="25"/>
  <c r="J66" i="25"/>
  <c r="J193" i="25"/>
  <c r="J215" i="25"/>
  <c r="J284" i="25"/>
  <c r="J58" i="25"/>
  <c r="J297" i="25"/>
  <c r="J125" i="25"/>
  <c r="J166" i="25"/>
  <c r="J19" i="25"/>
  <c r="J195" i="25"/>
  <c r="J85" i="25"/>
  <c r="J101" i="25"/>
  <c r="J127" i="25"/>
  <c r="J314" i="25"/>
  <c r="J299" i="25"/>
  <c r="J209" i="25"/>
  <c r="J131" i="25"/>
  <c r="J265" i="25"/>
  <c r="J251" i="25"/>
  <c r="J275" i="25"/>
  <c r="J182" i="25"/>
  <c r="J292" i="25"/>
  <c r="J201" i="25"/>
  <c r="J161" i="25"/>
  <c r="J256" i="25"/>
  <c r="J93" i="25"/>
  <c r="J108" i="25"/>
  <c r="J99" i="25"/>
  <c r="J23" i="25"/>
  <c r="J287" i="25"/>
  <c r="J174" i="25"/>
  <c r="J205" i="25"/>
  <c r="J249" i="25"/>
  <c r="J59" i="25"/>
  <c r="J65" i="25"/>
  <c r="J49" i="25"/>
  <c r="J181" i="25"/>
  <c r="J109" i="25"/>
  <c r="J286" i="25"/>
  <c r="J194" i="25"/>
  <c r="J313" i="25"/>
  <c r="J307" i="25"/>
  <c r="J158" i="25"/>
  <c r="J221" i="25"/>
  <c r="J48" i="25"/>
  <c r="J87" i="25"/>
  <c r="J200" i="25"/>
  <c r="J44" i="25"/>
  <c r="J218" i="25"/>
  <c r="J281" i="25"/>
  <c r="J149" i="25"/>
  <c r="J160" i="25"/>
  <c r="J113" i="25"/>
  <c r="J308" i="25"/>
  <c r="J132" i="25"/>
  <c r="J232" i="25"/>
  <c r="J95" i="25"/>
  <c r="J144" i="25"/>
  <c r="J106" i="25"/>
  <c r="J72" i="25"/>
  <c r="J82" i="25"/>
  <c r="J26" i="25"/>
  <c r="J104" i="25"/>
  <c r="J118" i="25"/>
  <c r="J282" i="25"/>
  <c r="J34" i="25"/>
  <c r="J73" i="25"/>
  <c r="J129" i="25"/>
  <c r="J88" i="25"/>
  <c r="J288" i="25"/>
  <c r="J173" i="25"/>
  <c r="J190" i="25"/>
  <c r="J175" i="25"/>
  <c r="J168" i="25"/>
  <c r="J142" i="25"/>
  <c r="J133" i="25"/>
  <c r="J91" i="25"/>
  <c r="J304" i="25"/>
  <c r="J301" i="25"/>
  <c r="J217" i="25"/>
  <c r="J29" i="25"/>
  <c r="J157" i="25"/>
  <c r="J152" i="25"/>
  <c r="J276" i="25"/>
  <c r="J198" i="25"/>
  <c r="J258" i="25"/>
  <c r="J147" i="25"/>
  <c r="J283" i="25"/>
  <c r="J260" i="25"/>
  <c r="J246" i="25"/>
  <c r="J208" i="25"/>
  <c r="J64" i="25"/>
  <c r="J103" i="25"/>
  <c r="J47" i="25"/>
  <c r="J140" i="25"/>
  <c r="J268" i="25"/>
  <c r="J210" i="25"/>
  <c r="J30" i="25"/>
  <c r="J261" i="25"/>
  <c r="J170" i="25"/>
  <c r="J202" i="25"/>
  <c r="H314" i="12"/>
  <c r="N68" i="13"/>
  <c r="O68" i="13" s="1"/>
  <c r="P68" i="13" s="1"/>
  <c r="Q68" i="13" s="1"/>
  <c r="K68" i="25" s="1"/>
  <c r="N53" i="13"/>
  <c r="O53" i="13" s="1"/>
  <c r="P53" i="13" s="1"/>
  <c r="Q53" i="13" s="1"/>
  <c r="N232" i="13"/>
  <c r="O232" i="13" s="1"/>
  <c r="P232" i="13" s="1"/>
  <c r="Q232" i="13" s="1"/>
  <c r="K232" i="25" s="1"/>
  <c r="N87" i="13"/>
  <c r="O87" i="13" s="1"/>
  <c r="P87" i="13" s="1"/>
  <c r="Q87" i="13" s="1"/>
  <c r="K87" i="25" s="1"/>
  <c r="N147" i="13"/>
  <c r="O147" i="13" s="1"/>
  <c r="P147" i="13" s="1"/>
  <c r="Q147" i="13" s="1"/>
  <c r="K147" i="25" s="1"/>
  <c r="N268" i="13"/>
  <c r="O268" i="13" s="1"/>
  <c r="P268" i="13" s="1"/>
  <c r="Q268" i="13" s="1"/>
  <c r="K268" i="25" s="1"/>
  <c r="N267" i="13"/>
  <c r="O267" i="13" s="1"/>
  <c r="P267" i="13" s="1"/>
  <c r="Q267" i="13" s="1"/>
  <c r="K267" i="25" s="1"/>
  <c r="N243" i="13"/>
  <c r="O243" i="13" s="1"/>
  <c r="P243" i="13" s="1"/>
  <c r="Q243" i="13" s="1"/>
  <c r="N144" i="13"/>
  <c r="O144" i="13" s="1"/>
  <c r="P144" i="13" s="1"/>
  <c r="Q144" i="13" s="1"/>
  <c r="K144" i="25" s="1"/>
  <c r="N209" i="13"/>
  <c r="O209" i="13" s="1"/>
  <c r="P209" i="13" s="1"/>
  <c r="Q209" i="13" s="1"/>
  <c r="K209" i="25" s="1"/>
  <c r="N127" i="13"/>
  <c r="O127" i="13" s="1"/>
  <c r="P127" i="13" s="1"/>
  <c r="Q127" i="13" s="1"/>
  <c r="K127" i="25" s="1"/>
  <c r="N241" i="13"/>
  <c r="O241" i="13" s="1"/>
  <c r="P241" i="13" s="1"/>
  <c r="Q241" i="13" s="1"/>
  <c r="N95" i="13"/>
  <c r="O95" i="13" s="1"/>
  <c r="P95" i="13" s="1"/>
  <c r="Q95" i="13" s="1"/>
  <c r="K95" i="25" s="1"/>
  <c r="N284" i="13"/>
  <c r="O284" i="13" s="1"/>
  <c r="P284" i="13" s="1"/>
  <c r="Q284" i="13" s="1"/>
  <c r="K284" i="25" s="1"/>
  <c r="N220" i="13"/>
  <c r="O220" i="13" s="1"/>
  <c r="P220" i="13" s="1"/>
  <c r="Q220" i="13" s="1"/>
  <c r="K220" i="25" s="1"/>
  <c r="N45" i="13"/>
  <c r="O45" i="13" s="1"/>
  <c r="P45" i="13" s="1"/>
  <c r="Q45" i="13" s="1"/>
  <c r="K45" i="25" s="1"/>
  <c r="N306" i="13"/>
  <c r="O306" i="13" s="1"/>
  <c r="P306" i="13" s="1"/>
  <c r="Q306" i="13" s="1"/>
  <c r="K306" i="25" s="1"/>
  <c r="H5" i="39"/>
  <c r="I5" i="39" s="1"/>
  <c r="J5" i="39" s="1"/>
  <c r="N314" i="13"/>
  <c r="O314" i="13" s="1"/>
  <c r="P314" i="13" s="1"/>
  <c r="Q314" i="13" s="1"/>
  <c r="N8" i="13"/>
  <c r="O8" i="13" s="1"/>
  <c r="P8" i="13" s="1"/>
  <c r="Q8" i="13" s="1"/>
  <c r="K8" i="25" s="1"/>
  <c r="N199" i="13"/>
  <c r="O199" i="13" s="1"/>
  <c r="P199" i="13" s="1"/>
  <c r="Q199" i="13" s="1"/>
  <c r="N260" i="13"/>
  <c r="O260" i="13" s="1"/>
  <c r="P260" i="13" s="1"/>
  <c r="Q260" i="13" s="1"/>
  <c r="K260" i="25" s="1"/>
  <c r="N81" i="13"/>
  <c r="O81" i="13" s="1"/>
  <c r="P81" i="13" s="1"/>
  <c r="Q81" i="13" s="1"/>
  <c r="N93" i="13"/>
  <c r="O93" i="13" s="1"/>
  <c r="P93" i="13" s="1"/>
  <c r="Q93" i="13" s="1"/>
  <c r="K93" i="25" s="1"/>
  <c r="N140" i="13"/>
  <c r="O140" i="13" s="1"/>
  <c r="P140" i="13" s="1"/>
  <c r="Q140" i="13" s="1"/>
  <c r="K140" i="25" s="1"/>
  <c r="N196" i="13"/>
  <c r="O196" i="13" s="1"/>
  <c r="P196" i="13" s="1"/>
  <c r="Q196" i="13" s="1"/>
  <c r="N297" i="13"/>
  <c r="O297" i="13" s="1"/>
  <c r="P297" i="13" s="1"/>
  <c r="Q297" i="13" s="1"/>
  <c r="K297" i="25" s="1"/>
  <c r="N181" i="13"/>
  <c r="O181" i="13" s="1"/>
  <c r="P181" i="13" s="1"/>
  <c r="Q181" i="13" s="1"/>
  <c r="N128" i="13"/>
  <c r="O128" i="13" s="1"/>
  <c r="P128" i="13" s="1"/>
  <c r="Q128" i="13" s="1"/>
  <c r="N43" i="13"/>
  <c r="O43" i="13" s="1"/>
  <c r="P43" i="13" s="1"/>
  <c r="Q43" i="13" s="1"/>
  <c r="N167" i="13"/>
  <c r="O167" i="13" s="1"/>
  <c r="P167" i="13" s="1"/>
  <c r="Q167" i="13" s="1"/>
  <c r="K167" i="25" s="1"/>
  <c r="N165" i="13"/>
  <c r="O165" i="13" s="1"/>
  <c r="P165" i="13" s="1"/>
  <c r="Q165" i="13" s="1"/>
  <c r="K165" i="25" s="1"/>
  <c r="N183" i="13"/>
  <c r="O183" i="13" s="1"/>
  <c r="P183" i="13" s="1"/>
  <c r="Q183" i="13" s="1"/>
  <c r="N157" i="13"/>
  <c r="O157" i="13" s="1"/>
  <c r="P157" i="13" s="1"/>
  <c r="Q157" i="13" s="1"/>
  <c r="N18" i="13"/>
  <c r="O18" i="13" s="1"/>
  <c r="P18" i="13" s="1"/>
  <c r="Q18" i="13" s="1"/>
  <c r="K18" i="25" s="1"/>
  <c r="N121" i="13"/>
  <c r="O121" i="13" s="1"/>
  <c r="P121" i="13" s="1"/>
  <c r="Q121" i="13" s="1"/>
  <c r="K121" i="25" s="1"/>
  <c r="N60" i="13"/>
  <c r="O60" i="13" s="1"/>
  <c r="P60" i="13" s="1"/>
  <c r="Q60" i="13" s="1"/>
  <c r="N197" i="13"/>
  <c r="O197" i="13" s="1"/>
  <c r="P197" i="13" s="1"/>
  <c r="Q197" i="13" s="1"/>
  <c r="K197" i="25" s="1"/>
  <c r="N117" i="13"/>
  <c r="O117" i="13" s="1"/>
  <c r="P117" i="13" s="1"/>
  <c r="Q117" i="13" s="1"/>
  <c r="N75" i="13"/>
  <c r="O75" i="13" s="1"/>
  <c r="P75" i="13" s="1"/>
  <c r="Q75" i="13" s="1"/>
  <c r="N109" i="13"/>
  <c r="O109" i="13" s="1"/>
  <c r="P109" i="13" s="1"/>
  <c r="Q109" i="13" s="1"/>
  <c r="N15" i="13"/>
  <c r="O15" i="13" s="1"/>
  <c r="P15" i="13" s="1"/>
  <c r="Q15" i="13" s="1"/>
  <c r="N278" i="13"/>
  <c r="O278" i="13" s="1"/>
  <c r="P278" i="13" s="1"/>
  <c r="Q278" i="13" s="1"/>
  <c r="K278" i="25" s="1"/>
  <c r="N169" i="13"/>
  <c r="O169" i="13" s="1"/>
  <c r="P169" i="13" s="1"/>
  <c r="Q169" i="13" s="1"/>
  <c r="N129" i="13"/>
  <c r="O129" i="13" s="1"/>
  <c r="P129" i="13" s="1"/>
  <c r="Q129" i="13" s="1"/>
  <c r="N160" i="13"/>
  <c r="O160" i="13" s="1"/>
  <c r="P160" i="13" s="1"/>
  <c r="Q160" i="13" s="1"/>
  <c r="K160" i="25" s="1"/>
  <c r="N171" i="13"/>
  <c r="O171" i="13" s="1"/>
  <c r="P171" i="13" s="1"/>
  <c r="Q171" i="13" s="1"/>
  <c r="N228" i="13"/>
  <c r="O228" i="13" s="1"/>
  <c r="P228" i="13" s="1"/>
  <c r="Q228" i="13" s="1"/>
  <c r="K228" i="25" s="1"/>
  <c r="N233" i="13"/>
  <c r="O233" i="13" s="1"/>
  <c r="P233" i="13" s="1"/>
  <c r="Q233" i="13" s="1"/>
  <c r="K233" i="25" s="1"/>
  <c r="N152" i="13"/>
  <c r="O152" i="13" s="1"/>
  <c r="P152" i="13" s="1"/>
  <c r="Q152" i="13" s="1"/>
  <c r="N175" i="13"/>
  <c r="O175" i="13" s="1"/>
  <c r="P175" i="13" s="1"/>
  <c r="Q175" i="13" s="1"/>
  <c r="K175" i="25" s="1"/>
  <c r="N184" i="13"/>
  <c r="O184" i="13" s="1"/>
  <c r="P184" i="13" s="1"/>
  <c r="Q184" i="13" s="1"/>
  <c r="N288" i="13"/>
  <c r="O288" i="13" s="1"/>
  <c r="P288" i="13" s="1"/>
  <c r="Q288" i="13" s="1"/>
  <c r="N211" i="13"/>
  <c r="O211" i="13" s="1"/>
  <c r="P211" i="13" s="1"/>
  <c r="Q211" i="13" s="1"/>
  <c r="N51" i="13"/>
  <c r="O51" i="13" s="1"/>
  <c r="P51" i="13" s="1"/>
  <c r="Q51" i="13" s="1"/>
  <c r="K51" i="25" s="1"/>
  <c r="N303" i="13"/>
  <c r="O303" i="13" s="1"/>
  <c r="P303" i="13" s="1"/>
  <c r="Q303" i="13" s="1"/>
  <c r="K303" i="25" s="1"/>
  <c r="N299" i="13"/>
  <c r="O299" i="13" s="1"/>
  <c r="P299" i="13" s="1"/>
  <c r="Q299" i="13" s="1"/>
  <c r="N134" i="13"/>
  <c r="O134" i="13" s="1"/>
  <c r="P134" i="13" s="1"/>
  <c r="Q134" i="13" s="1"/>
  <c r="N94" i="13"/>
  <c r="O94" i="13" s="1"/>
  <c r="P94" i="13" s="1"/>
  <c r="Q94" i="13" s="1"/>
  <c r="N17" i="13"/>
  <c r="O17" i="13" s="1"/>
  <c r="P17" i="13" s="1"/>
  <c r="Q17" i="13" s="1"/>
  <c r="K17" i="25" s="1"/>
  <c r="N229" i="13"/>
  <c r="O229" i="13" s="1"/>
  <c r="P229" i="13" s="1"/>
  <c r="Q229" i="13" s="1"/>
  <c r="N215" i="13"/>
  <c r="O215" i="13" s="1"/>
  <c r="P215" i="13" s="1"/>
  <c r="Q215" i="13" s="1"/>
  <c r="N287" i="13"/>
  <c r="O287" i="13" s="1"/>
  <c r="P287" i="13" s="1"/>
  <c r="Q287" i="13" s="1"/>
  <c r="K287" i="25" s="1"/>
  <c r="N264" i="13"/>
  <c r="O264" i="13" s="1"/>
  <c r="P264" i="13" s="1"/>
  <c r="Q264" i="13" s="1"/>
  <c r="K264" i="25" s="1"/>
  <c r="N282" i="13"/>
  <c r="O282" i="13" s="1"/>
  <c r="P282" i="13" s="1"/>
  <c r="Q282" i="13" s="1"/>
  <c r="N164" i="13"/>
  <c r="O164" i="13" s="1"/>
  <c r="P164" i="13" s="1"/>
  <c r="Q164" i="13" s="1"/>
  <c r="K164" i="25" s="1"/>
  <c r="N31" i="13"/>
  <c r="O31" i="13" s="1"/>
  <c r="P31" i="13" s="1"/>
  <c r="Q31" i="13" s="1"/>
  <c r="N200" i="13"/>
  <c r="O200" i="13" s="1"/>
  <c r="P200" i="13" s="1"/>
  <c r="Q200" i="13" s="1"/>
  <c r="K200" i="25" s="1"/>
  <c r="N304" i="13"/>
  <c r="O304" i="13" s="1"/>
  <c r="P304" i="13" s="1"/>
  <c r="Q304" i="13" s="1"/>
  <c r="K304" i="25" s="1"/>
  <c r="N188" i="13"/>
  <c r="O188" i="13" s="1"/>
  <c r="P188" i="13" s="1"/>
  <c r="Q188" i="13" s="1"/>
  <c r="K188" i="25" s="1"/>
  <c r="N119" i="13"/>
  <c r="O119" i="13" s="1"/>
  <c r="P119" i="13" s="1"/>
  <c r="Q119" i="13" s="1"/>
  <c r="N245" i="13"/>
  <c r="O245" i="13" s="1"/>
  <c r="P245" i="13" s="1"/>
  <c r="Q245" i="13" s="1"/>
  <c r="N302" i="13"/>
  <c r="O302" i="13" s="1"/>
  <c r="P302" i="13" s="1"/>
  <c r="Q302" i="13" s="1"/>
  <c r="K302" i="25" s="1"/>
  <c r="N96" i="13"/>
  <c r="O96" i="13" s="1"/>
  <c r="P96" i="13" s="1"/>
  <c r="Q96" i="13" s="1"/>
  <c r="K96" i="25" s="1"/>
  <c r="N98" i="13"/>
  <c r="O98" i="13" s="1"/>
  <c r="P98" i="13" s="1"/>
  <c r="Q98" i="13" s="1"/>
  <c r="K98" i="25" s="1"/>
  <c r="N307" i="13"/>
  <c r="O307" i="13" s="1"/>
  <c r="P307" i="13" s="1"/>
  <c r="Q307" i="13" s="1"/>
  <c r="K307" i="25" s="1"/>
  <c r="N137" i="13"/>
  <c r="O137" i="13" s="1"/>
  <c r="P137" i="13" s="1"/>
  <c r="Q137" i="13" s="1"/>
  <c r="N138" i="13"/>
  <c r="O138" i="13" s="1"/>
  <c r="P138" i="13" s="1"/>
  <c r="Q138" i="13" s="1"/>
  <c r="N187" i="13"/>
  <c r="O187" i="13" s="1"/>
  <c r="P187" i="13" s="1"/>
  <c r="Q187" i="13" s="1"/>
  <c r="K187" i="25" s="1"/>
  <c r="N42" i="13"/>
  <c r="O42" i="13" s="1"/>
  <c r="P42" i="13" s="1"/>
  <c r="Q42" i="13" s="1"/>
  <c r="K42" i="25" s="1"/>
  <c r="N86" i="13"/>
  <c r="O86" i="13" s="1"/>
  <c r="P86" i="13" s="1"/>
  <c r="Q86" i="13" s="1"/>
  <c r="N111" i="13"/>
  <c r="O111" i="13" s="1"/>
  <c r="P111" i="13" s="1"/>
  <c r="Q111" i="13" s="1"/>
  <c r="N154" i="13"/>
  <c r="O154" i="13" s="1"/>
  <c r="P154" i="13" s="1"/>
  <c r="Q154" i="13" s="1"/>
  <c r="N112" i="13"/>
  <c r="O112" i="13" s="1"/>
  <c r="P112" i="13" s="1"/>
  <c r="Q112" i="13" s="1"/>
  <c r="N279" i="13"/>
  <c r="O279" i="13" s="1"/>
  <c r="P279" i="13" s="1"/>
  <c r="Q279" i="13" s="1"/>
  <c r="N311" i="13"/>
  <c r="O311" i="13" s="1"/>
  <c r="P311" i="13" s="1"/>
  <c r="Q311" i="13" s="1"/>
  <c r="K311" i="25" s="1"/>
  <c r="N280" i="13"/>
  <c r="O280" i="13" s="1"/>
  <c r="P280" i="13" s="1"/>
  <c r="Q280" i="13" s="1"/>
  <c r="K280" i="25" s="1"/>
  <c r="N64" i="13"/>
  <c r="O64" i="13" s="1"/>
  <c r="P64" i="13" s="1"/>
  <c r="Q64" i="13" s="1"/>
  <c r="K64" i="25" s="1"/>
  <c r="N126" i="13"/>
  <c r="O126" i="13" s="1"/>
  <c r="P126" i="13" s="1"/>
  <c r="Q126" i="13" s="1"/>
  <c r="N294" i="13"/>
  <c r="O294" i="13" s="1"/>
  <c r="P294" i="13" s="1"/>
  <c r="Q294" i="13" s="1"/>
  <c r="N77" i="13"/>
  <c r="O77" i="13" s="1"/>
  <c r="P77" i="13" s="1"/>
  <c r="Q77" i="13" s="1"/>
  <c r="N281" i="13"/>
  <c r="O281" i="13" s="1"/>
  <c r="P281" i="13" s="1"/>
  <c r="Q281" i="13" s="1"/>
  <c r="N222" i="13"/>
  <c r="O222" i="13" s="1"/>
  <c r="P222" i="13" s="1"/>
  <c r="Q222" i="13" s="1"/>
  <c r="K222" i="25" s="1"/>
  <c r="N23" i="13"/>
  <c r="O23" i="13" s="1"/>
  <c r="P23" i="13" s="1"/>
  <c r="Q23" i="13" s="1"/>
  <c r="N247" i="13"/>
  <c r="O247" i="13" s="1"/>
  <c r="P247" i="13" s="1"/>
  <c r="Q247" i="13" s="1"/>
  <c r="K247" i="25" s="1"/>
  <c r="N13" i="13"/>
  <c r="O13" i="13" s="1"/>
  <c r="P13" i="13" s="1"/>
  <c r="Q13" i="13" s="1"/>
  <c r="N255" i="13"/>
  <c r="O255" i="13" s="1"/>
  <c r="P255" i="13" s="1"/>
  <c r="Q255" i="13" s="1"/>
  <c r="N218" i="13"/>
  <c r="O218" i="13" s="1"/>
  <c r="P218" i="13" s="1"/>
  <c r="Q218" i="13" s="1"/>
  <c r="N261" i="13"/>
  <c r="O261" i="13" s="1"/>
  <c r="P261" i="13" s="1"/>
  <c r="Q261" i="13" s="1"/>
  <c r="N250" i="13"/>
  <c r="O250" i="13" s="1"/>
  <c r="P250" i="13" s="1"/>
  <c r="Q250" i="13" s="1"/>
  <c r="N22" i="13"/>
  <c r="O22" i="13" s="1"/>
  <c r="P22" i="13" s="1"/>
  <c r="Q22" i="13" s="1"/>
  <c r="K22" i="25" s="1"/>
  <c r="N40" i="13"/>
  <c r="O40" i="13" s="1"/>
  <c r="P40" i="13" s="1"/>
  <c r="Q40" i="13" s="1"/>
  <c r="K40" i="25" s="1"/>
  <c r="N309" i="13"/>
  <c r="O309" i="13" s="1"/>
  <c r="P309" i="13" s="1"/>
  <c r="Q309" i="13" s="1"/>
  <c r="K309" i="25" s="1"/>
  <c r="N33" i="13"/>
  <c r="O33" i="13" s="1"/>
  <c r="P33" i="13" s="1"/>
  <c r="Q33" i="13" s="1"/>
  <c r="N71" i="13"/>
  <c r="O71" i="13" s="1"/>
  <c r="P71" i="13" s="1"/>
  <c r="Q71" i="13" s="1"/>
  <c r="N251" i="13"/>
  <c r="O251" i="13" s="1"/>
  <c r="P251" i="13" s="1"/>
  <c r="Q251" i="13" s="1"/>
  <c r="N191" i="13"/>
  <c r="N11" i="13"/>
  <c r="O11" i="13" s="1"/>
  <c r="P11" i="13" s="1"/>
  <c r="Q11" i="13" s="1"/>
  <c r="N47" i="13"/>
  <c r="O47" i="13" s="1"/>
  <c r="P47" i="13" s="1"/>
  <c r="Q47" i="13" s="1"/>
  <c r="N82" i="13"/>
  <c r="O82" i="13" s="1"/>
  <c r="P82" i="13" s="1"/>
  <c r="Q82" i="13" s="1"/>
  <c r="N159" i="13"/>
  <c r="O159" i="13" s="1"/>
  <c r="P159" i="13" s="1"/>
  <c r="Q159" i="13" s="1"/>
  <c r="N92" i="13"/>
  <c r="O92" i="13" s="1"/>
  <c r="P92" i="13" s="1"/>
  <c r="Q92" i="13" s="1"/>
  <c r="K92" i="25" s="1"/>
  <c r="N113" i="13"/>
  <c r="O113" i="13" s="1"/>
  <c r="P113" i="13" s="1"/>
  <c r="Q113" i="13" s="1"/>
  <c r="K113" i="25" s="1"/>
  <c r="N101" i="13"/>
  <c r="O101" i="13" s="1"/>
  <c r="P101" i="13" s="1"/>
  <c r="Q101" i="13" s="1"/>
  <c r="K101" i="25" s="1"/>
  <c r="N156" i="13"/>
  <c r="O156" i="13" s="1"/>
  <c r="P156" i="13" s="1"/>
  <c r="Q156" i="13" s="1"/>
  <c r="N10" i="13"/>
  <c r="O10" i="13" s="1"/>
  <c r="P10" i="13" s="1"/>
  <c r="Q10" i="13" s="1"/>
  <c r="N100" i="13"/>
  <c r="O100" i="13" s="1"/>
  <c r="P100" i="13" s="1"/>
  <c r="Q100" i="13" s="1"/>
  <c r="K100" i="25" s="1"/>
  <c r="N103" i="13"/>
  <c r="O103" i="13" s="1"/>
  <c r="P103" i="13" s="1"/>
  <c r="Q103" i="13" s="1"/>
  <c r="N37" i="13"/>
  <c r="O37" i="13" s="1"/>
  <c r="P37" i="13" s="1"/>
  <c r="Q37" i="13" s="1"/>
  <c r="N78" i="13"/>
  <c r="O78" i="13" s="1"/>
  <c r="P78" i="13" s="1"/>
  <c r="Q78" i="13" s="1"/>
  <c r="N36" i="13"/>
  <c r="O36" i="13" s="1"/>
  <c r="P36" i="13" s="1"/>
  <c r="Q36" i="13" s="1"/>
  <c r="N274" i="13"/>
  <c r="O274" i="13" s="1"/>
  <c r="P274" i="13" s="1"/>
  <c r="Q274" i="13" s="1"/>
  <c r="K274" i="25" s="1"/>
  <c r="N216" i="13"/>
  <c r="O216" i="13" s="1"/>
  <c r="P216" i="13" s="1"/>
  <c r="Q216" i="13" s="1"/>
  <c r="K216" i="25" s="1"/>
  <c r="N283" i="13"/>
  <c r="O283" i="13" s="1"/>
  <c r="P283" i="13" s="1"/>
  <c r="Q283" i="13" s="1"/>
  <c r="K283" i="25" s="1"/>
  <c r="N242" i="13"/>
  <c r="O242" i="13" s="1"/>
  <c r="P242" i="13" s="1"/>
  <c r="Q242" i="13" s="1"/>
  <c r="N198" i="13"/>
  <c r="O198" i="13" s="1"/>
  <c r="P198" i="13" s="1"/>
  <c r="Q198" i="13" s="1"/>
  <c r="N58" i="13"/>
  <c r="O58" i="13" s="1"/>
  <c r="P58" i="13" s="1"/>
  <c r="Q58" i="13" s="1"/>
  <c r="K58" i="25" s="1"/>
  <c r="N50" i="13"/>
  <c r="O50" i="13" s="1"/>
  <c r="P50" i="13" s="1"/>
  <c r="Q50" i="13" s="1"/>
  <c r="K50" i="25" s="1"/>
  <c r="N62" i="13"/>
  <c r="O62" i="13" s="1"/>
  <c r="P62" i="13" s="1"/>
  <c r="Q62" i="13" s="1"/>
  <c r="K62" i="25" s="1"/>
  <c r="N74" i="13"/>
  <c r="O74" i="13" s="1"/>
  <c r="P74" i="13" s="1"/>
  <c r="Q74" i="13" s="1"/>
  <c r="K74" i="25" s="1"/>
  <c r="N25" i="13"/>
  <c r="O25" i="13" s="1"/>
  <c r="P25" i="13" s="1"/>
  <c r="Q25" i="13" s="1"/>
  <c r="K25" i="25" s="1"/>
  <c r="N99" i="13"/>
  <c r="O99" i="13" s="1"/>
  <c r="P99" i="13" s="1"/>
  <c r="Q99" i="13" s="1"/>
  <c r="N182" i="13"/>
  <c r="O182" i="13" s="1"/>
  <c r="P182" i="13" s="1"/>
  <c r="Q182" i="13" s="1"/>
  <c r="N177" i="13"/>
  <c r="O177" i="13" s="1"/>
  <c r="P177" i="13" s="1"/>
  <c r="Q177" i="13" s="1"/>
  <c r="N55" i="13"/>
  <c r="O55" i="13" s="1"/>
  <c r="P55" i="13" s="1"/>
  <c r="Q55" i="13" s="1"/>
  <c r="N208" i="13"/>
  <c r="O208" i="13" s="1"/>
  <c r="P208" i="13" s="1"/>
  <c r="Q208" i="13" s="1"/>
  <c r="N225" i="13"/>
  <c r="O225" i="13" s="1"/>
  <c r="P225" i="13" s="1"/>
  <c r="Q225" i="13" s="1"/>
  <c r="N168" i="13"/>
  <c r="O168" i="13" s="1"/>
  <c r="P168" i="13" s="1"/>
  <c r="Q168" i="13" s="1"/>
  <c r="K168" i="25" s="1"/>
  <c r="N301" i="13"/>
  <c r="O301" i="13" s="1"/>
  <c r="P301" i="13" s="1"/>
  <c r="Q301" i="13" s="1"/>
  <c r="N88" i="13"/>
  <c r="O88" i="13" s="1"/>
  <c r="P88" i="13" s="1"/>
  <c r="Q88" i="13" s="1"/>
  <c r="K88" i="25" s="1"/>
  <c r="N54" i="13"/>
  <c r="O54" i="13" s="1"/>
  <c r="P54" i="13" s="1"/>
  <c r="Q54" i="13" s="1"/>
  <c r="K54" i="25" s="1"/>
  <c r="N46" i="13"/>
  <c r="O46" i="13" s="1"/>
  <c r="P46" i="13" s="1"/>
  <c r="Q46" i="13" s="1"/>
  <c r="K46" i="25" s="1"/>
  <c r="N237" i="13"/>
  <c r="O237" i="13" s="1"/>
  <c r="P237" i="13" s="1"/>
  <c r="Q237" i="13" s="1"/>
  <c r="K237" i="25" s="1"/>
  <c r="N148" i="13"/>
  <c r="O148" i="13" s="1"/>
  <c r="P148" i="13" s="1"/>
  <c r="Q148" i="13" s="1"/>
  <c r="K148" i="25" s="1"/>
  <c r="N179" i="13"/>
  <c r="O179" i="13" s="1"/>
  <c r="P179" i="13" s="1"/>
  <c r="Q179" i="13" s="1"/>
  <c r="K179" i="25" s="1"/>
  <c r="N253" i="13"/>
  <c r="O253" i="13" s="1"/>
  <c r="P253" i="13" s="1"/>
  <c r="Q253" i="13" s="1"/>
  <c r="K253" i="25" s="1"/>
  <c r="N49" i="13"/>
  <c r="O49" i="13" s="1"/>
  <c r="P49" i="13" s="1"/>
  <c r="Q49" i="13" s="1"/>
  <c r="N158" i="13"/>
  <c r="O158" i="13" s="1"/>
  <c r="P158" i="13" s="1"/>
  <c r="Q158" i="13" s="1"/>
  <c r="K158" i="25" s="1"/>
  <c r="N272" i="13"/>
  <c r="O272" i="13" s="1"/>
  <c r="P272" i="13" s="1"/>
  <c r="Q272" i="13" s="1"/>
  <c r="K272" i="25" s="1"/>
  <c r="N227" i="13"/>
  <c r="O227" i="13" s="1"/>
  <c r="P227" i="13" s="1"/>
  <c r="Q227" i="13" s="1"/>
  <c r="K227" i="25" s="1"/>
  <c r="N295" i="13"/>
  <c r="O295" i="13" s="1"/>
  <c r="P295" i="13" s="1"/>
  <c r="Q295" i="13" s="1"/>
  <c r="N149" i="13"/>
  <c r="O149" i="13" s="1"/>
  <c r="P149" i="13" s="1"/>
  <c r="Q149" i="13" s="1"/>
  <c r="N186" i="13"/>
  <c r="O186" i="13" s="1"/>
  <c r="P186" i="13" s="1"/>
  <c r="Q186" i="13" s="1"/>
  <c r="N146" i="13"/>
  <c r="O146" i="13" s="1"/>
  <c r="P146" i="13" s="1"/>
  <c r="Q146" i="13" s="1"/>
  <c r="N180" i="13"/>
  <c r="O180" i="13" s="1"/>
  <c r="P180" i="13" s="1"/>
  <c r="Q180" i="13" s="1"/>
  <c r="N308" i="13"/>
  <c r="O308" i="13" s="1"/>
  <c r="P308" i="13" s="1"/>
  <c r="Q308" i="13" s="1"/>
  <c r="N213" i="13"/>
  <c r="O213" i="13" s="1"/>
  <c r="P213" i="13" s="1"/>
  <c r="Q213" i="13" s="1"/>
  <c r="N105" i="13"/>
  <c r="O105" i="13" s="1"/>
  <c r="P105" i="13" s="1"/>
  <c r="Q105" i="13" s="1"/>
  <c r="N206" i="13"/>
  <c r="O206" i="13" s="1"/>
  <c r="P206" i="13" s="1"/>
  <c r="Q206" i="13" s="1"/>
  <c r="N118" i="13"/>
  <c r="O118" i="13" s="1"/>
  <c r="P118" i="13" s="1"/>
  <c r="Q118" i="13" s="1"/>
  <c r="K118" i="25" s="1"/>
  <c r="N161" i="13"/>
  <c r="O161" i="13" s="1"/>
  <c r="P161" i="13" s="1"/>
  <c r="Q161" i="13" s="1"/>
  <c r="K161" i="25" s="1"/>
  <c r="N59" i="13"/>
  <c r="O59" i="13" s="1"/>
  <c r="P59" i="13" s="1"/>
  <c r="Q59" i="13" s="1"/>
  <c r="K59" i="25" s="1"/>
  <c r="N276" i="13"/>
  <c r="O276" i="13" s="1"/>
  <c r="P276" i="13" s="1"/>
  <c r="Q276" i="13" s="1"/>
  <c r="K276" i="25" s="1"/>
  <c r="N20" i="13"/>
  <c r="O20" i="13" s="1"/>
  <c r="P20" i="13" s="1"/>
  <c r="Q20" i="13" s="1"/>
  <c r="K20" i="25" s="1"/>
  <c r="N19" i="13"/>
  <c r="O19" i="13" s="1"/>
  <c r="P19" i="13" s="1"/>
  <c r="Q19" i="13" s="1"/>
  <c r="K19" i="25" s="1"/>
  <c r="N185" i="13"/>
  <c r="O185" i="13" s="1"/>
  <c r="P185" i="13" s="1"/>
  <c r="Q185" i="13" s="1"/>
  <c r="N258" i="13"/>
  <c r="O258" i="13" s="1"/>
  <c r="P258" i="13" s="1"/>
  <c r="Q258" i="13" s="1"/>
  <c r="K258" i="25" s="1"/>
  <c r="N224" i="13"/>
  <c r="O224" i="13" s="1"/>
  <c r="P224" i="13" s="1"/>
  <c r="Q224" i="13" s="1"/>
  <c r="N91" i="13"/>
  <c r="O91" i="13" s="1"/>
  <c r="P91" i="13" s="1"/>
  <c r="Q91" i="13" s="1"/>
  <c r="K91" i="25" s="1"/>
  <c r="N67" i="13"/>
  <c r="O67" i="13" s="1"/>
  <c r="P67" i="13" s="1"/>
  <c r="Q67" i="13" s="1"/>
  <c r="N173" i="13"/>
  <c r="O173" i="13" s="1"/>
  <c r="P173" i="13" s="1"/>
  <c r="Q173" i="13" s="1"/>
  <c r="N142" i="13"/>
  <c r="O142" i="13" s="1"/>
  <c r="P142" i="13" s="1"/>
  <c r="Q142" i="13" s="1"/>
  <c r="N141" i="13"/>
  <c r="O141" i="13" s="1"/>
  <c r="P141" i="13" s="1"/>
  <c r="Q141" i="13" s="1"/>
  <c r="N72" i="13"/>
  <c r="O72" i="13" s="1"/>
  <c r="P72" i="13" s="1"/>
  <c r="Q72" i="13" s="1"/>
  <c r="K72" i="25" s="1"/>
  <c r="N139" i="13"/>
  <c r="O139" i="13" s="1"/>
  <c r="P139" i="13" s="1"/>
  <c r="Q139" i="13" s="1"/>
  <c r="K139" i="25" s="1"/>
  <c r="N189" i="13"/>
  <c r="O189" i="13" s="1"/>
  <c r="P189" i="13" s="1"/>
  <c r="Q189" i="13" s="1"/>
  <c r="K189" i="25" s="1"/>
  <c r="N203" i="13"/>
  <c r="O203" i="13" s="1"/>
  <c r="P203" i="13" s="1"/>
  <c r="Q203" i="13" s="1"/>
  <c r="K203" i="25" s="1"/>
  <c r="N21" i="13"/>
  <c r="O21" i="13" s="1"/>
  <c r="P21" i="13" s="1"/>
  <c r="Q21" i="13" s="1"/>
  <c r="K21" i="25" s="1"/>
  <c r="N257" i="13"/>
  <c r="O257" i="13" s="1"/>
  <c r="P257" i="13" s="1"/>
  <c r="Q257" i="13" s="1"/>
  <c r="K257" i="25" s="1"/>
  <c r="N97" i="13"/>
  <c r="O97" i="13" s="1"/>
  <c r="P97" i="13" s="1"/>
  <c r="Q97" i="13" s="1"/>
  <c r="K97" i="25" s="1"/>
  <c r="N34" i="13"/>
  <c r="O34" i="13" s="1"/>
  <c r="P34" i="13" s="1"/>
  <c r="Q34" i="13" s="1"/>
  <c r="N143" i="13"/>
  <c r="O143" i="13" s="1"/>
  <c r="P143" i="13" s="1"/>
  <c r="Q143" i="13" s="1"/>
  <c r="K143" i="25" s="1"/>
  <c r="N76" i="13"/>
  <c r="O76" i="13" s="1"/>
  <c r="P76" i="13" s="1"/>
  <c r="Q76" i="13" s="1"/>
  <c r="N108" i="13"/>
  <c r="O108" i="13" s="1"/>
  <c r="P108" i="13" s="1"/>
  <c r="Q108" i="13" s="1"/>
  <c r="N16" i="13"/>
  <c r="O16" i="13" s="1"/>
  <c r="P16" i="13" s="1"/>
  <c r="Q16" i="13" s="1"/>
  <c r="N312" i="13"/>
  <c r="O312" i="13" s="1"/>
  <c r="P312" i="13" s="1"/>
  <c r="Q312" i="13" s="1"/>
  <c r="N131" i="13"/>
  <c r="O131" i="13" s="1"/>
  <c r="P131" i="13" s="1"/>
  <c r="Q131" i="13" s="1"/>
  <c r="N212" i="13"/>
  <c r="O212" i="13" s="1"/>
  <c r="P212" i="13" s="1"/>
  <c r="Q212" i="13" s="1"/>
  <c r="N106" i="13"/>
  <c r="O106" i="13" s="1"/>
  <c r="P106" i="13" s="1"/>
  <c r="Q106" i="13" s="1"/>
  <c r="K106" i="25" s="1"/>
  <c r="N28" i="13"/>
  <c r="O28" i="13" s="1"/>
  <c r="P28" i="13" s="1"/>
  <c r="Q28" i="13" s="1"/>
  <c r="K28" i="25" s="1"/>
  <c r="N210" i="13"/>
  <c r="O210" i="13" s="1"/>
  <c r="P210" i="13" s="1"/>
  <c r="Q210" i="13" s="1"/>
  <c r="N155" i="13"/>
  <c r="O155" i="13" s="1"/>
  <c r="P155" i="13" s="1"/>
  <c r="Q155" i="13" s="1"/>
  <c r="K155" i="25" s="1"/>
  <c r="N207" i="13"/>
  <c r="O207" i="13" s="1"/>
  <c r="P207" i="13" s="1"/>
  <c r="Q207" i="13" s="1"/>
  <c r="N122" i="13"/>
  <c r="O122" i="13" s="1"/>
  <c r="P122" i="13" s="1"/>
  <c r="Q122" i="13" s="1"/>
  <c r="N52" i="13"/>
  <c r="O52" i="13" s="1"/>
  <c r="P52" i="13" s="1"/>
  <c r="Q52" i="13" s="1"/>
  <c r="N12" i="13"/>
  <c r="O12" i="13" s="1"/>
  <c r="P12" i="13" s="1"/>
  <c r="Q12" i="13" s="1"/>
  <c r="N85" i="13"/>
  <c r="O85" i="13" s="1"/>
  <c r="P85" i="13" s="1"/>
  <c r="Q85" i="13" s="1"/>
  <c r="N135" i="13"/>
  <c r="O135" i="13" s="1"/>
  <c r="P135" i="13" s="1"/>
  <c r="Q135" i="13" s="1"/>
  <c r="N246" i="13"/>
  <c r="O246" i="13" s="1"/>
  <c r="P246" i="13" s="1"/>
  <c r="Q246" i="13" s="1"/>
  <c r="N150" i="13"/>
  <c r="O150" i="13" s="1"/>
  <c r="P150" i="13" s="1"/>
  <c r="Q150" i="13" s="1"/>
  <c r="N256" i="13"/>
  <c r="O256" i="13" s="1"/>
  <c r="P256" i="13" s="1"/>
  <c r="Q256" i="13" s="1"/>
  <c r="N123" i="13"/>
  <c r="O123" i="13" s="1"/>
  <c r="P123" i="13" s="1"/>
  <c r="Q123" i="13" s="1"/>
  <c r="N201" i="13"/>
  <c r="O201" i="13" s="1"/>
  <c r="P201" i="13" s="1"/>
  <c r="Q201" i="13" s="1"/>
  <c r="N162" i="13"/>
  <c r="O162" i="13" s="1"/>
  <c r="P162" i="13" s="1"/>
  <c r="Q162" i="13" s="1"/>
  <c r="N292" i="13"/>
  <c r="O292" i="13" s="1"/>
  <c r="P292" i="13" s="1"/>
  <c r="Q292" i="13" s="1"/>
  <c r="N259" i="13"/>
  <c r="O259" i="13" s="1"/>
  <c r="P259" i="13" s="1"/>
  <c r="Q259" i="13" s="1"/>
  <c r="N205" i="13"/>
  <c r="O205" i="13" s="1"/>
  <c r="P205" i="13" s="1"/>
  <c r="Q205" i="13" s="1"/>
  <c r="N73" i="13"/>
  <c r="O73" i="13" s="1"/>
  <c r="P73" i="13" s="1"/>
  <c r="Q73" i="13" s="1"/>
  <c r="N57" i="13"/>
  <c r="O57" i="13" s="1"/>
  <c r="P57" i="13" s="1"/>
  <c r="Q57" i="13" s="1"/>
  <c r="N30" i="13"/>
  <c r="O30" i="13" s="1"/>
  <c r="P30" i="13" s="1"/>
  <c r="Q30" i="13" s="1"/>
  <c r="N176" i="13"/>
  <c r="O176" i="13" s="1"/>
  <c r="P176" i="13" s="1"/>
  <c r="Q176" i="13" s="1"/>
  <c r="N39" i="13"/>
  <c r="O39" i="13" s="1"/>
  <c r="P39" i="13" s="1"/>
  <c r="Q39" i="13" s="1"/>
  <c r="N275" i="13"/>
  <c r="O275" i="13" s="1"/>
  <c r="P275" i="13" s="1"/>
  <c r="Q275" i="13" s="1"/>
  <c r="N277" i="13"/>
  <c r="O277" i="13" s="1"/>
  <c r="P277" i="13" s="1"/>
  <c r="Q277" i="13" s="1"/>
  <c r="N266" i="13"/>
  <c r="O266" i="13" s="1"/>
  <c r="P266" i="13" s="1"/>
  <c r="Q266" i="13" s="1"/>
  <c r="N70" i="13"/>
  <c r="O70" i="13" s="1"/>
  <c r="P70" i="13" s="1"/>
  <c r="Q70" i="13" s="1"/>
  <c r="N194" i="13"/>
  <c r="O194" i="13" s="1"/>
  <c r="P194" i="13" s="1"/>
  <c r="Q194" i="13" s="1"/>
  <c r="N239" i="13"/>
  <c r="O239" i="13" s="1"/>
  <c r="P239" i="13" s="1"/>
  <c r="Q239" i="13" s="1"/>
  <c r="N293" i="13"/>
  <c r="O293" i="13" s="1"/>
  <c r="P293" i="13" s="1"/>
  <c r="Q293" i="13" s="1"/>
  <c r="N9" i="13"/>
  <c r="O9" i="13" s="1"/>
  <c r="P9" i="13" s="1"/>
  <c r="Q9" i="13" s="1"/>
  <c r="N238" i="13"/>
  <c r="O238" i="13" s="1"/>
  <c r="P238" i="13" s="1"/>
  <c r="Q238" i="13" s="1"/>
  <c r="N145" i="13"/>
  <c r="O145" i="13" s="1"/>
  <c r="P145" i="13" s="1"/>
  <c r="Q145" i="13" s="1"/>
  <c r="N262" i="13"/>
  <c r="O262" i="13" s="1"/>
  <c r="P262" i="13" s="1"/>
  <c r="Q262" i="13" s="1"/>
  <c r="N271" i="13"/>
  <c r="O271" i="13" s="1"/>
  <c r="P271" i="13" s="1"/>
  <c r="Q271" i="13" s="1"/>
  <c r="N114" i="13"/>
  <c r="O114" i="13" s="1"/>
  <c r="P114" i="13" s="1"/>
  <c r="Q114" i="13" s="1"/>
  <c r="N285" i="13"/>
  <c r="O285" i="13" s="1"/>
  <c r="P285" i="13" s="1"/>
  <c r="Q285" i="13" s="1"/>
  <c r="N48" i="13"/>
  <c r="O48" i="13" s="1"/>
  <c r="P48" i="13" s="1"/>
  <c r="Q48" i="13" s="1"/>
  <c r="N89" i="13"/>
  <c r="O89" i="13" s="1"/>
  <c r="P89" i="13" s="1"/>
  <c r="Q89" i="13" s="1"/>
  <c r="N38" i="13"/>
  <c r="O38" i="13" s="1"/>
  <c r="P38" i="13" s="1"/>
  <c r="Q38" i="13" s="1"/>
  <c r="N202" i="13"/>
  <c r="O202" i="13" s="1"/>
  <c r="P202" i="13" s="1"/>
  <c r="Q202" i="13" s="1"/>
  <c r="N190" i="13"/>
  <c r="O190" i="13" s="1"/>
  <c r="P190" i="13" s="1"/>
  <c r="Q190" i="13" s="1"/>
  <c r="N110" i="13"/>
  <c r="O110" i="13" s="1"/>
  <c r="P110" i="13" s="1"/>
  <c r="Q110" i="13" s="1"/>
  <c r="N7" i="13"/>
  <c r="O7" i="13" s="1"/>
  <c r="P7" i="13" s="1"/>
  <c r="Q7" i="13" s="1"/>
  <c r="N234" i="13"/>
  <c r="O234" i="13" s="1"/>
  <c r="P234" i="13" s="1"/>
  <c r="Q234" i="13" s="1"/>
  <c r="N153" i="13"/>
  <c r="O153" i="13" s="1"/>
  <c r="P153" i="13" s="1"/>
  <c r="Q153" i="13" s="1"/>
  <c r="N236" i="13"/>
  <c r="O236" i="13" s="1"/>
  <c r="P236" i="13" s="1"/>
  <c r="Q236" i="13" s="1"/>
  <c r="N270" i="13"/>
  <c r="O270" i="13" s="1"/>
  <c r="P270" i="13" s="1"/>
  <c r="Q270" i="13" s="1"/>
  <c r="N214" i="13"/>
  <c r="O214" i="13" s="1"/>
  <c r="P214" i="13" s="1"/>
  <c r="Q214" i="13" s="1"/>
  <c r="N231" i="13"/>
  <c r="O231" i="13" s="1"/>
  <c r="P231" i="13" s="1"/>
  <c r="Q231" i="13" s="1"/>
  <c r="N166" i="13"/>
  <c r="O166" i="13" s="1"/>
  <c r="P166" i="13" s="1"/>
  <c r="Q166" i="13" s="1"/>
  <c r="N174" i="13"/>
  <c r="O174" i="13" s="1"/>
  <c r="P174" i="13" s="1"/>
  <c r="Q174" i="13" s="1"/>
  <c r="N290" i="13"/>
  <c r="O290" i="13" s="1"/>
  <c r="P290" i="13" s="1"/>
  <c r="Q290" i="13" s="1"/>
  <c r="N124" i="13"/>
  <c r="O124" i="13" s="1"/>
  <c r="P124" i="13" s="1"/>
  <c r="Q124" i="13" s="1"/>
  <c r="N178" i="13"/>
  <c r="O178" i="13" s="1"/>
  <c r="P178" i="13" s="1"/>
  <c r="Q178" i="13" s="1"/>
  <c r="N115" i="13"/>
  <c r="O115" i="13" s="1"/>
  <c r="P115" i="13" s="1"/>
  <c r="Q115" i="13" s="1"/>
  <c r="N26" i="13"/>
  <c r="O26" i="13" s="1"/>
  <c r="P26" i="13" s="1"/>
  <c r="Q26" i="13" s="1"/>
  <c r="N249" i="13"/>
  <c r="O249" i="13" s="1"/>
  <c r="P249" i="13" s="1"/>
  <c r="Q249" i="13" s="1"/>
  <c r="N69" i="13"/>
  <c r="O69" i="13" s="1"/>
  <c r="P69" i="13" s="1"/>
  <c r="Q69" i="13" s="1"/>
  <c r="N56" i="13"/>
  <c r="O56" i="13" s="1"/>
  <c r="P56" i="13" s="1"/>
  <c r="Q56" i="13" s="1"/>
  <c r="N90" i="13"/>
  <c r="O90" i="13" s="1"/>
  <c r="P90" i="13" s="1"/>
  <c r="Q90" i="13" s="1"/>
  <c r="K90" i="25" s="1"/>
  <c r="N310" i="13"/>
  <c r="O310" i="13" s="1"/>
  <c r="P310" i="13" s="1"/>
  <c r="Q310" i="13" s="1"/>
  <c r="N44" i="13"/>
  <c r="O44" i="13" s="1"/>
  <c r="P44" i="13" s="1"/>
  <c r="Q44" i="13" s="1"/>
  <c r="N172" i="13"/>
  <c r="O172" i="13" s="1"/>
  <c r="P172" i="13" s="1"/>
  <c r="Q172" i="13" s="1"/>
  <c r="N289" i="13"/>
  <c r="O289" i="13" s="1"/>
  <c r="P289" i="13" s="1"/>
  <c r="Q289" i="13" s="1"/>
  <c r="N65" i="13"/>
  <c r="O65" i="13" s="1"/>
  <c r="P65" i="13" s="1"/>
  <c r="Q65" i="13" s="1"/>
  <c r="N192" i="13"/>
  <c r="O192" i="13" s="1"/>
  <c r="P192" i="13" s="1"/>
  <c r="Q192" i="13" s="1"/>
  <c r="N116" i="13"/>
  <c r="O116" i="13" s="1"/>
  <c r="P116" i="13" s="1"/>
  <c r="Q116" i="13" s="1"/>
  <c r="N32" i="13"/>
  <c r="O32" i="13" s="1"/>
  <c r="P32" i="13" s="1"/>
  <c r="Q32" i="13" s="1"/>
  <c r="N84" i="13"/>
  <c r="O84" i="13" s="1"/>
  <c r="P84" i="13" s="1"/>
  <c r="Q84" i="13" s="1"/>
  <c r="N298" i="13"/>
  <c r="O298" i="13" s="1"/>
  <c r="P298" i="13" s="1"/>
  <c r="Q298" i="13" s="1"/>
  <c r="N125" i="13"/>
  <c r="O125" i="13" s="1"/>
  <c r="P125" i="13" s="1"/>
  <c r="Q125" i="13" s="1"/>
  <c r="N104" i="13"/>
  <c r="O104" i="13" s="1"/>
  <c r="P104" i="13" s="1"/>
  <c r="Q104" i="13" s="1"/>
  <c r="N263" i="13"/>
  <c r="O263" i="13" s="1"/>
  <c r="P263" i="13" s="1"/>
  <c r="Q263" i="13" s="1"/>
  <c r="N235" i="13"/>
  <c r="O235" i="13" s="1"/>
  <c r="P235" i="13" s="1"/>
  <c r="Q235" i="13" s="1"/>
  <c r="N226" i="13"/>
  <c r="O226" i="13" s="1"/>
  <c r="P226" i="13" s="1"/>
  <c r="Q226" i="13" s="1"/>
  <c r="N240" i="13"/>
  <c r="O240" i="13" s="1"/>
  <c r="P240" i="13" s="1"/>
  <c r="Q240" i="13" s="1"/>
  <c r="N136" i="13"/>
  <c r="O136" i="13" s="1"/>
  <c r="P136" i="13" s="1"/>
  <c r="Q136" i="13" s="1"/>
  <c r="N221" i="13"/>
  <c r="O221" i="13" s="1"/>
  <c r="P221" i="13" s="1"/>
  <c r="Q221" i="13" s="1"/>
  <c r="N79" i="13"/>
  <c r="O79" i="13" s="1"/>
  <c r="P79" i="13" s="1"/>
  <c r="Q79" i="13" s="1"/>
  <c r="N24" i="13"/>
  <c r="O24" i="13" s="1"/>
  <c r="P24" i="13" s="1"/>
  <c r="Q24" i="13" s="1"/>
  <c r="N63" i="13"/>
  <c r="O63" i="13" s="1"/>
  <c r="P63" i="13" s="1"/>
  <c r="Q63" i="13" s="1"/>
  <c r="N217" i="13"/>
  <c r="O217" i="13" s="1"/>
  <c r="P217" i="13" s="1"/>
  <c r="Q217" i="13" s="1"/>
  <c r="N305" i="13"/>
  <c r="O305" i="13" s="1"/>
  <c r="P305" i="13" s="1"/>
  <c r="Q305" i="13" s="1"/>
  <c r="N107" i="13"/>
  <c r="O107" i="13" s="1"/>
  <c r="P107" i="13" s="1"/>
  <c r="Q107" i="13" s="1"/>
  <c r="N61" i="13"/>
  <c r="O61" i="13" s="1"/>
  <c r="P61" i="13" s="1"/>
  <c r="Q61" i="13" s="1"/>
  <c r="N14" i="13"/>
  <c r="O14" i="13" s="1"/>
  <c r="P14" i="13" s="1"/>
  <c r="Q14" i="13" s="1"/>
  <c r="N223" i="13"/>
  <c r="O223" i="13" s="1"/>
  <c r="P223" i="13" s="1"/>
  <c r="Q223" i="13" s="1"/>
  <c r="N204" i="13"/>
  <c r="O204" i="13" s="1"/>
  <c r="P204" i="13" s="1"/>
  <c r="Q204" i="13" s="1"/>
  <c r="N286" i="13"/>
  <c r="O286" i="13" s="1"/>
  <c r="P286" i="13" s="1"/>
  <c r="Q286" i="13" s="1"/>
  <c r="N296" i="13"/>
  <c r="O296" i="13" s="1"/>
  <c r="P296" i="13" s="1"/>
  <c r="Q296" i="13" s="1"/>
  <c r="N133" i="13"/>
  <c r="O133" i="13" s="1"/>
  <c r="P133" i="13" s="1"/>
  <c r="Q133" i="13" s="1"/>
  <c r="N41" i="13"/>
  <c r="O41" i="13" s="1"/>
  <c r="P41" i="13" s="1"/>
  <c r="Q41" i="13" s="1"/>
  <c r="N130" i="13"/>
  <c r="O130" i="13" s="1"/>
  <c r="P130" i="13" s="1"/>
  <c r="Q130" i="13" s="1"/>
  <c r="N248" i="13"/>
  <c r="O248" i="13" s="1"/>
  <c r="P248" i="13" s="1"/>
  <c r="Q248" i="13" s="1"/>
  <c r="N265" i="13"/>
  <c r="O265" i="13" s="1"/>
  <c r="P265" i="13" s="1"/>
  <c r="Q265" i="13" s="1"/>
  <c r="N151" i="13"/>
  <c r="O151" i="13" s="1"/>
  <c r="P151" i="13" s="1"/>
  <c r="Q151" i="13" s="1"/>
  <c r="N66" i="13"/>
  <c r="O66" i="13" s="1"/>
  <c r="P66" i="13" s="1"/>
  <c r="Q66" i="13" s="1"/>
  <c r="N27" i="13"/>
  <c r="O27" i="13" s="1"/>
  <c r="P27" i="13" s="1"/>
  <c r="Q27" i="13" s="1"/>
  <c r="N163" i="13"/>
  <c r="O163" i="13" s="1"/>
  <c r="P163" i="13" s="1"/>
  <c r="Q163" i="13" s="1"/>
  <c r="K163" i="25" s="1"/>
  <c r="N35" i="13"/>
  <c r="O35" i="13" s="1"/>
  <c r="P35" i="13" s="1"/>
  <c r="Q35" i="13" s="1"/>
  <c r="N80" i="13"/>
  <c r="O80" i="13" s="1"/>
  <c r="P80" i="13" s="1"/>
  <c r="Q80" i="13" s="1"/>
  <c r="N230" i="13"/>
  <c r="O230" i="13" s="1"/>
  <c r="P230" i="13" s="1"/>
  <c r="Q230" i="13" s="1"/>
  <c r="N313" i="13"/>
  <c r="O313" i="13" s="1"/>
  <c r="P313" i="13" s="1"/>
  <c r="Q313" i="13" s="1"/>
  <c r="N193" i="13"/>
  <c r="O193" i="13" s="1"/>
  <c r="P193" i="13" s="1"/>
  <c r="Q193" i="13" s="1"/>
  <c r="N132" i="13"/>
  <c r="O132" i="13" s="1"/>
  <c r="P132" i="13" s="1"/>
  <c r="Q132" i="13" s="1"/>
  <c r="N300" i="13"/>
  <c r="O300" i="13" s="1"/>
  <c r="P300" i="13" s="1"/>
  <c r="Q300" i="13" s="1"/>
  <c r="N120" i="13"/>
  <c r="O120" i="13" s="1"/>
  <c r="P120" i="13" s="1"/>
  <c r="Q120" i="13" s="1"/>
  <c r="N252" i="13"/>
  <c r="O252" i="13" s="1"/>
  <c r="P252" i="13" s="1"/>
  <c r="Q252" i="13" s="1"/>
  <c r="N29" i="13"/>
  <c r="O29" i="13" s="1"/>
  <c r="P29" i="13" s="1"/>
  <c r="Q29" i="13" s="1"/>
  <c r="N195" i="13"/>
  <c r="O195" i="13" s="1"/>
  <c r="P195" i="13" s="1"/>
  <c r="Q195" i="13" s="1"/>
  <c r="N254" i="13"/>
  <c r="O254" i="13" s="1"/>
  <c r="P254" i="13" s="1"/>
  <c r="Q254" i="13" s="1"/>
  <c r="K254" i="25" s="1"/>
  <c r="N170" i="13"/>
  <c r="O170" i="13" s="1"/>
  <c r="P170" i="13" s="1"/>
  <c r="Q170" i="13" s="1"/>
  <c r="N244" i="13"/>
  <c r="O244" i="13" s="1"/>
  <c r="P244" i="13" s="1"/>
  <c r="Q244" i="13" s="1"/>
  <c r="N219" i="13"/>
  <c r="O219" i="13" s="1"/>
  <c r="D10" i="34"/>
  <c r="D11" i="34" s="1"/>
  <c r="N269" i="13" l="1"/>
  <c r="O269" i="13" s="1"/>
  <c r="P269" i="13" s="1"/>
  <c r="Q269" i="13" s="1"/>
  <c r="K269" i="25" s="1"/>
  <c r="N83" i="13"/>
  <c r="O83" i="13" s="1"/>
  <c r="P83" i="13" s="1"/>
  <c r="Q83" i="13" s="1"/>
  <c r="K83" i="25" s="1"/>
  <c r="N273" i="13"/>
  <c r="O273" i="13" s="1"/>
  <c r="P273" i="13" s="1"/>
  <c r="Q273" i="13" s="1"/>
  <c r="K273" i="25" s="1"/>
  <c r="N102" i="13"/>
  <c r="O102" i="13" s="1"/>
  <c r="P102" i="13" s="1"/>
  <c r="Q102" i="13" s="1"/>
  <c r="K102" i="25" s="1"/>
  <c r="N291" i="13"/>
  <c r="O291" i="13" s="1"/>
  <c r="P291" i="13" s="1"/>
  <c r="Q291" i="13" s="1"/>
  <c r="K291" i="25" s="1"/>
  <c r="R68" i="13"/>
  <c r="S68" i="13" s="1"/>
  <c r="K5" i="12"/>
  <c r="J314" i="39"/>
  <c r="I315" i="25" s="1"/>
  <c r="E38" i="48"/>
  <c r="R232" i="13"/>
  <c r="S232" i="13" s="1"/>
  <c r="R147" i="13"/>
  <c r="S147" i="13" s="1"/>
  <c r="I6" i="25"/>
  <c r="R45" i="13"/>
  <c r="S45" i="13" s="1"/>
  <c r="R144" i="13"/>
  <c r="S144" i="13" s="1"/>
  <c r="R87" i="13"/>
  <c r="S87" i="13" s="1"/>
  <c r="R306" i="13"/>
  <c r="S306" i="13" s="1"/>
  <c r="R209" i="13"/>
  <c r="S209" i="13" s="1"/>
  <c r="R95" i="13"/>
  <c r="S95" i="13" s="1"/>
  <c r="R268" i="13"/>
  <c r="S268" i="13" s="1"/>
  <c r="R267" i="13"/>
  <c r="S267" i="13" s="1"/>
  <c r="R284" i="13"/>
  <c r="S284" i="13" s="1"/>
  <c r="R127" i="13"/>
  <c r="S127" i="13" s="1"/>
  <c r="R220" i="13"/>
  <c r="S220" i="13" s="1"/>
  <c r="O191" i="13"/>
  <c r="P191" i="13" s="1"/>
  <c r="Q191" i="13" s="1"/>
  <c r="K191" i="25" s="1"/>
  <c r="L95" i="25"/>
  <c r="N95" i="25" s="1"/>
  <c r="L257" i="25"/>
  <c r="N257" i="25" s="1"/>
  <c r="L272" i="25"/>
  <c r="N272" i="25" s="1"/>
  <c r="L74" i="25"/>
  <c r="N74" i="25" s="1"/>
  <c r="L164" i="25"/>
  <c r="N164" i="25" s="1"/>
  <c r="L284" i="25"/>
  <c r="N284" i="25" s="1"/>
  <c r="L158" i="25"/>
  <c r="N158" i="25" s="1"/>
  <c r="L254" i="25"/>
  <c r="N254" i="25" s="1"/>
  <c r="L232" i="25"/>
  <c r="N232" i="25" s="1"/>
  <c r="L91" i="25"/>
  <c r="N91" i="25" s="1"/>
  <c r="L276" i="25"/>
  <c r="N276" i="25" s="1"/>
  <c r="L148" i="25"/>
  <c r="N148" i="25" s="1"/>
  <c r="L50" i="25"/>
  <c r="N50" i="25" s="1"/>
  <c r="L283" i="25"/>
  <c r="N283" i="25" s="1"/>
  <c r="L307" i="25"/>
  <c r="N307" i="25" s="1"/>
  <c r="L175" i="25"/>
  <c r="N175" i="25" s="1"/>
  <c r="L160" i="25"/>
  <c r="N160" i="25" s="1"/>
  <c r="L297" i="25"/>
  <c r="N297" i="25" s="1"/>
  <c r="L83" i="25"/>
  <c r="N83" i="25" s="1"/>
  <c r="L163" i="25"/>
  <c r="N163" i="25" s="1"/>
  <c r="L87" i="25"/>
  <c r="N87" i="25" s="1"/>
  <c r="L189" i="25"/>
  <c r="N189" i="25" s="1"/>
  <c r="L59" i="25"/>
  <c r="N59" i="25" s="1"/>
  <c r="L237" i="25"/>
  <c r="N237" i="25" s="1"/>
  <c r="L58" i="25"/>
  <c r="N58" i="25" s="1"/>
  <c r="L216" i="25"/>
  <c r="N216" i="25" s="1"/>
  <c r="L98" i="25"/>
  <c r="N98" i="25" s="1"/>
  <c r="L260" i="25"/>
  <c r="N260" i="25" s="1"/>
  <c r="L68" i="25"/>
  <c r="N68" i="25" s="1"/>
  <c r="L253" i="25"/>
  <c r="N253" i="25" s="1"/>
  <c r="L311" i="25"/>
  <c r="N311" i="25" s="1"/>
  <c r="L140" i="25"/>
  <c r="N140" i="25" s="1"/>
  <c r="L100" i="25"/>
  <c r="N100" i="25" s="1"/>
  <c r="L18" i="25"/>
  <c r="N18" i="25" s="1"/>
  <c r="L209" i="25"/>
  <c r="N209" i="25" s="1"/>
  <c r="L90" i="25"/>
  <c r="N90" i="25" s="1"/>
  <c r="L139" i="25"/>
  <c r="N139" i="25" s="1"/>
  <c r="L274" i="25"/>
  <c r="N274" i="25" s="1"/>
  <c r="L309" i="25"/>
  <c r="N309" i="25" s="1"/>
  <c r="L233" i="25"/>
  <c r="N233" i="25" s="1"/>
  <c r="L165" i="25"/>
  <c r="N165" i="25" s="1"/>
  <c r="L127" i="25"/>
  <c r="N127" i="25" s="1"/>
  <c r="L268" i="25"/>
  <c r="N268" i="25" s="1"/>
  <c r="L144" i="25"/>
  <c r="N144" i="25" s="1"/>
  <c r="L72" i="25"/>
  <c r="N72" i="25" s="1"/>
  <c r="L118" i="25"/>
  <c r="N118" i="25" s="1"/>
  <c r="L54" i="25"/>
  <c r="N54" i="25" s="1"/>
  <c r="L40" i="25"/>
  <c r="N40" i="25" s="1"/>
  <c r="L302" i="25"/>
  <c r="N302" i="25" s="1"/>
  <c r="L304" i="25"/>
  <c r="N304" i="25" s="1"/>
  <c r="L264" i="25"/>
  <c r="N264" i="25" s="1"/>
  <c r="L303" i="25"/>
  <c r="N303" i="25" s="1"/>
  <c r="L278" i="25"/>
  <c r="N278" i="25" s="1"/>
  <c r="L197" i="25"/>
  <c r="N197" i="25" s="1"/>
  <c r="L167" i="25"/>
  <c r="N167" i="25" s="1"/>
  <c r="L168" i="25"/>
  <c r="N168" i="25" s="1"/>
  <c r="L228" i="25"/>
  <c r="N228" i="25" s="1"/>
  <c r="L21" i="25"/>
  <c r="N21" i="25" s="1"/>
  <c r="L62" i="25"/>
  <c r="N62" i="25" s="1"/>
  <c r="L222" i="25"/>
  <c r="N222" i="25" s="1"/>
  <c r="L17" i="25"/>
  <c r="N17" i="25" s="1"/>
  <c r="L155" i="25"/>
  <c r="N155" i="25" s="1"/>
  <c r="L258" i="25"/>
  <c r="N258" i="25" s="1"/>
  <c r="L46" i="25"/>
  <c r="N46" i="25" s="1"/>
  <c r="L101" i="25"/>
  <c r="N101" i="25" s="1"/>
  <c r="L188" i="25"/>
  <c r="N188" i="25" s="1"/>
  <c r="L147" i="25"/>
  <c r="N147" i="25" s="1"/>
  <c r="L267" i="25"/>
  <c r="N267" i="25" s="1"/>
  <c r="L45" i="25"/>
  <c r="N45" i="25" s="1"/>
  <c r="L28" i="25"/>
  <c r="N28" i="25" s="1"/>
  <c r="L143" i="25"/>
  <c r="N143" i="25" s="1"/>
  <c r="L88" i="25"/>
  <c r="N88" i="25" s="1"/>
  <c r="L113" i="25"/>
  <c r="N113" i="25" s="1"/>
  <c r="L22" i="25"/>
  <c r="N22" i="25" s="1"/>
  <c r="L64" i="25"/>
  <c r="N64" i="25" s="1"/>
  <c r="L42" i="25"/>
  <c r="N42" i="25" s="1"/>
  <c r="L200" i="25"/>
  <c r="N200" i="25" s="1"/>
  <c r="L287" i="25"/>
  <c r="N287" i="25" s="1"/>
  <c r="L51" i="25"/>
  <c r="N51" i="25" s="1"/>
  <c r="L8" i="25"/>
  <c r="N8" i="25" s="1"/>
  <c r="L306" i="25"/>
  <c r="N306" i="25" s="1"/>
  <c r="L19" i="25"/>
  <c r="N19" i="25" s="1"/>
  <c r="L25" i="25"/>
  <c r="N25" i="25" s="1"/>
  <c r="L20" i="25"/>
  <c r="N20" i="25" s="1"/>
  <c r="L179" i="25"/>
  <c r="N179" i="25" s="1"/>
  <c r="L93" i="25"/>
  <c r="N93" i="25" s="1"/>
  <c r="L203" i="25"/>
  <c r="N203" i="25" s="1"/>
  <c r="L220" i="25"/>
  <c r="N220" i="25" s="1"/>
  <c r="L161" i="25"/>
  <c r="N161" i="25" s="1"/>
  <c r="L96" i="25"/>
  <c r="N96" i="25" s="1"/>
  <c r="L106" i="25"/>
  <c r="N106" i="25" s="1"/>
  <c r="L97" i="25"/>
  <c r="N97" i="25" s="1"/>
  <c r="L227" i="25"/>
  <c r="N227" i="25" s="1"/>
  <c r="L92" i="25"/>
  <c r="N92" i="25" s="1"/>
  <c r="L247" i="25"/>
  <c r="N247" i="25" s="1"/>
  <c r="L280" i="25"/>
  <c r="N280" i="25" s="1"/>
  <c r="L187" i="25"/>
  <c r="N187" i="25" s="1"/>
  <c r="L121" i="25"/>
  <c r="N121" i="25" s="1"/>
  <c r="R303" i="13"/>
  <c r="S303" i="13" s="1"/>
  <c r="R8" i="13"/>
  <c r="S8" i="13" s="1"/>
  <c r="R278" i="13"/>
  <c r="S278" i="13" s="1"/>
  <c r="R93" i="13"/>
  <c r="S93" i="13" s="1"/>
  <c r="R304" i="13"/>
  <c r="S304" i="13" s="1"/>
  <c r="R167" i="13"/>
  <c r="S167" i="13" s="1"/>
  <c r="R197" i="13"/>
  <c r="S197" i="13" s="1"/>
  <c r="R309" i="13"/>
  <c r="S309" i="13" s="1"/>
  <c r="R165" i="13"/>
  <c r="S165" i="13" s="1"/>
  <c r="R260" i="13"/>
  <c r="S260" i="13" s="1"/>
  <c r="R58" i="13"/>
  <c r="S58" i="13" s="1"/>
  <c r="R233" i="13"/>
  <c r="S233" i="13" s="1"/>
  <c r="R140" i="13"/>
  <c r="S140" i="13" s="1"/>
  <c r="R164" i="13"/>
  <c r="S164" i="13" s="1"/>
  <c r="R96" i="13"/>
  <c r="S96" i="13" s="1"/>
  <c r="R18" i="13"/>
  <c r="S18" i="13" s="1"/>
  <c r="R188" i="13"/>
  <c r="S188" i="13" s="1"/>
  <c r="R237" i="13"/>
  <c r="S237" i="13" s="1"/>
  <c r="R285" i="13"/>
  <c r="S285" i="13" s="1"/>
  <c r="R124" i="13"/>
  <c r="S124" i="13" s="1"/>
  <c r="R305" i="13"/>
  <c r="S305" i="13" s="1"/>
  <c r="R187" i="13"/>
  <c r="S187" i="13" s="1"/>
  <c r="R228" i="13"/>
  <c r="S228" i="13" s="1"/>
  <c r="R297" i="13"/>
  <c r="S297" i="13" s="1"/>
  <c r="R227" i="13"/>
  <c r="S227" i="13" s="1"/>
  <c r="R175" i="13"/>
  <c r="S175" i="13" s="1"/>
  <c r="R98" i="13"/>
  <c r="S98" i="13" s="1"/>
  <c r="R152" i="13"/>
  <c r="S152" i="13" s="1"/>
  <c r="R91" i="13"/>
  <c r="S91" i="13" s="1"/>
  <c r="R311" i="13"/>
  <c r="S311" i="13" s="1"/>
  <c r="R74" i="13"/>
  <c r="S74" i="13" s="1"/>
  <c r="R121" i="13"/>
  <c r="S121" i="13" s="1"/>
  <c r="R17" i="13"/>
  <c r="S17" i="13" s="1"/>
  <c r="R28" i="13"/>
  <c r="S28" i="13" s="1"/>
  <c r="R160" i="13"/>
  <c r="S160" i="13" s="1"/>
  <c r="R100" i="13"/>
  <c r="S100" i="13" s="1"/>
  <c r="R238" i="13"/>
  <c r="S238" i="13" s="1"/>
  <c r="R222" i="13"/>
  <c r="S222" i="13" s="1"/>
  <c r="R287" i="13"/>
  <c r="S287" i="13" s="1"/>
  <c r="R56" i="13"/>
  <c r="S56" i="13" s="1"/>
  <c r="R247" i="13"/>
  <c r="S247" i="13" s="1"/>
  <c r="R302" i="13"/>
  <c r="S302" i="13" s="1"/>
  <c r="R113" i="13"/>
  <c r="S113" i="13" s="1"/>
  <c r="R51" i="13"/>
  <c r="S51" i="13" s="1"/>
  <c r="R280" i="13"/>
  <c r="S280" i="13" s="1"/>
  <c r="R192" i="13"/>
  <c r="S192" i="13" s="1"/>
  <c r="R107" i="13"/>
  <c r="S107" i="13" s="1"/>
  <c r="R264" i="13"/>
  <c r="S264" i="13" s="1"/>
  <c r="R88" i="13"/>
  <c r="S88" i="13" s="1"/>
  <c r="R70" i="13"/>
  <c r="S70" i="13" s="1"/>
  <c r="R283" i="13"/>
  <c r="S283" i="13" s="1"/>
  <c r="R59" i="13"/>
  <c r="S59" i="13" s="1"/>
  <c r="R31" i="13"/>
  <c r="S31" i="13" s="1"/>
  <c r="R9" i="13"/>
  <c r="S9" i="13" s="1"/>
  <c r="R64" i="13"/>
  <c r="S64" i="13" s="1"/>
  <c r="R216" i="13"/>
  <c r="S216" i="13" s="1"/>
  <c r="R174" i="13"/>
  <c r="S174" i="13" s="1"/>
  <c r="R143" i="13"/>
  <c r="S143" i="13" s="1"/>
  <c r="R189" i="13"/>
  <c r="S189" i="13" s="1"/>
  <c r="R50" i="13"/>
  <c r="S50" i="13" s="1"/>
  <c r="R146" i="13"/>
  <c r="S146" i="13" s="1"/>
  <c r="R42" i="13"/>
  <c r="S42" i="13" s="1"/>
  <c r="R22" i="13"/>
  <c r="S22" i="13" s="1"/>
  <c r="R52" i="13"/>
  <c r="S52" i="13" s="1"/>
  <c r="R307" i="13"/>
  <c r="S307" i="13" s="1"/>
  <c r="R200" i="13"/>
  <c r="S200" i="13" s="1"/>
  <c r="R150" i="13"/>
  <c r="S150" i="13" s="1"/>
  <c r="R274" i="13"/>
  <c r="S274" i="13" s="1"/>
  <c r="R132" i="13"/>
  <c r="S132" i="13" s="1"/>
  <c r="R168" i="13"/>
  <c r="S168" i="13" s="1"/>
  <c r="R92" i="13"/>
  <c r="S92" i="13" s="1"/>
  <c r="R115" i="13"/>
  <c r="S115" i="13" s="1"/>
  <c r="R101" i="13"/>
  <c r="S101" i="13" s="1"/>
  <c r="R130" i="13"/>
  <c r="S130" i="13" s="1"/>
  <c r="R97" i="13"/>
  <c r="S97" i="13" s="1"/>
  <c r="R298" i="13"/>
  <c r="S298" i="13" s="1"/>
  <c r="R217" i="13"/>
  <c r="S217" i="13" s="1"/>
  <c r="R257" i="13"/>
  <c r="S257" i="13" s="1"/>
  <c r="R296" i="13"/>
  <c r="S296" i="13" s="1"/>
  <c r="R106" i="13"/>
  <c r="S106" i="13" s="1"/>
  <c r="R135" i="13"/>
  <c r="S135" i="13" s="1"/>
  <c r="R19" i="13"/>
  <c r="S19" i="13" s="1"/>
  <c r="R190" i="13"/>
  <c r="S190" i="13" s="1"/>
  <c r="R194" i="13"/>
  <c r="S194" i="13" s="1"/>
  <c r="R155" i="13"/>
  <c r="S155" i="13" s="1"/>
  <c r="R252" i="13"/>
  <c r="S252" i="13" s="1"/>
  <c r="R139" i="13"/>
  <c r="S139" i="13" s="1"/>
  <c r="R25" i="13"/>
  <c r="S25" i="13" s="1"/>
  <c r="R250" i="13"/>
  <c r="S250" i="13" s="1"/>
  <c r="R286" i="13"/>
  <c r="S286" i="13" s="1"/>
  <c r="R272" i="13"/>
  <c r="S272" i="13" s="1"/>
  <c r="R277" i="13"/>
  <c r="S277" i="13" s="1"/>
  <c r="R254" i="13"/>
  <c r="S254" i="13" s="1"/>
  <c r="R246" i="13"/>
  <c r="S246" i="13" s="1"/>
  <c r="R62" i="13"/>
  <c r="S62" i="13" s="1"/>
  <c r="R253" i="13"/>
  <c r="S253" i="13" s="1"/>
  <c r="R159" i="13"/>
  <c r="S159" i="13" s="1"/>
  <c r="R40" i="13"/>
  <c r="S40" i="13" s="1"/>
  <c r="R72" i="13"/>
  <c r="S72" i="13" s="1"/>
  <c r="R265" i="13"/>
  <c r="S265" i="13" s="1"/>
  <c r="R39" i="13"/>
  <c r="S39" i="13" s="1"/>
  <c r="R123" i="13"/>
  <c r="S123" i="13" s="1"/>
  <c r="R116" i="13"/>
  <c r="S116" i="13" s="1"/>
  <c r="R20" i="13"/>
  <c r="S20" i="13" s="1"/>
  <c r="R110" i="13"/>
  <c r="S110" i="13" s="1"/>
  <c r="R158" i="13"/>
  <c r="S158" i="13" s="1"/>
  <c r="R248" i="13"/>
  <c r="S248" i="13" s="1"/>
  <c r="R54" i="13"/>
  <c r="S54" i="13" s="1"/>
  <c r="R153" i="13"/>
  <c r="S153" i="13" s="1"/>
  <c r="R90" i="13"/>
  <c r="S90" i="13" s="1"/>
  <c r="R161" i="13"/>
  <c r="S161" i="13" s="1"/>
  <c r="R21" i="13"/>
  <c r="S21" i="13" s="1"/>
  <c r="R27" i="13"/>
  <c r="S27" i="13" s="1"/>
  <c r="R266" i="13"/>
  <c r="S266" i="13" s="1"/>
  <c r="R46" i="13"/>
  <c r="S46" i="13" s="1"/>
  <c r="R262" i="13"/>
  <c r="S262" i="13" s="1"/>
  <c r="R231" i="13"/>
  <c r="S231" i="13" s="1"/>
  <c r="R203" i="13"/>
  <c r="S203" i="13" s="1"/>
  <c r="R48" i="13"/>
  <c r="S48" i="13" s="1"/>
  <c r="R276" i="13"/>
  <c r="S276" i="13" s="1"/>
  <c r="R239" i="13"/>
  <c r="S239" i="13" s="1"/>
  <c r="R204" i="13"/>
  <c r="S204" i="13" s="1"/>
  <c r="R258" i="13"/>
  <c r="S258" i="13" s="1"/>
  <c r="R148" i="13"/>
  <c r="S148" i="13" s="1"/>
  <c r="R118" i="13"/>
  <c r="S118" i="13" s="1"/>
  <c r="R271" i="13"/>
  <c r="S271" i="13" s="1"/>
  <c r="R179" i="13"/>
  <c r="S179" i="13" s="1"/>
  <c r="K122" i="25"/>
  <c r="K65" i="25"/>
  <c r="K259" i="25"/>
  <c r="K289" i="25"/>
  <c r="K79" i="25"/>
  <c r="K14" i="25"/>
  <c r="K310" i="25"/>
  <c r="K80" i="25"/>
  <c r="K57" i="25"/>
  <c r="K44" i="25"/>
  <c r="K38" i="25"/>
  <c r="K32" i="25"/>
  <c r="K270" i="25"/>
  <c r="K240" i="25"/>
  <c r="K145" i="25"/>
  <c r="K99" i="25"/>
  <c r="K112" i="25"/>
  <c r="K105" i="25"/>
  <c r="K199" i="25"/>
  <c r="K131" i="25"/>
  <c r="K60" i="25"/>
  <c r="K134" i="25"/>
  <c r="K263" i="25"/>
  <c r="K53" i="25"/>
  <c r="K23" i="25"/>
  <c r="K243" i="25"/>
  <c r="K301" i="25"/>
  <c r="R151" i="13"/>
  <c r="S151" i="13" s="1"/>
  <c r="R275" i="13"/>
  <c r="S275" i="13" s="1"/>
  <c r="K174" i="25"/>
  <c r="K244" i="25"/>
  <c r="K29" i="25"/>
  <c r="K26" i="25"/>
  <c r="K178" i="25"/>
  <c r="K236" i="25"/>
  <c r="K238" i="25"/>
  <c r="K73" i="25"/>
  <c r="K214" i="25"/>
  <c r="K171" i="25"/>
  <c r="K162" i="25"/>
  <c r="K109" i="25"/>
  <c r="K185" i="25"/>
  <c r="K77" i="25"/>
  <c r="K308" i="25"/>
  <c r="R234" i="13"/>
  <c r="S234" i="13" s="1"/>
  <c r="K34" i="25"/>
  <c r="K33" i="25"/>
  <c r="K295" i="25"/>
  <c r="K186" i="25"/>
  <c r="K218" i="25"/>
  <c r="K192" i="25"/>
  <c r="R114" i="13"/>
  <c r="S114" i="13" s="1"/>
  <c r="K166" i="25"/>
  <c r="K10" i="25"/>
  <c r="R236" i="13"/>
  <c r="S236" i="13" s="1"/>
  <c r="K170" i="25"/>
  <c r="K252" i="25"/>
  <c r="K130" i="25"/>
  <c r="K124" i="25"/>
  <c r="K153" i="25"/>
  <c r="K190" i="25"/>
  <c r="K9" i="25"/>
  <c r="K277" i="25"/>
  <c r="K123" i="25"/>
  <c r="K150" i="25"/>
  <c r="K135" i="25"/>
  <c r="K245" i="25"/>
  <c r="K128" i="25"/>
  <c r="K154" i="25"/>
  <c r="K279" i="25"/>
  <c r="K300" i="25"/>
  <c r="K249" i="25"/>
  <c r="K229" i="25"/>
  <c r="K213" i="25"/>
  <c r="K37" i="25"/>
  <c r="K183" i="25"/>
  <c r="K108" i="25"/>
  <c r="K169" i="25"/>
  <c r="K75" i="25"/>
  <c r="K7" i="25"/>
  <c r="K151" i="25"/>
  <c r="K290" i="25"/>
  <c r="K271" i="25"/>
  <c r="K85" i="25"/>
  <c r="K15" i="25"/>
  <c r="K225" i="25"/>
  <c r="K313" i="25"/>
  <c r="K177" i="25"/>
  <c r="K71" i="25"/>
  <c r="K86" i="25"/>
  <c r="K314" i="25"/>
  <c r="K82" i="25"/>
  <c r="R193" i="13"/>
  <c r="S193" i="13" s="1"/>
  <c r="R249" i="13"/>
  <c r="S249" i="13" s="1"/>
  <c r="K256" i="25"/>
  <c r="R29" i="13"/>
  <c r="S29" i="13" s="1"/>
  <c r="K146" i="25"/>
  <c r="K133" i="25"/>
  <c r="K239" i="25"/>
  <c r="K282" i="25"/>
  <c r="K149" i="25"/>
  <c r="K196" i="25"/>
  <c r="K138" i="25"/>
  <c r="K294" i="25"/>
  <c r="K24" i="25"/>
  <c r="K235" i="25"/>
  <c r="R290" i="13"/>
  <c r="S290" i="13" s="1"/>
  <c r="K63" i="25"/>
  <c r="K142" i="25"/>
  <c r="K251" i="25"/>
  <c r="R85" i="13"/>
  <c r="S85" i="13" s="1"/>
  <c r="K288" i="25"/>
  <c r="K13" i="25"/>
  <c r="K184" i="25"/>
  <c r="K312" i="25"/>
  <c r="R195" i="13"/>
  <c r="S195" i="13" s="1"/>
  <c r="R120" i="13"/>
  <c r="S120" i="13" s="1"/>
  <c r="K129" i="25"/>
  <c r="R66" i="13"/>
  <c r="S66" i="13" s="1"/>
  <c r="K159" i="25"/>
  <c r="K210" i="25"/>
  <c r="R133" i="13"/>
  <c r="S133" i="13" s="1"/>
  <c r="K132" i="25"/>
  <c r="K27" i="25"/>
  <c r="K296" i="25"/>
  <c r="K48" i="25"/>
  <c r="K194" i="25"/>
  <c r="K52" i="25"/>
  <c r="K81" i="25"/>
  <c r="K292" i="25"/>
  <c r="K136" i="25"/>
  <c r="K172" i="25"/>
  <c r="K207" i="25"/>
  <c r="K293" i="25"/>
  <c r="K84" i="25"/>
  <c r="K223" i="25"/>
  <c r="K30" i="25"/>
  <c r="K221" i="25"/>
  <c r="K69" i="25"/>
  <c r="K94" i="25"/>
  <c r="K119" i="25"/>
  <c r="K103" i="25"/>
  <c r="K205" i="25"/>
  <c r="K212" i="25"/>
  <c r="K261" i="25"/>
  <c r="K120" i="25"/>
  <c r="K107" i="25"/>
  <c r="K234" i="25"/>
  <c r="K275" i="25"/>
  <c r="K16" i="25"/>
  <c r="K265" i="25"/>
  <c r="K125" i="25"/>
  <c r="K201" i="25"/>
  <c r="K47" i="25"/>
  <c r="K241" i="25"/>
  <c r="K104" i="25"/>
  <c r="K157" i="25"/>
  <c r="K182" i="25"/>
  <c r="K76" i="25"/>
  <c r="R300" i="13"/>
  <c r="S300" i="13" s="1"/>
  <c r="R163" i="13"/>
  <c r="S163" i="13" s="1"/>
  <c r="R26" i="13"/>
  <c r="S26" i="13" s="1"/>
  <c r="K286" i="25"/>
  <c r="K116" i="25"/>
  <c r="K56" i="25"/>
  <c r="K231" i="25"/>
  <c r="K70" i="25"/>
  <c r="K39" i="25"/>
  <c r="K230" i="25"/>
  <c r="K126" i="25"/>
  <c r="K78" i="25"/>
  <c r="K180" i="25"/>
  <c r="K31" i="25"/>
  <c r="K176" i="25"/>
  <c r="K195" i="25"/>
  <c r="K193" i="25"/>
  <c r="K66" i="25"/>
  <c r="K114" i="25"/>
  <c r="K89" i="25"/>
  <c r="K281" i="25"/>
  <c r="K117" i="25"/>
  <c r="K141" i="25"/>
  <c r="K137" i="25"/>
  <c r="K36" i="25"/>
  <c r="K224" i="25"/>
  <c r="K250" i="25"/>
  <c r="K217" i="25"/>
  <c r="K41" i="25"/>
  <c r="K246" i="25"/>
  <c r="K211" i="25"/>
  <c r="K173" i="25"/>
  <c r="K156" i="25"/>
  <c r="K299" i="25"/>
  <c r="K226" i="25"/>
  <c r="K12" i="25"/>
  <c r="R30" i="13"/>
  <c r="S30" i="13" s="1"/>
  <c r="R32" i="13"/>
  <c r="S32" i="13" s="1"/>
  <c r="K305" i="25"/>
  <c r="K115" i="25"/>
  <c r="K255" i="25"/>
  <c r="K35" i="25"/>
  <c r="K206" i="25"/>
  <c r="K11" i="25"/>
  <c r="K198" i="25"/>
  <c r="K181" i="25"/>
  <c r="K67" i="25"/>
  <c r="K55" i="25"/>
  <c r="K215" i="25"/>
  <c r="R41" i="13"/>
  <c r="S41" i="13" s="1"/>
  <c r="K242" i="25"/>
  <c r="K43" i="25"/>
  <c r="K49" i="25"/>
  <c r="K208" i="25"/>
  <c r="K111" i="25"/>
  <c r="R223" i="13"/>
  <c r="S223" i="13" s="1"/>
  <c r="R125" i="13"/>
  <c r="S125" i="13" s="1"/>
  <c r="K61" i="25"/>
  <c r="R178" i="13"/>
  <c r="S178" i="13" s="1"/>
  <c r="K152" i="25"/>
  <c r="K202" i="25"/>
  <c r="K248" i="25"/>
  <c r="K204" i="25"/>
  <c r="K298" i="25"/>
  <c r="K110" i="25"/>
  <c r="K285" i="25"/>
  <c r="K262" i="25"/>
  <c r="K266" i="25"/>
  <c r="R244" i="13"/>
  <c r="S244" i="13" s="1"/>
  <c r="P219" i="13"/>
  <c r="Q219" i="13" s="1"/>
  <c r="R170" i="13"/>
  <c r="S170" i="13" s="1"/>
  <c r="R142" i="13"/>
  <c r="S142" i="13" s="1"/>
  <c r="R301" i="13"/>
  <c r="S301" i="13" s="1"/>
  <c r="R221" i="13"/>
  <c r="S221" i="13" s="1"/>
  <c r="R63" i="13"/>
  <c r="S63" i="13" s="1"/>
  <c r="R76" i="13"/>
  <c r="S76" i="13" s="1"/>
  <c r="R111" i="13"/>
  <c r="S111" i="13" s="1"/>
  <c r="R36" i="13"/>
  <c r="S36" i="13" s="1"/>
  <c r="R94" i="13"/>
  <c r="S94" i="13" s="1"/>
  <c r="R73" i="13"/>
  <c r="S73" i="13" s="1"/>
  <c r="R181" i="13"/>
  <c r="S181" i="13" s="1"/>
  <c r="R99" i="13"/>
  <c r="S99" i="13" s="1"/>
  <c r="R109" i="13"/>
  <c r="S109" i="13" s="1"/>
  <c r="R43" i="13"/>
  <c r="S43" i="13" s="1"/>
  <c r="R16" i="13"/>
  <c r="S16" i="13" s="1"/>
  <c r="R173" i="13"/>
  <c r="S173" i="13" s="1"/>
  <c r="R294" i="13"/>
  <c r="S294" i="13" s="1"/>
  <c r="R225" i="13"/>
  <c r="S225" i="13" s="1"/>
  <c r="R282" i="13"/>
  <c r="S282" i="13" s="1"/>
  <c r="R79" i="13"/>
  <c r="S79" i="13" s="1"/>
  <c r="R308" i="13"/>
  <c r="S308" i="13" s="1"/>
  <c r="R184" i="13"/>
  <c r="S184" i="13" s="1"/>
  <c r="R23" i="13"/>
  <c r="S23" i="13" s="1"/>
  <c r="R261" i="13"/>
  <c r="S261" i="13" s="1"/>
  <c r="R289" i="13"/>
  <c r="S289" i="13" s="1"/>
  <c r="R215" i="13"/>
  <c r="S215" i="13" s="1"/>
  <c r="R122" i="13"/>
  <c r="S122" i="13" s="1"/>
  <c r="R145" i="13"/>
  <c r="S145" i="13" s="1"/>
  <c r="R53" i="13"/>
  <c r="S53" i="13" s="1"/>
  <c r="R212" i="13"/>
  <c r="S212" i="13" s="1"/>
  <c r="R256" i="13"/>
  <c r="S256" i="13" s="1"/>
  <c r="R230" i="13"/>
  <c r="S230" i="13" s="1"/>
  <c r="R199" i="13"/>
  <c r="S199" i="13" s="1"/>
  <c r="R49" i="13"/>
  <c r="S49" i="13" s="1"/>
  <c r="R180" i="13"/>
  <c r="S180" i="13" s="1"/>
  <c r="R243" i="13"/>
  <c r="S243" i="13" s="1"/>
  <c r="R202" i="13"/>
  <c r="S202" i="13" s="1"/>
  <c r="R7" i="13"/>
  <c r="S7" i="13" s="1"/>
  <c r="R108" i="13"/>
  <c r="S108" i="13" s="1"/>
  <c r="R137" i="13"/>
  <c r="S137" i="13" s="1"/>
  <c r="R279" i="13"/>
  <c r="S279" i="13" s="1"/>
  <c r="R14" i="13"/>
  <c r="S14" i="13" s="1"/>
  <c r="R82" i="13"/>
  <c r="S82" i="13" s="1"/>
  <c r="R218" i="13"/>
  <c r="S218" i="13" s="1"/>
  <c r="R166" i="13"/>
  <c r="S166" i="13" s="1"/>
  <c r="R210" i="13"/>
  <c r="S210" i="13" s="1"/>
  <c r="R10" i="13"/>
  <c r="S10" i="13" s="1"/>
  <c r="R15" i="13"/>
  <c r="S15" i="13" s="1"/>
  <c r="R37" i="13"/>
  <c r="S37" i="13" s="1"/>
  <c r="R171" i="13"/>
  <c r="S171" i="13" s="1"/>
  <c r="R245" i="13"/>
  <c r="S245" i="13" s="1"/>
  <c r="R259" i="13"/>
  <c r="S259" i="13" s="1"/>
  <c r="R136" i="13"/>
  <c r="S136" i="13" s="1"/>
  <c r="R77" i="13"/>
  <c r="S77" i="13" s="1"/>
  <c r="R251" i="13"/>
  <c r="S251" i="13" s="1"/>
  <c r="R71" i="13"/>
  <c r="S71" i="13" s="1"/>
  <c r="R288" i="13"/>
  <c r="S288" i="13" s="1"/>
  <c r="R270" i="13"/>
  <c r="S270" i="13" s="1"/>
  <c r="R205" i="13"/>
  <c r="S205" i="13" s="1"/>
  <c r="R263" i="13"/>
  <c r="S263" i="13" s="1"/>
  <c r="R129" i="13"/>
  <c r="S129" i="13" s="1"/>
  <c r="R176" i="13"/>
  <c r="S176" i="13" s="1"/>
  <c r="R149" i="13"/>
  <c r="S149" i="13" s="1"/>
  <c r="R196" i="13"/>
  <c r="S196" i="13" s="1"/>
  <c r="R229" i="13"/>
  <c r="S229" i="13" s="1"/>
  <c r="R162" i="13"/>
  <c r="S162" i="13" s="1"/>
  <c r="R292" i="13"/>
  <c r="S292" i="13" s="1"/>
  <c r="R126" i="13"/>
  <c r="S126" i="13" s="1"/>
  <c r="R104" i="13"/>
  <c r="S104" i="13" s="1"/>
  <c r="R60" i="13"/>
  <c r="S60" i="13" s="1"/>
  <c r="R157" i="13"/>
  <c r="S157" i="13" s="1"/>
  <c r="R78" i="13"/>
  <c r="S78" i="13" s="1"/>
  <c r="R208" i="13"/>
  <c r="S208" i="13" s="1"/>
  <c r="R169" i="13"/>
  <c r="S169" i="13" s="1"/>
  <c r="R226" i="13"/>
  <c r="S226" i="13" s="1"/>
  <c r="R224" i="13"/>
  <c r="S224" i="13" s="1"/>
  <c r="R293" i="13"/>
  <c r="S293" i="13" s="1"/>
  <c r="R84" i="13"/>
  <c r="S84" i="13" s="1"/>
  <c r="R186" i="13"/>
  <c r="S186" i="13" s="1"/>
  <c r="R255" i="13"/>
  <c r="S255" i="13" s="1"/>
  <c r="R198" i="13"/>
  <c r="S198" i="13" s="1"/>
  <c r="R89" i="13"/>
  <c r="S89" i="13" s="1"/>
  <c r="R211" i="13"/>
  <c r="S211" i="13" s="1"/>
  <c r="R65" i="13"/>
  <c r="S65" i="13" s="1"/>
  <c r="R81" i="13"/>
  <c r="S81" i="13" s="1"/>
  <c r="R214" i="13"/>
  <c r="S214" i="13" s="1"/>
  <c r="R35" i="13"/>
  <c r="S35" i="13" s="1"/>
  <c r="R206" i="13"/>
  <c r="S206" i="13" s="1"/>
  <c r="R67" i="13"/>
  <c r="S67" i="13" s="1"/>
  <c r="R69" i="13"/>
  <c r="S69" i="13" s="1"/>
  <c r="R141" i="13"/>
  <c r="S141" i="13" s="1"/>
  <c r="R24" i="13"/>
  <c r="S24" i="13" s="1"/>
  <c r="R11" i="13"/>
  <c r="S11" i="13" s="1"/>
  <c r="R55" i="13"/>
  <c r="S55" i="13" s="1"/>
  <c r="R213" i="13"/>
  <c r="S213" i="13" s="1"/>
  <c r="R183" i="13"/>
  <c r="S183" i="13" s="1"/>
  <c r="R235" i="13"/>
  <c r="S235" i="13" s="1"/>
  <c r="R201" i="13"/>
  <c r="S201" i="13" s="1"/>
  <c r="R105" i="13"/>
  <c r="S105" i="13" s="1"/>
  <c r="R172" i="13"/>
  <c r="S172" i="13" s="1"/>
  <c r="R13" i="13"/>
  <c r="S13" i="13" s="1"/>
  <c r="R240" i="13"/>
  <c r="S240" i="13" s="1"/>
  <c r="R310" i="13"/>
  <c r="S310" i="13" s="1"/>
  <c r="R80" i="13"/>
  <c r="S80" i="13" s="1"/>
  <c r="R154" i="13"/>
  <c r="S154" i="13" s="1"/>
  <c r="R295" i="13"/>
  <c r="S295" i="13" s="1"/>
  <c r="R312" i="13"/>
  <c r="S312" i="13" s="1"/>
  <c r="R38" i="13"/>
  <c r="S38" i="13" s="1"/>
  <c r="R12" i="13"/>
  <c r="S12" i="13" s="1"/>
  <c r="R61" i="13"/>
  <c r="S61" i="13" s="1"/>
  <c r="R75" i="13"/>
  <c r="S75" i="13" s="1"/>
  <c r="R117" i="13"/>
  <c r="S117" i="13" s="1"/>
  <c r="R138" i="13"/>
  <c r="S138" i="13" s="1"/>
  <c r="R57" i="13"/>
  <c r="S57" i="13" s="1"/>
  <c r="R281" i="13"/>
  <c r="S281" i="13" s="1"/>
  <c r="R156" i="13"/>
  <c r="S156" i="13" s="1"/>
  <c r="R313" i="13"/>
  <c r="S313" i="13" s="1"/>
  <c r="R47" i="13"/>
  <c r="S47" i="13" s="1"/>
  <c r="R112" i="13"/>
  <c r="S112" i="13" s="1"/>
  <c r="R185" i="13"/>
  <c r="S185" i="13" s="1"/>
  <c r="R119" i="13"/>
  <c r="S119" i="13" s="1"/>
  <c r="R177" i="13"/>
  <c r="S177" i="13" s="1"/>
  <c r="R241" i="13"/>
  <c r="S241" i="13" s="1"/>
  <c r="R131" i="13"/>
  <c r="S131" i="13" s="1"/>
  <c r="R103" i="13"/>
  <c r="S103" i="13" s="1"/>
  <c r="R242" i="13"/>
  <c r="S242" i="13" s="1"/>
  <c r="R44" i="13"/>
  <c r="S44" i="13" s="1"/>
  <c r="R128" i="13"/>
  <c r="S128" i="13" s="1"/>
  <c r="R34" i="13"/>
  <c r="S34" i="13" s="1"/>
  <c r="R86" i="13"/>
  <c r="S86" i="13" s="1"/>
  <c r="R134" i="13"/>
  <c r="S134" i="13" s="1"/>
  <c r="R299" i="13"/>
  <c r="S299" i="13" s="1"/>
  <c r="R182" i="13"/>
  <c r="S182" i="13" s="1"/>
  <c r="R207" i="13"/>
  <c r="S207" i="13" s="1"/>
  <c r="R33" i="13"/>
  <c r="S33" i="13" s="1"/>
  <c r="R314" i="13"/>
  <c r="S314" i="13" s="1"/>
  <c r="E39" i="48"/>
  <c r="R102" i="13" l="1"/>
  <c r="S102" i="13" s="1"/>
  <c r="R269" i="13"/>
  <c r="S269" i="13" s="1"/>
  <c r="R83" i="13"/>
  <c r="S83" i="13" s="1"/>
  <c r="R273" i="13"/>
  <c r="S273" i="13" s="1"/>
  <c r="R291" i="13"/>
  <c r="S291" i="13" s="1"/>
  <c r="N6" i="13"/>
  <c r="O6" i="13" s="1"/>
  <c r="P6" i="13" s="1"/>
  <c r="Q6" i="13" s="1"/>
  <c r="K6" i="25" s="1"/>
  <c r="J5" i="12"/>
  <c r="J314" i="12" s="1"/>
  <c r="J315" i="25" s="1"/>
  <c r="R191" i="13"/>
  <c r="S191" i="13" s="1"/>
  <c r="F39" i="48"/>
  <c r="F43" i="48" s="1"/>
  <c r="L67" i="25"/>
  <c r="N67" i="25" s="1"/>
  <c r="L195" i="25"/>
  <c r="N195" i="25" s="1"/>
  <c r="L223" i="25"/>
  <c r="N223" i="25" s="1"/>
  <c r="L146" i="25"/>
  <c r="N146" i="25" s="1"/>
  <c r="L135" i="25"/>
  <c r="N135" i="25" s="1"/>
  <c r="L301" i="25"/>
  <c r="N301" i="25" s="1"/>
  <c r="L248" i="25"/>
  <c r="N248" i="25" s="1"/>
  <c r="L208" i="25"/>
  <c r="N208" i="25" s="1"/>
  <c r="L181" i="25"/>
  <c r="N181" i="25" s="1"/>
  <c r="L305" i="25"/>
  <c r="N305" i="25" s="1"/>
  <c r="L211" i="25"/>
  <c r="N211" i="25" s="1"/>
  <c r="L141" i="25"/>
  <c r="N141" i="25" s="1"/>
  <c r="L176" i="25"/>
  <c r="N176" i="25" s="1"/>
  <c r="L231" i="25"/>
  <c r="N231" i="25" s="1"/>
  <c r="L182" i="25"/>
  <c r="N182" i="25" s="1"/>
  <c r="L16" i="25"/>
  <c r="N16" i="25" s="1"/>
  <c r="L103" i="25"/>
  <c r="N103" i="25" s="1"/>
  <c r="L84" i="25"/>
  <c r="N84" i="25" s="1"/>
  <c r="L194" i="25"/>
  <c r="N194" i="25" s="1"/>
  <c r="L159" i="25"/>
  <c r="N159" i="25" s="1"/>
  <c r="L288" i="25"/>
  <c r="N288" i="25" s="1"/>
  <c r="L294" i="25"/>
  <c r="N294" i="25" s="1"/>
  <c r="L177" i="25"/>
  <c r="N177" i="25" s="1"/>
  <c r="L151" i="25"/>
  <c r="N151" i="25" s="1"/>
  <c r="L229" i="25"/>
  <c r="N229" i="25" s="1"/>
  <c r="L150" i="25"/>
  <c r="N150" i="25" s="1"/>
  <c r="L252" i="25"/>
  <c r="N252" i="25" s="1"/>
  <c r="L186" i="25"/>
  <c r="N186" i="25" s="1"/>
  <c r="L185" i="25"/>
  <c r="N185" i="25" s="1"/>
  <c r="L178" i="25"/>
  <c r="N178" i="25" s="1"/>
  <c r="L243" i="25"/>
  <c r="N243" i="25" s="1"/>
  <c r="L105" i="25"/>
  <c r="N105" i="25" s="1"/>
  <c r="L44" i="25"/>
  <c r="N44" i="25" s="1"/>
  <c r="L65" i="25"/>
  <c r="N65" i="25" s="1"/>
  <c r="L202" i="25"/>
  <c r="N202" i="25" s="1"/>
  <c r="L49" i="25"/>
  <c r="N49" i="25" s="1"/>
  <c r="L198" i="25"/>
  <c r="N198" i="25" s="1"/>
  <c r="L246" i="25"/>
  <c r="N246" i="25" s="1"/>
  <c r="L117" i="25"/>
  <c r="N117" i="25" s="1"/>
  <c r="L31" i="25"/>
  <c r="N31" i="25" s="1"/>
  <c r="L56" i="25"/>
  <c r="N56" i="25" s="1"/>
  <c r="L157" i="25"/>
  <c r="N157" i="25" s="1"/>
  <c r="L275" i="25"/>
  <c r="N275" i="25" s="1"/>
  <c r="L119" i="25"/>
  <c r="N119" i="25" s="1"/>
  <c r="L293" i="25"/>
  <c r="N293" i="25" s="1"/>
  <c r="L48" i="25"/>
  <c r="N48" i="25" s="1"/>
  <c r="L138" i="25"/>
  <c r="N138" i="25" s="1"/>
  <c r="L256" i="25"/>
  <c r="N256" i="25" s="1"/>
  <c r="L313" i="25"/>
  <c r="N313" i="25" s="1"/>
  <c r="L7" i="25"/>
  <c r="N7" i="25" s="1"/>
  <c r="L249" i="25"/>
  <c r="N249" i="25" s="1"/>
  <c r="L123" i="25"/>
  <c r="N123" i="25" s="1"/>
  <c r="L170" i="25"/>
  <c r="N170" i="25" s="1"/>
  <c r="L295" i="25"/>
  <c r="N295" i="25" s="1"/>
  <c r="L109" i="25"/>
  <c r="N109" i="25" s="1"/>
  <c r="L26" i="25"/>
  <c r="N26" i="25" s="1"/>
  <c r="L23" i="25"/>
  <c r="N23" i="25" s="1"/>
  <c r="L112" i="25"/>
  <c r="N112" i="25" s="1"/>
  <c r="L57" i="25"/>
  <c r="N57" i="25" s="1"/>
  <c r="L122" i="25"/>
  <c r="N122" i="25" s="1"/>
  <c r="L204" i="25"/>
  <c r="N204" i="25" s="1"/>
  <c r="L115" i="25"/>
  <c r="N115" i="25" s="1"/>
  <c r="L70" i="25"/>
  <c r="N70" i="25" s="1"/>
  <c r="L265" i="25"/>
  <c r="N265" i="25" s="1"/>
  <c r="L210" i="25"/>
  <c r="N210" i="25" s="1"/>
  <c r="L71" i="25"/>
  <c r="N71" i="25" s="1"/>
  <c r="L290" i="25"/>
  <c r="N290" i="25" s="1"/>
  <c r="L130" i="25"/>
  <c r="N130" i="25" s="1"/>
  <c r="L236" i="25"/>
  <c r="N236" i="25" s="1"/>
  <c r="L259" i="25"/>
  <c r="N259" i="25" s="1"/>
  <c r="L266" i="25"/>
  <c r="N266" i="25" s="1"/>
  <c r="L11" i="25"/>
  <c r="N11" i="25" s="1"/>
  <c r="L281" i="25"/>
  <c r="N281" i="25" s="1"/>
  <c r="L234" i="25"/>
  <c r="N234" i="25" s="1"/>
  <c r="L269" i="25"/>
  <c r="N269" i="25" s="1"/>
  <c r="L196" i="25"/>
  <c r="N196" i="25" s="1"/>
  <c r="L75" i="25"/>
  <c r="N75" i="25" s="1"/>
  <c r="L162" i="25"/>
  <c r="N162" i="25" s="1"/>
  <c r="L99" i="25"/>
  <c r="N99" i="25" s="1"/>
  <c r="L262" i="25"/>
  <c r="N262" i="25" s="1"/>
  <c r="L242" i="25"/>
  <c r="N242" i="25" s="1"/>
  <c r="L217" i="25"/>
  <c r="N217" i="25" s="1"/>
  <c r="L286" i="25"/>
  <c r="N286" i="25" s="1"/>
  <c r="L107" i="25"/>
  <c r="N107" i="25" s="1"/>
  <c r="L296" i="25"/>
  <c r="N296" i="25" s="1"/>
  <c r="L149" i="25"/>
  <c r="N149" i="25" s="1"/>
  <c r="L169" i="25"/>
  <c r="N169" i="25" s="1"/>
  <c r="L9" i="25"/>
  <c r="N9" i="25" s="1"/>
  <c r="L171" i="25"/>
  <c r="N171" i="25" s="1"/>
  <c r="L145" i="25"/>
  <c r="N145" i="25" s="1"/>
  <c r="L285" i="25"/>
  <c r="N285" i="25" s="1"/>
  <c r="L61" i="25"/>
  <c r="N61" i="25" s="1"/>
  <c r="L35" i="25"/>
  <c r="N35" i="25" s="1"/>
  <c r="L226" i="25"/>
  <c r="N226" i="25" s="1"/>
  <c r="L250" i="25"/>
  <c r="N250" i="25" s="1"/>
  <c r="L114" i="25"/>
  <c r="N114" i="25" s="1"/>
  <c r="L126" i="25"/>
  <c r="N126" i="25" s="1"/>
  <c r="L47" i="25"/>
  <c r="N47" i="25" s="1"/>
  <c r="L120" i="25"/>
  <c r="N120" i="25" s="1"/>
  <c r="L69" i="25"/>
  <c r="N69" i="25" s="1"/>
  <c r="L136" i="25"/>
  <c r="N136" i="25" s="1"/>
  <c r="L27" i="25"/>
  <c r="N27" i="25" s="1"/>
  <c r="L63" i="25"/>
  <c r="N63" i="25" s="1"/>
  <c r="L282" i="25"/>
  <c r="N282" i="25" s="1"/>
  <c r="L82" i="25"/>
  <c r="N82" i="25" s="1"/>
  <c r="L15" i="25"/>
  <c r="N15" i="25" s="1"/>
  <c r="L108" i="25"/>
  <c r="N108" i="25" s="1"/>
  <c r="L154" i="25"/>
  <c r="N154" i="25" s="1"/>
  <c r="L190" i="25"/>
  <c r="N190" i="25" s="1"/>
  <c r="L166" i="25"/>
  <c r="N166" i="25" s="1"/>
  <c r="L34" i="25"/>
  <c r="N34" i="25" s="1"/>
  <c r="L214" i="25"/>
  <c r="N214" i="25" s="1"/>
  <c r="L174" i="25"/>
  <c r="N174" i="25" s="1"/>
  <c r="L134" i="25"/>
  <c r="N134" i="25" s="1"/>
  <c r="L240" i="25"/>
  <c r="N240" i="25" s="1"/>
  <c r="L14" i="25"/>
  <c r="N14" i="25" s="1"/>
  <c r="L111" i="25"/>
  <c r="N111" i="25" s="1"/>
  <c r="L137" i="25"/>
  <c r="N137" i="25" s="1"/>
  <c r="L76" i="25"/>
  <c r="N76" i="25" s="1"/>
  <c r="L52" i="25"/>
  <c r="N52" i="25" s="1"/>
  <c r="L13" i="25"/>
  <c r="N13" i="25" s="1"/>
  <c r="L213" i="25"/>
  <c r="N213" i="25" s="1"/>
  <c r="L77" i="25"/>
  <c r="N77" i="25" s="1"/>
  <c r="L199" i="25"/>
  <c r="N199" i="25" s="1"/>
  <c r="L43" i="25"/>
  <c r="N43" i="25" s="1"/>
  <c r="L41" i="25"/>
  <c r="N41" i="25" s="1"/>
  <c r="L116" i="25"/>
  <c r="N116" i="25" s="1"/>
  <c r="L104" i="25"/>
  <c r="N104" i="25" s="1"/>
  <c r="L207" i="25"/>
  <c r="N207" i="25" s="1"/>
  <c r="L251" i="25"/>
  <c r="N251" i="25" s="1"/>
  <c r="L225" i="25"/>
  <c r="N225" i="25" s="1"/>
  <c r="L277" i="25"/>
  <c r="N277" i="25" s="1"/>
  <c r="L29" i="25"/>
  <c r="N29" i="25" s="1"/>
  <c r="L80" i="25"/>
  <c r="N80" i="25" s="1"/>
  <c r="L206" i="25"/>
  <c r="N206" i="25" s="1"/>
  <c r="L89" i="25"/>
  <c r="N89" i="25" s="1"/>
  <c r="L241" i="25"/>
  <c r="N241" i="25" s="1"/>
  <c r="L172" i="25"/>
  <c r="N172" i="25" s="1"/>
  <c r="L142" i="25"/>
  <c r="N142" i="25" s="1"/>
  <c r="L279" i="25"/>
  <c r="N279" i="25" s="1"/>
  <c r="L102" i="25"/>
  <c r="N102" i="25" s="1"/>
  <c r="L244" i="25"/>
  <c r="N244" i="25" s="1"/>
  <c r="L310" i="25"/>
  <c r="N310" i="25" s="1"/>
  <c r="L215" i="25"/>
  <c r="N215" i="25" s="1"/>
  <c r="L312" i="25"/>
  <c r="N312" i="25" s="1"/>
  <c r="L128" i="25"/>
  <c r="N128" i="25" s="1"/>
  <c r="L73" i="25"/>
  <c r="N73" i="25" s="1"/>
  <c r="L60" i="25"/>
  <c r="N60" i="25" s="1"/>
  <c r="L79" i="25"/>
  <c r="N79" i="25" s="1"/>
  <c r="L173" i="25"/>
  <c r="N173" i="25" s="1"/>
  <c r="L205" i="25"/>
  <c r="N205" i="25" s="1"/>
  <c r="L24" i="25"/>
  <c r="N24" i="25" s="1"/>
  <c r="L218" i="25"/>
  <c r="N218" i="25" s="1"/>
  <c r="L38" i="25"/>
  <c r="N38" i="25" s="1"/>
  <c r="L152" i="25"/>
  <c r="N152" i="25" s="1"/>
  <c r="L180" i="25"/>
  <c r="N180" i="25" s="1"/>
  <c r="L291" i="25"/>
  <c r="N291" i="25" s="1"/>
  <c r="L129" i="25"/>
  <c r="N129" i="25" s="1"/>
  <c r="L300" i="25"/>
  <c r="N300" i="25" s="1"/>
  <c r="L33" i="25"/>
  <c r="N33" i="25" s="1"/>
  <c r="L53" i="25"/>
  <c r="N53" i="25" s="1"/>
  <c r="L12" i="25"/>
  <c r="N12" i="25" s="1"/>
  <c r="L78" i="25"/>
  <c r="N78" i="25" s="1"/>
  <c r="L94" i="25"/>
  <c r="N94" i="25" s="1"/>
  <c r="L191" i="25"/>
  <c r="N191" i="25" s="1"/>
  <c r="L10" i="25"/>
  <c r="N10" i="25" s="1"/>
  <c r="L263" i="25"/>
  <c r="N263" i="25" s="1"/>
  <c r="L110" i="25"/>
  <c r="N110" i="25" s="1"/>
  <c r="L255" i="25"/>
  <c r="N255" i="25" s="1"/>
  <c r="L299" i="25"/>
  <c r="N299" i="25" s="1"/>
  <c r="L224" i="25"/>
  <c r="N224" i="25" s="1"/>
  <c r="L66" i="25"/>
  <c r="N66" i="25" s="1"/>
  <c r="L230" i="25"/>
  <c r="N230" i="25" s="1"/>
  <c r="L201" i="25"/>
  <c r="N201" i="25" s="1"/>
  <c r="L261" i="25"/>
  <c r="N261" i="25" s="1"/>
  <c r="L221" i="25"/>
  <c r="N221" i="25" s="1"/>
  <c r="L292" i="25"/>
  <c r="N292" i="25" s="1"/>
  <c r="L132" i="25"/>
  <c r="N132" i="25" s="1"/>
  <c r="L239" i="25"/>
  <c r="N239" i="25" s="1"/>
  <c r="L314" i="25"/>
  <c r="N314" i="25" s="1"/>
  <c r="L85" i="25"/>
  <c r="N85" i="25" s="1"/>
  <c r="L183" i="25"/>
  <c r="N183" i="25" s="1"/>
  <c r="L153" i="25"/>
  <c r="N153" i="25" s="1"/>
  <c r="L270" i="25"/>
  <c r="N270" i="25" s="1"/>
  <c r="L298" i="25"/>
  <c r="N298" i="25" s="1"/>
  <c r="L55" i="25"/>
  <c r="N55" i="25" s="1"/>
  <c r="L273" i="25"/>
  <c r="N273" i="25" s="1"/>
  <c r="L156" i="25"/>
  <c r="N156" i="25" s="1"/>
  <c r="L36" i="25"/>
  <c r="N36" i="25" s="1"/>
  <c r="L193" i="25"/>
  <c r="N193" i="25" s="1"/>
  <c r="L39" i="25"/>
  <c r="N39" i="25" s="1"/>
  <c r="L125" i="25"/>
  <c r="N125" i="25" s="1"/>
  <c r="L212" i="25"/>
  <c r="N212" i="25" s="1"/>
  <c r="L30" i="25"/>
  <c r="N30" i="25" s="1"/>
  <c r="L81" i="25"/>
  <c r="N81" i="25" s="1"/>
  <c r="L184" i="25"/>
  <c r="N184" i="25" s="1"/>
  <c r="L235" i="25"/>
  <c r="N235" i="25" s="1"/>
  <c r="L133" i="25"/>
  <c r="N133" i="25" s="1"/>
  <c r="L86" i="25"/>
  <c r="N86" i="25" s="1"/>
  <c r="L271" i="25"/>
  <c r="N271" i="25" s="1"/>
  <c r="L37" i="25"/>
  <c r="N37" i="25" s="1"/>
  <c r="L245" i="25"/>
  <c r="N245" i="25" s="1"/>
  <c r="L124" i="25"/>
  <c r="N124" i="25" s="1"/>
  <c r="L192" i="25"/>
  <c r="N192" i="25" s="1"/>
  <c r="L308" i="25"/>
  <c r="N308" i="25" s="1"/>
  <c r="L238" i="25"/>
  <c r="N238" i="25" s="1"/>
  <c r="L131" i="25"/>
  <c r="N131" i="25" s="1"/>
  <c r="L32" i="25"/>
  <c r="N32" i="25" s="1"/>
  <c r="L289" i="25"/>
  <c r="N289" i="25" s="1"/>
  <c r="K219" i="25"/>
  <c r="R219" i="13"/>
  <c r="S219" i="13" s="1"/>
  <c r="N315" i="13" l="1"/>
  <c r="Q315" i="13"/>
  <c r="D36" i="40" s="1"/>
  <c r="R6" i="13"/>
  <c r="S6" i="13" s="1"/>
  <c r="J6" i="25"/>
  <c r="L6" i="25" s="1"/>
  <c r="N6" i="25" s="1"/>
  <c r="F54" i="48"/>
  <c r="L219" i="25"/>
  <c r="N219" i="25" s="1"/>
  <c r="K315" i="25" l="1"/>
  <c r="L315" i="25" s="1"/>
  <c r="C36" i="40" s="1"/>
  <c r="N315" i="25"/>
</calcChain>
</file>

<file path=xl/sharedStrings.xml><?xml version="1.0" encoding="utf-8"?>
<sst xmlns="http://schemas.openxmlformats.org/spreadsheetml/2006/main" count="980" uniqueCount="569">
  <si>
    <t>Plafonnement de l'aide</t>
  </si>
  <si>
    <t>L'Isle</t>
  </si>
  <si>
    <t>Lussery-Villars</t>
  </si>
  <si>
    <t>Mauraz</t>
  </si>
  <si>
    <t>Mex</t>
  </si>
  <si>
    <t>Moiry</t>
  </si>
  <si>
    <t>Corcelles-près-Payerne</t>
  </si>
  <si>
    <t>Grandcour</t>
  </si>
  <si>
    <t>Henniez</t>
  </si>
  <si>
    <t>Missy</t>
  </si>
  <si>
    <t>Payerne</t>
  </si>
  <si>
    <t>Trey</t>
  </si>
  <si>
    <t>Villarzel</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</si>
  <si>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</si>
  <si>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</si>
  <si>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</si>
  <si>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</si>
  <si>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</si>
  <si>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</si>
  <si>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</si>
  <si>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</si>
  <si>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</si>
  <si>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</si>
  <si>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</si>
  <si>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</si>
  <si>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</si>
  <si>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</si>
  <si>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</si>
  <si>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</si>
  <si>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</si>
  <si>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Saint-Barthélemy</t>
  </si>
  <si>
    <t>Villars-le-Terroir</t>
  </si>
  <si>
    <t>Vuarrens</t>
  </si>
  <si>
    <t>Bonvillars</t>
  </si>
  <si>
    <t>Bullet</t>
  </si>
  <si>
    <t>Champagne</t>
  </si>
  <si>
    <t>Concise</t>
  </si>
  <si>
    <t>Corcelles-près-Concise</t>
  </si>
  <si>
    <t>Fiez</t>
  </si>
  <si>
    <t>Fontaines-sur-Grandson</t>
  </si>
  <si>
    <t>Giez</t>
  </si>
  <si>
    <t>Grandevent</t>
  </si>
  <si>
    <t>Grandson</t>
  </si>
  <si>
    <t>Mauborget</t>
  </si>
  <si>
    <t>Plafond transports</t>
  </si>
  <si>
    <t>Plafond forêts</t>
  </si>
  <si>
    <t>No OFS</t>
  </si>
  <si>
    <t>Fonds de péréquation</t>
  </si>
  <si>
    <t>IFO normalisé à 100</t>
  </si>
  <si>
    <t>Corsier-sur-Vevey</t>
  </si>
  <si>
    <t>Jongny</t>
  </si>
  <si>
    <t>Montreux</t>
  </si>
  <si>
    <t>La Tour-de-Peilz</t>
  </si>
  <si>
    <t>Vevey</t>
  </si>
  <si>
    <t>Veytaux</t>
  </si>
  <si>
    <t>Belmont-sur-Yverdon</t>
  </si>
  <si>
    <t>Bioley-Magnoux</t>
  </si>
  <si>
    <t>Chamblon</t>
  </si>
  <si>
    <t>Champvent</t>
  </si>
  <si>
    <t>Chavannes-le-Chêne</t>
  </si>
  <si>
    <t>Chêne-Pâquier</t>
  </si>
  <si>
    <t>Cheseaux-Noréaz</t>
  </si>
  <si>
    <t>Cronay</t>
  </si>
  <si>
    <t>Cuarny</t>
  </si>
  <si>
    <t>Démoret</t>
  </si>
  <si>
    <t>Donneloye</t>
  </si>
  <si>
    <t>Ependes</t>
  </si>
  <si>
    <t>Habitants</t>
  </si>
  <si>
    <t>Valeur par habitant</t>
  </si>
  <si>
    <t>Nyon</t>
  </si>
  <si>
    <t>Prangins</t>
  </si>
  <si>
    <t>Bougy-Villars</t>
  </si>
  <si>
    <t>Yvorne</t>
  </si>
  <si>
    <t>Apples</t>
  </si>
  <si>
    <t>Aubonne</t>
  </si>
  <si>
    <t>Ballens</t>
  </si>
  <si>
    <t>Berolle</t>
  </si>
  <si>
    <t>Bière</t>
  </si>
  <si>
    <t>Taux communal</t>
  </si>
  <si>
    <t>ISP</t>
  </si>
  <si>
    <t>IPE</t>
  </si>
  <si>
    <t>IBC</t>
  </si>
  <si>
    <t>IET</t>
  </si>
  <si>
    <t>ISO</t>
  </si>
  <si>
    <t>IMM</t>
  </si>
  <si>
    <t>IFO</t>
  </si>
  <si>
    <t>STO</t>
  </si>
  <si>
    <t>IFR</t>
  </si>
  <si>
    <t>ISD</t>
  </si>
  <si>
    <t>DMU</t>
  </si>
  <si>
    <t>IGI</t>
  </si>
  <si>
    <t>TOT</t>
  </si>
  <si>
    <t>Facture sociale à charge des communes</t>
  </si>
  <si>
    <t>Facture sociale</t>
  </si>
  <si>
    <t>Alimentation</t>
  </si>
  <si>
    <t>./. Dép. thématiques</t>
  </si>
  <si>
    <t>Commune</t>
  </si>
  <si>
    <t>Chavannes-sur-Moudon</t>
  </si>
  <si>
    <t>Curtilles</t>
  </si>
  <si>
    <t>Dompierre</t>
  </si>
  <si>
    <t>Hermenches</t>
  </si>
  <si>
    <t>Lovatens</t>
  </si>
  <si>
    <t>Lucens</t>
  </si>
  <si>
    <t>Moudon</t>
  </si>
  <si>
    <t>Ogens</t>
  </si>
  <si>
    <t>Prévonloup</t>
  </si>
  <si>
    <t>Rossenges</t>
  </si>
  <si>
    <t>Syens</t>
  </si>
  <si>
    <t>Villars-le-Comte</t>
  </si>
  <si>
    <t>Vucherens</t>
  </si>
  <si>
    <t>Arnex-sur-Nyon</t>
  </si>
  <si>
    <t>Bassins</t>
  </si>
  <si>
    <t>Chessel</t>
  </si>
  <si>
    <t>Corbeyrier</t>
  </si>
  <si>
    <t>Gryon</t>
  </si>
  <si>
    <t>Lavey-Morcles</t>
  </si>
  <si>
    <t>Leysin</t>
  </si>
  <si>
    <t>Noville</t>
  </si>
  <si>
    <t>Ollon</t>
  </si>
  <si>
    <t>Sainte-Croix</t>
  </si>
  <si>
    <t>Lausanne</t>
  </si>
  <si>
    <t>Le Mont-sur-Lausanne</t>
  </si>
  <si>
    <t>Paudex</t>
  </si>
  <si>
    <t>Prilly</t>
  </si>
  <si>
    <t>Pully</t>
  </si>
  <si>
    <t>Taux projeté</t>
  </si>
  <si>
    <t>Plafonnement du taux</t>
  </si>
  <si>
    <t>Contrôle du taux projeté</t>
  </si>
  <si>
    <t>Rivaz</t>
  </si>
  <si>
    <t>St-Saphorin (Lavaux)</t>
  </si>
  <si>
    <t>Ormont-Dessous</t>
  </si>
  <si>
    <t>Ormont-Dessus</t>
  </si>
  <si>
    <t>Rennaz</t>
  </si>
  <si>
    <t>Roche</t>
  </si>
  <si>
    <t>Villeneuve</t>
  </si>
  <si>
    <t>Romainmôtier-Envy</t>
  </si>
  <si>
    <t>Sergey</t>
  </si>
  <si>
    <t>Valeyres-sous-Rances</t>
  </si>
  <si>
    <t>Total</t>
  </si>
  <si>
    <t>Dépenses thématiques</t>
  </si>
  <si>
    <t>Ferreyres</t>
  </si>
  <si>
    <t>Gollion</t>
  </si>
  <si>
    <t>Grancy</t>
  </si>
  <si>
    <t>Forel (Lavaux)</t>
  </si>
  <si>
    <t>Lutry</t>
  </si>
  <si>
    <t>Péréquation directe nette</t>
  </si>
  <si>
    <t>Plafond en pts</t>
  </si>
  <si>
    <t>Bremblens</t>
  </si>
  <si>
    <t>Buchillon</t>
  </si>
  <si>
    <t>Yvonand</t>
  </si>
  <si>
    <t>Yverdon-les-Bains</t>
  </si>
  <si>
    <t>Clarmont</t>
  </si>
  <si>
    <t>Denens</t>
  </si>
  <si>
    <t>Denges</t>
  </si>
  <si>
    <t>Echandens</t>
  </si>
  <si>
    <t>Echichens</t>
  </si>
  <si>
    <t>Ecublens</t>
  </si>
  <si>
    <t>Etoy</t>
  </si>
  <si>
    <t>Lavigny</t>
  </si>
  <si>
    <t>Lonay</t>
  </si>
  <si>
    <t>Lully</t>
  </si>
  <si>
    <t>Lussy-sur-Morges</t>
  </si>
  <si>
    <t>Morges</t>
  </si>
  <si>
    <t>Préverenges</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</si>
  <si>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</si>
  <si>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</si>
  <si>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</si>
  <si>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</si>
  <si>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</si>
  <si>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</si>
  <si>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</si>
  <si>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</si>
  <si>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</si>
  <si>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</si>
  <si>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</si>
  <si>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</si>
  <si>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</si>
  <si>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</si>
  <si>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</si>
  <si>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</si>
  <si>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</si>
  <si>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t>
  </si>
  <si>
    <t>Echallens</t>
  </si>
  <si>
    <t>Essertines-sur-Yverdon</t>
  </si>
  <si>
    <t>Etagnières</t>
  </si>
  <si>
    <t>Fey</t>
  </si>
  <si>
    <t>Froideville</t>
  </si>
  <si>
    <t>Morrens</t>
  </si>
  <si>
    <t>Oulens-sous-Echallens</t>
  </si>
  <si>
    <t>Pailly</t>
  </si>
  <si>
    <t>Penthéréaz</t>
  </si>
  <si>
    <t>Poliez-Pittet</t>
  </si>
  <si>
    <t>Rueyres</t>
  </si>
  <si>
    <t>Sous-total</t>
  </si>
  <si>
    <t>Frontaliers</t>
  </si>
  <si>
    <t>Successions et donations</t>
  </si>
  <si>
    <t>Droits de mutation</t>
  </si>
  <si>
    <t>Gains immobiliers</t>
  </si>
  <si>
    <t>Villars-sous-Yens</t>
  </si>
  <si>
    <t>Vufflens-le-Château</t>
  </si>
  <si>
    <t>Vullierens</t>
  </si>
  <si>
    <t>Yens</t>
  </si>
  <si>
    <t>Boulens</t>
  </si>
  <si>
    <t>Bussy-sur-Moudon</t>
  </si>
  <si>
    <t>Le Chenit</t>
  </si>
  <si>
    <t>Le Lieu</t>
  </si>
  <si>
    <t>Blonay</t>
  </si>
  <si>
    <t>Chardonne</t>
  </si>
  <si>
    <t>Corseaux</t>
  </si>
  <si>
    <t>Boussens</t>
  </si>
  <si>
    <t>La Chaux (Cossonay)</t>
  </si>
  <si>
    <t>Plafonnement de l'effort</t>
  </si>
  <si>
    <t>Solde net des péréquations</t>
  </si>
  <si>
    <t>Prise en charge dépassement</t>
  </si>
  <si>
    <t>Forêts</t>
  </si>
  <si>
    <t>Dépassement forêts</t>
  </si>
  <si>
    <t>Romanel-sur-Lausanne</t>
  </si>
  <si>
    <t>La Praz</t>
  </si>
  <si>
    <t>Premier</t>
  </si>
  <si>
    <t>Rances</t>
  </si>
  <si>
    <t>Indicateurs financiers</t>
  </si>
  <si>
    <t>Begnins</t>
  </si>
  <si>
    <t>Bogis-Bossey</t>
  </si>
  <si>
    <t>Borex</t>
  </si>
  <si>
    <t>Chavannes-de-Bogis</t>
  </si>
  <si>
    <t>Chavannes-des-Bois</t>
  </si>
  <si>
    <t>Chéserex</t>
  </si>
  <si>
    <t>Coinsins</t>
  </si>
  <si>
    <t>Commugny</t>
  </si>
  <si>
    <t>Coppet</t>
  </si>
  <si>
    <t>Crans-près-Céligny</t>
  </si>
  <si>
    <t>Crassier</t>
  </si>
  <si>
    <t>Duillier</t>
  </si>
  <si>
    <t>Eysins</t>
  </si>
  <si>
    <t>Founex</t>
  </si>
  <si>
    <t>Genolier</t>
  </si>
  <si>
    <t>Gingins</t>
  </si>
  <si>
    <t>Givrins</t>
  </si>
  <si>
    <t>Gland</t>
  </si>
  <si>
    <t>Grens</t>
  </si>
  <si>
    <t>Mies</t>
  </si>
  <si>
    <t>Cottens</t>
  </si>
  <si>
    <t>Cuarnens</t>
  </si>
  <si>
    <t>Daillens</t>
  </si>
  <si>
    <t>Dizy</t>
  </si>
  <si>
    <t>Eclépens</t>
  </si>
  <si>
    <t>Pertes débiteurs</t>
  </si>
  <si>
    <t>Modif. Ant.</t>
  </si>
  <si>
    <t>Imputation forfaitaire</t>
  </si>
  <si>
    <t>Pers. physiques - revenu/fortune corrigé</t>
  </si>
  <si>
    <t>IRF corrrigé</t>
  </si>
  <si>
    <t xml:space="preserve">Pers. physiques - revenu/fortune </t>
  </si>
  <si>
    <t xml:space="preserve">IRF </t>
  </si>
  <si>
    <t>Plafond effort</t>
  </si>
  <si>
    <t>Plafond taux</t>
  </si>
  <si>
    <t>Chavannes-près-Renens</t>
  </si>
  <si>
    <t>Chigny</t>
  </si>
  <si>
    <t>Diff. De taux</t>
  </si>
  <si>
    <t>Impôt spécial affecté</t>
  </si>
  <si>
    <t>Impôt personnel</t>
  </si>
  <si>
    <t>Pers. morales bénéfice / capital</t>
  </si>
  <si>
    <t>Aigle</t>
  </si>
  <si>
    <t>Bex</t>
  </si>
  <si>
    <t>Taux après déduction de l'effort péréquatif</t>
  </si>
  <si>
    <t>Somme des efforts péréquatifs prévus</t>
  </si>
  <si>
    <t>Arnex-sur-Orbe</t>
  </si>
  <si>
    <t>Ballaigues</t>
  </si>
  <si>
    <t>Baulmes</t>
  </si>
  <si>
    <t>Bavois</t>
  </si>
  <si>
    <t>Bofflens</t>
  </si>
  <si>
    <t>Bretonnières</t>
  </si>
  <si>
    <t>Chavornay</t>
  </si>
  <si>
    <t>Les Clées</t>
  </si>
  <si>
    <t>Montagny-près-Yverdon</t>
  </si>
  <si>
    <t>Oppens</t>
  </si>
  <si>
    <t>Orges</t>
  </si>
  <si>
    <t>Ursins</t>
  </si>
  <si>
    <t>Vugelles-La Mothe</t>
  </si>
  <si>
    <t>./. Gestion du fonds</t>
  </si>
  <si>
    <t>Corcelles-le-Jorat</t>
  </si>
  <si>
    <t>Essertes</t>
  </si>
  <si>
    <t>Maracon</t>
  </si>
  <si>
    <t>Montpreveyres</t>
  </si>
  <si>
    <t>Ropraz</t>
  </si>
  <si>
    <t>Servion</t>
  </si>
  <si>
    <t>Mutrux</t>
  </si>
  <si>
    <t>Novalles</t>
  </si>
  <si>
    <t>Onnens</t>
  </si>
  <si>
    <t>Provence</t>
  </si>
  <si>
    <t>Recettes conjoncturelles en pts</t>
  </si>
  <si>
    <t>A répartir selon clé</t>
  </si>
  <si>
    <t>en % de la moyenne</t>
  </si>
  <si>
    <t>Seuil 1</t>
  </si>
  <si>
    <t>Seuil 2</t>
  </si>
  <si>
    <t>Total écrêtage</t>
  </si>
  <si>
    <t>Montant à recevoir</t>
  </si>
  <si>
    <t>Total à recevoir</t>
  </si>
  <si>
    <t>Savigny</t>
  </si>
  <si>
    <t>Chexbres</t>
  </si>
  <si>
    <t>Villars-Epeney</t>
  </si>
  <si>
    <t>Puidoux</t>
  </si>
  <si>
    <t>Bussy-Chardonney</t>
  </si>
  <si>
    <t>Total transports</t>
  </si>
  <si>
    <t>Dépassement transports</t>
  </si>
  <si>
    <t>Population</t>
  </si>
  <si>
    <t>Capacité fiscale totale</t>
  </si>
  <si>
    <t>Montant perçu</t>
  </si>
  <si>
    <t>Bas</t>
  </si>
  <si>
    <t>Seuils de population</t>
  </si>
  <si>
    <t>Haut</t>
  </si>
  <si>
    <t>Montants</t>
  </si>
  <si>
    <t>Compensation brute</t>
  </si>
  <si>
    <t>Reverolle</t>
  </si>
  <si>
    <t>Romanel-sur-Morges</t>
  </si>
  <si>
    <t>Saint-Prex</t>
  </si>
  <si>
    <t>Saint-Sulpice</t>
  </si>
  <si>
    <t>Tolochenaz</t>
  </si>
  <si>
    <t>Vaux-sur-Morges</t>
  </si>
  <si>
    <t>Villars-Sainte-Croix</t>
  </si>
  <si>
    <t>La Rippe</t>
  </si>
  <si>
    <t>Saint-Cergue</t>
  </si>
  <si>
    <t>Signy-Avenex</t>
  </si>
  <si>
    <t>Tannay</t>
  </si>
  <si>
    <t>Trélex</t>
  </si>
  <si>
    <t>Le Vaud</t>
  </si>
  <si>
    <t>Vich</t>
  </si>
  <si>
    <t>L'Abergement</t>
  </si>
  <si>
    <t>Agiez</t>
  </si>
  <si>
    <t>Péréquation directe</t>
  </si>
  <si>
    <t>Routes</t>
  </si>
  <si>
    <t>Transports publics</t>
  </si>
  <si>
    <t>Transports scolaires</t>
  </si>
  <si>
    <t>Croy</t>
  </si>
  <si>
    <t>Juriens</t>
  </si>
  <si>
    <t>Lignerolle</t>
  </si>
  <si>
    <t>Montcherand</t>
  </si>
  <si>
    <t>Orbe</t>
  </si>
  <si>
    <t>Vallorbe</t>
  </si>
  <si>
    <t>Vaulion</t>
  </si>
  <si>
    <t>Vuiteboeuf</t>
  </si>
  <si>
    <t>Effort plafonné</t>
  </si>
  <si>
    <t>Impôts suivant le taux</t>
  </si>
  <si>
    <t>Féchy</t>
  </si>
  <si>
    <t>Gimel</t>
  </si>
  <si>
    <t>Saint-Livres</t>
  </si>
  <si>
    <t>Saint-Oyens</t>
  </si>
  <si>
    <t>Saubraz</t>
  </si>
  <si>
    <t>Avenches</t>
  </si>
  <si>
    <t>Cudrefin</t>
  </si>
  <si>
    <t>Faoug</t>
  </si>
  <si>
    <t>Bettens</t>
  </si>
  <si>
    <t>Bournens</t>
  </si>
  <si>
    <t>% taux communal moyen</t>
  </si>
  <si>
    <t>Compensation nette</t>
  </si>
  <si>
    <t>Différence à compenser</t>
  </si>
  <si>
    <t>A recevoir population</t>
  </si>
  <si>
    <t>Total péréquation directe</t>
  </si>
  <si>
    <t>Total éléments divers</t>
  </si>
  <si>
    <t>Effort total net</t>
  </si>
  <si>
    <t xml:space="preserve">Taux actuel </t>
  </si>
  <si>
    <t xml:space="preserve">Solde net actuel
</t>
  </si>
  <si>
    <t xml:space="preserve">Taux </t>
  </si>
  <si>
    <t>Pop.</t>
  </si>
  <si>
    <t>Longirod</t>
  </si>
  <si>
    <t>Marchissy</t>
  </si>
  <si>
    <t>Mollens</t>
  </si>
  <si>
    <t>Montherod</t>
  </si>
  <si>
    <t>Saint-George</t>
  </si>
  <si>
    <t>Total des prises en charges</t>
  </si>
  <si>
    <t>Thématique</t>
  </si>
  <si>
    <t>Effort total</t>
  </si>
  <si>
    <t>Valeur du point</t>
  </si>
  <si>
    <t>Plafonnement en francs</t>
  </si>
  <si>
    <t>Chavannes-le-Veyron</t>
  </si>
  <si>
    <t>Chevilly</t>
  </si>
  <si>
    <t>Cossonay</t>
  </si>
  <si>
    <t>./. Conjoncturelles</t>
  </si>
  <si>
    <t>./. Ecrêtage</t>
  </si>
  <si>
    <t>Paramétrage des critères de péréquation</t>
  </si>
  <si>
    <t>Prise en charge (%)</t>
  </si>
  <si>
    <t>Montants affectés aux plafonnements</t>
  </si>
  <si>
    <t>Seuil max (pts)</t>
  </si>
  <si>
    <t>Impôt sur les étrangers</t>
  </si>
  <si>
    <t>Impôt à la source</t>
  </si>
  <si>
    <t>Pers. morales immeubles</t>
  </si>
  <si>
    <t>Impôt foncier</t>
  </si>
  <si>
    <t>Vulliens</t>
  </si>
  <si>
    <t>Champtauroz</t>
  </si>
  <si>
    <t>Chevroux</t>
  </si>
  <si>
    <t>Belmont-sur-Lausanne</t>
  </si>
  <si>
    <t>Cheseaux-sur-Lausanne</t>
  </si>
  <si>
    <t>Crissier</t>
  </si>
  <si>
    <t>Epalinges</t>
  </si>
  <si>
    <t>Jouxtens-Mézery</t>
  </si>
  <si>
    <t>Mathod</t>
  </si>
  <si>
    <t>Molondin</t>
  </si>
  <si>
    <t>Renens</t>
  </si>
  <si>
    <t>Valeyres-sous-Montagny</t>
  </si>
  <si>
    <t>Valeyres-sous-Ursins</t>
  </si>
  <si>
    <t>Orzens</t>
  </si>
  <si>
    <t>Pomy</t>
  </si>
  <si>
    <t>Rovray</t>
  </si>
  <si>
    <t>Suchy</t>
  </si>
  <si>
    <t>Suscévaz</t>
  </si>
  <si>
    <t>Treycovagnes</t>
  </si>
  <si>
    <t>Aclens</t>
  </si>
  <si>
    <t>Total part communale</t>
  </si>
  <si>
    <t>Répartition selon péréquation</t>
  </si>
  <si>
    <t>Solde péréquation directe</t>
  </si>
  <si>
    <t>Points</t>
  </si>
  <si>
    <t>Seuil 3</t>
  </si>
  <si>
    <t>Effort total sans thématiques</t>
  </si>
  <si>
    <t>Plafonnement aide</t>
  </si>
  <si>
    <t>Pers. physiques - revenu</t>
  </si>
  <si>
    <t xml:space="preserve">Pers. physiques - fortune </t>
  </si>
  <si>
    <t>Impôt sur la dépense (étrangers)</t>
  </si>
  <si>
    <t>Impôt récupéré après défalcation</t>
  </si>
  <si>
    <t>PPR</t>
  </si>
  <si>
    <t>PPF</t>
  </si>
  <si>
    <t>PMB</t>
  </si>
  <si>
    <t>PMC</t>
  </si>
  <si>
    <t>Montant plafonnement totaux</t>
  </si>
  <si>
    <t xml:space="preserve">Montant prélevé </t>
  </si>
  <si>
    <t xml:space="preserve">./. Plafonnements totaux </t>
  </si>
  <si>
    <t xml:space="preserve">./. Réserve </t>
  </si>
  <si>
    <t>Recettes conjoncturelles (mutations + gains immob + successions)</t>
  </si>
  <si>
    <t>A recevoir solidarité</t>
  </si>
  <si>
    <t>Solde solidarité et population</t>
  </si>
  <si>
    <t>Bourg-en-Lavaux</t>
  </si>
  <si>
    <t>Tévenon</t>
  </si>
  <si>
    <t>Vully-les-Lacs</t>
  </si>
  <si>
    <t>Goumoëns</t>
  </si>
  <si>
    <t>Montilliez</t>
  </si>
  <si>
    <t>Jorat-Menthue</t>
  </si>
  <si>
    <t>Valbroye</t>
  </si>
  <si>
    <t>Oron</t>
  </si>
  <si>
    <t>Prélèvements conjoncturels</t>
  </si>
  <si>
    <t>Variation facture sociale</t>
  </si>
  <si>
    <t>Variation point d'impôt</t>
  </si>
  <si>
    <t>Indexation</t>
  </si>
  <si>
    <t>Plafond aide</t>
  </si>
  <si>
    <t>Bussigny</t>
  </si>
  <si>
    <t>Arzier-Le Muids</t>
  </si>
  <si>
    <t>Montanaire</t>
  </si>
  <si>
    <t>Dépassement routes</t>
  </si>
  <si>
    <t>Droits mutations, GI, successions et donations</t>
  </si>
  <si>
    <t>Indice IPC au 1er janvier 2010</t>
  </si>
  <si>
    <t>Indice IPC au 30 juin de l'année du décompte</t>
  </si>
  <si>
    <t>Montant à affecter ajusté à l'IPC</t>
  </si>
  <si>
    <t>Population selon FAO</t>
  </si>
  <si>
    <t xml:space="preserve">Rendement des impôts et taxes communaux  (en CHF)   </t>
  </si>
  <si>
    <t>Année de référence</t>
  </si>
  <si>
    <t>Valeur du point communal</t>
  </si>
  <si>
    <t>Péréquation directe - Couche Population</t>
  </si>
  <si>
    <t>Péréquation directe - Couche Solidarité</t>
  </si>
  <si>
    <t>CHF</t>
  </si>
  <si>
    <t>Pts</t>
  </si>
  <si>
    <t>A rendre en CHF</t>
  </si>
  <si>
    <t>Effort péréquatif en points</t>
  </si>
  <si>
    <t>A) Période de calcul</t>
  </si>
  <si>
    <t>B) Prélèvement sur recettes conjoncturelles</t>
  </si>
  <si>
    <t>C) Ecrêtage</t>
  </si>
  <si>
    <t>pour une capacité dépassant</t>
  </si>
  <si>
    <t>D) Couche population</t>
  </si>
  <si>
    <t>Montant à affecter par habitant</t>
  </si>
  <si>
    <t>E) Couche solidarité</t>
  </si>
  <si>
    <t>F) Ecart péréquation horizontale</t>
  </si>
  <si>
    <t>G) Dépenses thématiques</t>
  </si>
  <si>
    <t>Transports, nombre de points</t>
  </si>
  <si>
    <t>Prise en charge maximale</t>
  </si>
  <si>
    <t xml:space="preserve">I) Indexation </t>
  </si>
  <si>
    <t>H) Paramètres de plafonnement en points</t>
  </si>
  <si>
    <t>Impôts théoriques</t>
  </si>
  <si>
    <t>Synthèse en CHF</t>
  </si>
  <si>
    <t>Ecrêtage</t>
  </si>
  <si>
    <t xml:space="preserve">J) Liste des communes A--&gt;Z </t>
  </si>
  <si>
    <t>Recettes conjoncturelles (DM + GI + Succ.)</t>
  </si>
  <si>
    <t>Répartition solde après prélèvements</t>
  </si>
  <si>
    <t>Total de la facture sociale</t>
  </si>
  <si>
    <t>Solidarité</t>
  </si>
  <si>
    <t>Transports</t>
  </si>
  <si>
    <t>Plafonnements</t>
  </si>
  <si>
    <t>Aide</t>
  </si>
  <si>
    <t>Taux</t>
  </si>
  <si>
    <t>Total de la péréquation directe</t>
  </si>
  <si>
    <t>Montant à charge de la commune</t>
  </si>
  <si>
    <t>Résumé par commune</t>
  </si>
  <si>
    <t>Communes sans police communale/intercommunale = 0</t>
  </si>
  <si>
    <t>Imp théoriques</t>
  </si>
  <si>
    <t>Facturation de l'Etat au coût réel (Fr/hab) aux communes délégatrices, mais max 2 pts</t>
  </si>
  <si>
    <t>Manco pour l'Etat - à couvrir par la péréquation (en points d'impôts écrêtés)</t>
  </si>
  <si>
    <t>Total à charge des communes</t>
  </si>
  <si>
    <t>Réforme policière</t>
  </si>
  <si>
    <t>Financement reçu pour les nouvelles tâches</t>
  </si>
  <si>
    <t>J) Réforme policière</t>
  </si>
  <si>
    <t>Nombre de point</t>
  </si>
  <si>
    <t>Charges pour commune sans police</t>
  </si>
  <si>
    <t>Répartition du solde</t>
  </si>
  <si>
    <t>Facture</t>
  </si>
  <si>
    <t>Date population</t>
  </si>
  <si>
    <t>Date taux d'impôt</t>
  </si>
  <si>
    <t>Taux IFO</t>
  </si>
  <si>
    <t>Total de la réforme policière</t>
  </si>
  <si>
    <t>Date plafonnement du taux (N-1)</t>
  </si>
  <si>
    <t>Seuil de population (habitants). Art. 2 DLPIC</t>
  </si>
  <si>
    <t>Selon Art. 3 DLPIC</t>
  </si>
  <si>
    <t>Gestion du fond (montant négatif). Art. 8 DLPIC</t>
  </si>
  <si>
    <t>% prélevé. Art. 4 LPIC</t>
  </si>
  <si>
    <t>Frontaliers. Art. 3 LPIC</t>
  </si>
  <si>
    <t>Forêts, nombre de points. Art. 4 DLPIC</t>
  </si>
  <si>
    <t>Effort maximum plafonné. Art. 5 DLPIC</t>
  </si>
  <si>
    <t>Aide maximale plafonnée. Art. 7 DLPIC</t>
  </si>
  <si>
    <t>x</t>
  </si>
  <si>
    <t>P é r é q u a t i o n   i n d i r e c t e   (facture sociale)</t>
  </si>
  <si>
    <t>P é r é q u a t i o n   d i r e c t e</t>
  </si>
  <si>
    <t>R é f o r m e   p o l i c i è r e</t>
  </si>
  <si>
    <t>T o t a l   p é r é q u a t i o n   d i r e c t e,   i n d i r e c t e   e t   p o l i c e</t>
  </si>
  <si>
    <t>Treytorrens (Payerne)</t>
  </si>
  <si>
    <t>Saint-Légier-La Chiésaz</t>
  </si>
  <si>
    <t>Commune
LDecTer, Etat 01.05.2014</t>
  </si>
  <si>
    <t>Effort péréquatif. Art. 5 DLPIC</t>
  </si>
  <si>
    <t>Dépassement du taux. Art. 6 DLPIC</t>
  </si>
  <si>
    <t>Année 2018</t>
  </si>
  <si>
    <t>Montant écrêtage pour calculer le point impôt écrêté</t>
  </si>
  <si>
    <t>*Année 2019</t>
  </si>
  <si>
    <t>* Cela équivaut à la suppression du point d'impôt écrêté</t>
  </si>
  <si>
    <t>*Max. selon art. 4 DLPIC</t>
  </si>
  <si>
    <t>Jorat-Mézières</t>
  </si>
  <si>
    <t xml:space="preserve">Année 2018 : </t>
  </si>
  <si>
    <t>Dès 2019 :</t>
  </si>
  <si>
    <t>Total des prises en charges pour plfd aide</t>
  </si>
  <si>
    <t>Année 2019</t>
  </si>
  <si>
    <t>Situation N-1 (plafond de l'effort)</t>
  </si>
  <si>
    <t>Situation N-1 (plafond du taux)</t>
  </si>
  <si>
    <t>Effort</t>
  </si>
  <si>
    <t>Total net</t>
  </si>
  <si>
    <t>S y n t h è s e   e n   C H F</t>
  </si>
  <si>
    <t>Coût réel en CHF</t>
  </si>
  <si>
    <t>Taux maximum plafonné. Art. 6 DLPIC</t>
  </si>
  <si>
    <t>Seuil 4</t>
  </si>
  <si>
    <t>Seuil 5</t>
  </si>
  <si>
    <t>2019</t>
  </si>
  <si>
    <t>Facture sociale selon acomptes 2019</t>
  </si>
  <si>
    <t>Valeur du point d'impôt communal selon acomptes 2019</t>
  </si>
  <si>
    <t>Valeur point impôt</t>
  </si>
  <si>
    <t>Acomptes 2019</t>
  </si>
  <si>
    <t>Nombre de points</t>
  </si>
  <si>
    <t>Valeur du point d'impôt</t>
  </si>
  <si>
    <t>Facture en points d'impôts</t>
  </si>
  <si>
    <t>Point impôt</t>
  </si>
  <si>
    <t>Montant total avec le renchérissement à payer par les communes en pts d'impôts</t>
  </si>
  <si>
    <t>Point d'impôt</t>
  </si>
  <si>
    <t>Point d'impôts</t>
  </si>
  <si>
    <t>Plafond de 
taux</t>
  </si>
  <si>
    <t>* Dès 2019, le plafond a passé de 4 à 4.5</t>
  </si>
  <si>
    <t xml:space="preserve">*Pers. morales bénéfice </t>
  </si>
  <si>
    <t>*Pers. morales  capital</t>
  </si>
  <si>
    <t>Facture sociale selon acomptes 2020</t>
  </si>
  <si>
    <t>Valeur du point d'impôt communal selon acomptes 2020</t>
  </si>
  <si>
    <t>Année 2020</t>
  </si>
  <si>
    <t>Dès 2020 :</t>
  </si>
  <si>
    <t>Acomptes 2020</t>
  </si>
  <si>
    <t>* Les rendements des impôts sur les personnes morales (bénéfice et capital) correspondent aux rendement de la periode comptable 2018 actualisés avec les taux RIEIII (calculés par l'ACI)</t>
  </si>
  <si>
    <t/>
  </si>
  <si>
    <t>Effort total sans les recettes conjoncturelles</t>
  </si>
  <si>
    <t>Montant prélevé en pts d'impôt</t>
  </si>
  <si>
    <t>** Répartition des 31.8 mios octroyés par l'Etat aux communes pour atténuer les effets de l'entrée en vigueur de la RFFA dès le 1er janvier 2020 en fonction des rendements des impôts des personnes morales</t>
  </si>
  <si>
    <t>2020</t>
  </si>
  <si>
    <t>Répartition CHF 31.8 mios</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</si>
</sst>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 _C_H_F_-;\-* #,##0.00\ _C_H_F_-;_-* &quot;-&quot;??\ _C_H_F_-;_-@_-"/>
    <numFmt numFmtId="164" formatCode="_ * #,##0.00_ ;_ * \-#,##0.00_ ;_ * &quot;-&quot;??_ ;_ @_ "/>
    <numFmt numFmtId="165" formatCode="_-* #,##0.00_-;\-* #,##0.00_-;_-* &quot;-&quot;??_-;_-@_-"/>
    <numFmt numFmtId="166" formatCode="#\ ###\ ###\ ##0"/>
    <numFmt numFmtId="167" formatCode="#,##0.0"/>
    <numFmt numFmtId="168" formatCode="0.0%"/>
    <numFmt numFmtId="169" formatCode="#\ ###\ ##0"/>
    <numFmt numFmtId="170" formatCode="0.000"/>
    <numFmt numFmtId="171" formatCode="#,##0.000"/>
    <numFmt numFmtId="172" formatCode="#,##0;\-#,##0;"/>
    <numFmt numFmtId="173" formatCode="#,##0.000000"/>
    <numFmt numFmtId="174" formatCode="0.0000"/>
    <numFmt numFmtId="175" formatCode="_-* #,##0_-;\-* #,##0_-;_-* &quot;-&quot;??_-;_-@_-"/>
    <numFmt numFmtId="176" formatCode="_ * #,##0_ ;_ * \-#,##0_ ;_ * &quot;-&quot;??_ ;_ @_ "/>
    <numFmt numFmtId="177" formatCode="_-* #,##0.0_-;\-* #,##0.0_-;_-* &quot;-&quot;??_-;_-@_-"/>
    <numFmt numFmtId="178" formatCode="_ * #,##0.000_ ;_ * \-#,##0.000_ ;_ * &quot;-&quot;??_ ;_ @_ "/>
    <numFmt numFmtId="179" formatCode="_-* #,##0.000_-;\-* #,##0.000_-;_-* &quot;-&quot;??_-;_-@_-"/>
    <numFmt numFmtId="180" formatCode="0_ ;\-0\ "/>
  </numFmts>
  <fonts count="42" x14ac:knownFonts="1">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0"/>
      <name val="Arial Narrow"/>
      <family val="2"/>
    </font>
    <font>
      <sz val="10"/>
      <name val="Arial"/>
      <family val="2"/>
    </font>
    <font>
      <sz val="8"/>
      <name val="Verdana"/>
      <family val="2"/>
    </font>
    <font>
      <sz val="10"/>
      <color indexed="8"/>
      <name val="Arial"/>
      <family val="2"/>
    </font>
    <font>
      <sz val="10"/>
      <name val="Times New Roman"/>
      <family val="1"/>
    </font>
    <font>
      <sz val="14"/>
      <name val="Times New Roman"/>
      <family val="1"/>
    </font>
    <font>
      <sz val="10"/>
      <name val="MS Sans Serif"/>
      <family val="2"/>
    </font>
    <font>
      <sz val="11"/>
      <color theme="1"/>
      <name val="Calibri"/>
      <family val="2"/>
      <scheme val="minor"/>
    </font>
    <font>
      <sz val="11"/>
      <color theme="0"/>
      <name val="Calibri"/>
      <family val="2"/>
      <scheme val="minor"/>
    </font>
    <font>
      <sz val="11"/>
      <name val="Calibri"/>
      <family val="2"/>
      <scheme val="minor"/>
    </font>
    <font>
      <i/>
      <sz val="11"/>
      <name val="Calibri"/>
      <family val="2"/>
      <scheme val="minor"/>
    </font>
    <font>
      <sz val="16"/>
      <name val="Calibri"/>
      <family val="2"/>
      <scheme val="minor"/>
    </font>
    <font>
      <b/>
      <sz val="11"/>
      <name val="Calibri"/>
      <family val="2"/>
      <scheme val="minor"/>
    </font>
    <font>
      <sz val="11"/>
      <color indexed="10"/>
      <name val="Calibri"/>
      <family val="2"/>
      <scheme val="minor"/>
    </font>
    <font>
      <sz val="11"/>
      <color indexed="8"/>
      <name val="Calibri"/>
      <family val="2"/>
      <scheme val="minor"/>
    </font>
    <font>
      <sz val="24"/>
      <name val="Calibri"/>
      <family val="2"/>
      <scheme val="minor"/>
    </font>
    <font>
      <sz val="20"/>
      <name val="Calibri"/>
      <family val="2"/>
      <scheme val="minor"/>
    </font>
    <font>
      <sz val="20"/>
      <color theme="0"/>
      <name val="Calibri"/>
      <family val="2"/>
      <scheme val="minor"/>
    </font>
    <font>
      <sz val="10"/>
      <name val="Arial"/>
      <family val="2"/>
    </font>
    <font>
      <sz val="10"/>
      <name val="Calibri"/>
      <family val="2"/>
      <scheme val="minor"/>
    </font>
    <font>
      <sz val="12"/>
      <color theme="0"/>
      <name val="Trebuchet MS"/>
      <family val="2"/>
    </font>
    <font>
      <b/>
      <sz val="10"/>
      <name val="Calibri"/>
      <family val="2"/>
      <scheme val="minor"/>
    </font>
    <font>
      <sz val="14"/>
      <name val="Trebuchet MS"/>
      <family val="2"/>
    </font>
    <font>
      <sz val="11"/>
      <color theme="0"/>
      <name val="Calibri"/>
      <family val="2"/>
    </font>
    <font>
      <sz val="11"/>
      <name val="Calibri"/>
      <family val="2"/>
    </font>
  </fonts>
  <fills count="12">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002060"/>
        <bgColor indexed="64"/>
      </patternFill>
    </fill>
    <fill>
      <patternFill patternType="solid">
        <fgColor theme="5" tint="0.59999389629810485"/>
        <bgColor indexed="64"/>
      </patternFill>
    </fill>
    <fill>
      <patternFill patternType="solid">
        <fgColor rgb="FFFFFF00"/>
        <bgColor indexed="64"/>
      </patternFill>
    </fill>
  </fills>
  <borders count="18">
    <border>
      <left/>
      <right/>
      <top/>
      <bottom/>
      <diagonal/>
    </border>
    <border>
      <left/>
      <right/>
      <top style="medium">
        <color indexed="64"/>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s>
  <cellStyleXfs count="173">
    <xf numFmtId="0" fontId="0" fillId="0" borderId="0"/>
    <xf numFmtId="0" fontId="21" fillId="0" borderId="1"/>
    <xf numFmtId="0" fontId="22" fillId="0" borderId="0"/>
    <xf numFmtId="0" fontId="21" fillId="0" borderId="2">
      <alignment vertical="top"/>
    </xf>
    <xf numFmtId="165" fontId="16" fillId="0" borderId="0" applyFont="0" applyFill="0" applyBorder="0" applyAlignment="0" applyProtection="0"/>
    <xf numFmtId="164" fontId="18" fillId="0" borderId="0" applyFont="0" applyFill="0" applyBorder="0" applyAlignment="0" applyProtection="0"/>
    <xf numFmtId="164" fontId="24" fillId="0" borderId="0" applyFont="0" applyFill="0" applyBorder="0" applyAlignment="0" applyProtection="0"/>
    <xf numFmtId="0" fontId="23" fillId="0" borderId="0"/>
    <xf numFmtId="0" fontId="20" fillId="0" borderId="0"/>
    <xf numFmtId="0" fontId="18" fillId="0" borderId="0"/>
    <xf numFmtId="0" fontId="24" fillId="0" borderId="0"/>
    <xf numFmtId="0" fontId="17" fillId="0" borderId="0"/>
    <xf numFmtId="9" fontId="16" fillId="0" borderId="0" applyFont="0" applyFill="0" applyBorder="0" applyAlignment="0" applyProtection="0"/>
    <xf numFmtId="9" fontId="18" fillId="0" borderId="0" applyFont="0" applyFill="0" applyBorder="0" applyAlignment="0" applyProtection="0"/>
    <xf numFmtId="164" fontId="35" fillId="0" borderId="0" applyFont="0" applyFill="0" applyBorder="0" applyAlignment="0" applyProtection="0"/>
    <xf numFmtId="0" fontId="35" fillId="0" borderId="0"/>
    <xf numFmtId="164" fontId="13" fillId="0" borderId="0" applyFont="0" applyFill="0" applyBorder="0" applyAlignment="0" applyProtection="0"/>
    <xf numFmtId="0" fontId="13" fillId="0" borderId="0"/>
    <xf numFmtId="0" fontId="16"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8" fillId="0" borderId="0" applyFont="0" applyFill="0" applyBorder="0" applyAlignment="0" applyProtection="0"/>
    <xf numFmtId="0" fontId="12" fillId="0" borderId="0"/>
    <xf numFmtId="0" fontId="12" fillId="0" borderId="0"/>
    <xf numFmtId="0" fontId="12" fillId="0" borderId="0"/>
    <xf numFmtId="0" fontId="12" fillId="0" borderId="0"/>
    <xf numFmtId="0" fontId="18"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1" fillId="0" borderId="0" applyFont="0" applyFill="0" applyBorder="0" applyAlignment="0" applyProtection="0"/>
    <xf numFmtId="0" fontId="11"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0" fontId="10" fillId="0" borderId="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164" fontId="10" fillId="0" borderId="0" applyFont="0" applyFill="0" applyBorder="0" applyAlignment="0" applyProtection="0"/>
    <xf numFmtId="0" fontId="10"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18" fillId="0" borderId="0"/>
    <xf numFmtId="0" fontId="18"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164" fontId="7" fillId="0" borderId="0" applyFont="0" applyFill="0" applyBorder="0" applyAlignment="0" applyProtection="0"/>
    <xf numFmtId="0" fontId="7" fillId="0" borderId="0"/>
    <xf numFmtId="0" fontId="6"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0" fontId="4" fillId="0" borderId="0"/>
    <xf numFmtId="9" fontId="4"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cellStyleXfs>
  <cellXfs count="545">
    <xf numFmtId="0" fontId="0" fillId="0" borderId="0" xfId="0"/>
    <xf numFmtId="175" fontId="26" fillId="0" borderId="0" xfId="4" applyNumberFormat="1" applyFont="1" applyFill="1" applyBorder="1"/>
    <xf numFmtId="175" fontId="26" fillId="3" borderId="5" xfId="4" applyNumberFormat="1" applyFont="1" applyFill="1" applyBorder="1"/>
    <xf numFmtId="0" fontId="26" fillId="4" borderId="0" xfId="0" applyNumberFormat="1" applyFont="1" applyFill="1" applyAlignment="1">
      <alignment horizontal="left"/>
    </xf>
    <xf numFmtId="0" fontId="26" fillId="4" borderId="0" xfId="0" applyNumberFormat="1" applyFont="1" applyFill="1" applyAlignment="1">
      <alignment horizontal="center"/>
    </xf>
    <xf numFmtId="175" fontId="26" fillId="4" borderId="0" xfId="4" applyNumberFormat="1" applyFont="1" applyFill="1" applyAlignment="1">
      <alignment horizontal="center"/>
    </xf>
    <xf numFmtId="175" fontId="26" fillId="4" borderId="0" xfId="4" applyNumberFormat="1" applyFont="1" applyFill="1"/>
    <xf numFmtId="0" fontId="26" fillId="4" borderId="14" xfId="0" applyNumberFormat="1" applyFont="1" applyFill="1" applyBorder="1" applyAlignment="1">
      <alignment horizontal="center"/>
    </xf>
    <xf numFmtId="0" fontId="26" fillId="4" borderId="5" xfId="0" applyNumberFormat="1" applyFont="1" applyFill="1" applyBorder="1" applyAlignment="1">
      <alignment horizontal="center"/>
    </xf>
    <xf numFmtId="3" fontId="26" fillId="4" borderId="9" xfId="0" applyNumberFormat="1" applyFont="1" applyFill="1" applyBorder="1"/>
    <xf numFmtId="175" fontId="26" fillId="4" borderId="5" xfId="4" applyNumberFormat="1" applyFont="1" applyFill="1" applyBorder="1"/>
    <xf numFmtId="175" fontId="26" fillId="4" borderId="14" xfId="4" applyNumberFormat="1" applyFont="1" applyFill="1" applyBorder="1"/>
    <xf numFmtId="3" fontId="26" fillId="4" borderId="0" xfId="0" applyNumberFormat="1" applyFont="1" applyFill="1"/>
    <xf numFmtId="0" fontId="26" fillId="4" borderId="0" xfId="0" applyFont="1" applyFill="1"/>
    <xf numFmtId="175" fontId="26" fillId="4" borderId="0" xfId="4" applyNumberFormat="1" applyFont="1" applyFill="1" applyBorder="1"/>
    <xf numFmtId="165" fontId="26" fillId="4" borderId="0" xfId="4" applyFont="1" applyFill="1"/>
    <xf numFmtId="0" fontId="26" fillId="4" borderId="0" xfId="0" applyFont="1" applyFill="1" applyAlignment="1">
      <alignment vertical="top" wrapText="1"/>
    </xf>
    <xf numFmtId="165" fontId="26" fillId="4" borderId="0" xfId="0" applyNumberFormat="1" applyFont="1" applyFill="1"/>
    <xf numFmtId="175" fontId="26" fillId="4" borderId="3" xfId="4" applyNumberFormat="1" applyFont="1" applyFill="1" applyBorder="1"/>
    <xf numFmtId="165" fontId="26" fillId="4" borderId="14" xfId="4" applyFont="1" applyFill="1" applyBorder="1"/>
    <xf numFmtId="175" fontId="25" fillId="6" borderId="14" xfId="4" applyNumberFormat="1" applyFont="1" applyFill="1" applyBorder="1" applyAlignment="1">
      <alignment horizontal="center"/>
    </xf>
    <xf numFmtId="166" fontId="25" fillId="6" borderId="14" xfId="0" applyNumberFormat="1" applyFont="1" applyFill="1" applyBorder="1" applyAlignment="1">
      <alignment horizontal="center"/>
    </xf>
    <xf numFmtId="0" fontId="26" fillId="4" borderId="0" xfId="0" applyFont="1" applyFill="1" applyAlignment="1">
      <alignment horizontal="center"/>
    </xf>
    <xf numFmtId="14" fontId="25" fillId="6" borderId="14" xfId="0" applyNumberFormat="1" applyFont="1" applyFill="1" applyBorder="1" applyAlignment="1">
      <alignment horizontal="center"/>
    </xf>
    <xf numFmtId="166" fontId="26" fillId="4" borderId="17" xfId="0" applyNumberFormat="1" applyFont="1" applyFill="1" applyBorder="1" applyAlignment="1">
      <alignment horizontal="center"/>
    </xf>
    <xf numFmtId="0" fontId="28" fillId="4" borderId="0" xfId="0" applyNumberFormat="1" applyFont="1" applyFill="1" applyAlignment="1">
      <alignment horizontal="left"/>
    </xf>
    <xf numFmtId="0" fontId="28" fillId="4" borderId="0" xfId="0" applyNumberFormat="1" applyFont="1" applyFill="1" applyAlignment="1">
      <alignment horizontal="center"/>
    </xf>
    <xf numFmtId="0" fontId="27" fillId="4" borderId="0" xfId="0" applyFont="1" applyFill="1"/>
    <xf numFmtId="4" fontId="26" fillId="4" borderId="0" xfId="0" applyNumberFormat="1" applyFont="1" applyFill="1"/>
    <xf numFmtId="166" fontId="26" fillId="4" borderId="0" xfId="0" applyNumberFormat="1" applyFont="1" applyFill="1" applyAlignment="1">
      <alignment horizontal="left"/>
    </xf>
    <xf numFmtId="0" fontId="26" fillId="4" borderId="14" xfId="0" applyFont="1" applyFill="1" applyBorder="1"/>
    <xf numFmtId="175" fontId="26" fillId="4" borderId="11" xfId="4" applyNumberFormat="1" applyFont="1" applyFill="1" applyBorder="1"/>
    <xf numFmtId="3" fontId="26" fillId="4" borderId="5" xfId="0" applyNumberFormat="1" applyFont="1" applyFill="1" applyBorder="1"/>
    <xf numFmtId="165" fontId="26" fillId="4" borderId="5" xfId="4" applyFont="1" applyFill="1" applyBorder="1"/>
    <xf numFmtId="2" fontId="26" fillId="4" borderId="5" xfId="0" applyNumberFormat="1" applyFont="1" applyFill="1" applyBorder="1"/>
    <xf numFmtId="2" fontId="26" fillId="4" borderId="14" xfId="0" applyNumberFormat="1" applyFont="1" applyFill="1" applyBorder="1"/>
    <xf numFmtId="175" fontId="26" fillId="4" borderId="0" xfId="0" applyNumberFormat="1" applyFont="1" applyFill="1"/>
    <xf numFmtId="175" fontId="26" fillId="5" borderId="14" xfId="4" applyNumberFormat="1" applyFont="1" applyFill="1" applyBorder="1"/>
    <xf numFmtId="175" fontId="26" fillId="3" borderId="14" xfId="4" applyNumberFormat="1" applyFont="1" applyFill="1" applyBorder="1"/>
    <xf numFmtId="3" fontId="25" fillId="6" borderId="14" xfId="0" applyNumberFormat="1" applyFont="1" applyFill="1" applyBorder="1" applyAlignment="1">
      <alignment horizontal="center"/>
    </xf>
    <xf numFmtId="0" fontId="25" fillId="6" borderId="14" xfId="0" applyNumberFormat="1" applyFont="1" applyFill="1" applyBorder="1" applyAlignment="1">
      <alignment horizontal="center"/>
    </xf>
    <xf numFmtId="175" fontId="26" fillId="4" borderId="9" xfId="4" applyNumberFormat="1" applyFont="1" applyFill="1" applyBorder="1"/>
    <xf numFmtId="3" fontId="26" fillId="4" borderId="0" xfId="11" applyNumberFormat="1" applyFont="1" applyFill="1" applyAlignment="1">
      <alignment vertical="center"/>
    </xf>
    <xf numFmtId="0" fontId="26" fillId="4" borderId="0" xfId="11" applyFont="1" applyFill="1" applyAlignment="1">
      <alignment vertical="center"/>
    </xf>
    <xf numFmtId="175" fontId="26" fillId="4" borderId="0" xfId="4" applyNumberFormat="1" applyFont="1" applyFill="1" applyAlignment="1">
      <alignment vertical="center"/>
    </xf>
    <xf numFmtId="0" fontId="26" fillId="4" borderId="0" xfId="0" applyFont="1" applyFill="1" applyBorder="1"/>
    <xf numFmtId="0" fontId="26" fillId="4" borderId="4" xfId="0" applyFont="1" applyFill="1" applyBorder="1" applyAlignment="1">
      <alignment horizontal="center"/>
    </xf>
    <xf numFmtId="167" fontId="26" fillId="4" borderId="0" xfId="0" applyNumberFormat="1" applyFont="1" applyFill="1"/>
    <xf numFmtId="0" fontId="26" fillId="4" borderId="0" xfId="0" quotePrefix="1" applyFont="1" applyFill="1"/>
    <xf numFmtId="0" fontId="26" fillId="4" borderId="5" xfId="0" applyFont="1" applyFill="1" applyBorder="1" applyAlignment="1">
      <alignment horizontal="center"/>
    </xf>
    <xf numFmtId="0" fontId="26" fillId="4" borderId="3" xfId="0" applyFont="1" applyFill="1" applyBorder="1" applyAlignment="1">
      <alignment horizontal="center"/>
    </xf>
    <xf numFmtId="1" fontId="28" fillId="4" borderId="0" xfId="11" applyNumberFormat="1" applyFont="1" applyFill="1" applyAlignment="1">
      <alignment horizontal="left" vertical="center"/>
    </xf>
    <xf numFmtId="4" fontId="26" fillId="4" borderId="0" xfId="11" applyNumberFormat="1" applyFont="1" applyFill="1" applyAlignment="1">
      <alignment vertical="center"/>
    </xf>
    <xf numFmtId="0" fontId="27" fillId="4" borderId="0" xfId="11" applyFont="1" applyFill="1"/>
    <xf numFmtId="175" fontId="26" fillId="4" borderId="4" xfId="4" applyNumberFormat="1" applyFont="1" applyFill="1" applyBorder="1"/>
    <xf numFmtId="175" fontId="26" fillId="5" borderId="5" xfId="4" applyNumberFormat="1" applyFont="1" applyFill="1" applyBorder="1"/>
    <xf numFmtId="0" fontId="26" fillId="4" borderId="0" xfId="11" applyFont="1" applyFill="1" applyBorder="1" applyAlignment="1">
      <alignment vertical="center"/>
    </xf>
    <xf numFmtId="10" fontId="26" fillId="4" borderId="0" xfId="12" applyNumberFormat="1" applyFont="1" applyFill="1" applyAlignment="1">
      <alignment vertical="center"/>
    </xf>
    <xf numFmtId="10" fontId="26" fillId="4" borderId="0" xfId="12" applyNumberFormat="1" applyFont="1" applyFill="1"/>
    <xf numFmtId="4" fontId="26" fillId="4" borderId="14" xfId="0" applyNumberFormat="1" applyFont="1" applyFill="1" applyBorder="1"/>
    <xf numFmtId="10" fontId="26" fillId="4" borderId="14" xfId="12" applyNumberFormat="1" applyFont="1" applyFill="1" applyBorder="1"/>
    <xf numFmtId="0" fontId="25" fillId="6" borderId="4" xfId="0" applyFont="1" applyFill="1" applyBorder="1" applyAlignment="1">
      <alignment horizontal="center" vertical="center" wrapText="1"/>
    </xf>
    <xf numFmtId="4" fontId="26" fillId="4" borderId="11" xfId="0" applyNumberFormat="1" applyFont="1" applyFill="1" applyBorder="1"/>
    <xf numFmtId="9" fontId="25" fillId="6" borderId="14" xfId="12" applyNumberFormat="1" applyFont="1" applyFill="1" applyBorder="1" applyAlignment="1">
      <alignment horizontal="center" vertical="center" wrapText="1"/>
    </xf>
    <xf numFmtId="0" fontId="25" fillId="6" borderId="14" xfId="0" applyFont="1" applyFill="1" applyBorder="1" applyAlignment="1">
      <alignment horizontal="center" vertical="center" wrapText="1"/>
    </xf>
    <xf numFmtId="9" fontId="25" fillId="6" borderId="14" xfId="12" applyNumberFormat="1" applyFont="1" applyFill="1" applyBorder="1" applyAlignment="1">
      <alignment horizontal="center" vertical="center"/>
    </xf>
    <xf numFmtId="165" fontId="25" fillId="6" borderId="14" xfId="4" applyFont="1" applyFill="1" applyBorder="1" applyAlignment="1">
      <alignment vertical="center" wrapText="1"/>
    </xf>
    <xf numFmtId="4" fontId="26" fillId="4" borderId="12" xfId="0" applyNumberFormat="1" applyFont="1" applyFill="1" applyBorder="1"/>
    <xf numFmtId="169" fontId="26" fillId="4" borderId="0" xfId="11" applyNumberFormat="1" applyFont="1" applyFill="1" applyAlignment="1">
      <alignment vertical="center"/>
    </xf>
    <xf numFmtId="175" fontId="26" fillId="4" borderId="15" xfId="4" applyNumberFormat="1" applyFont="1" applyFill="1" applyBorder="1"/>
    <xf numFmtId="175" fontId="26" fillId="4" borderId="16" xfId="4" applyNumberFormat="1" applyFont="1" applyFill="1" applyBorder="1"/>
    <xf numFmtId="170" fontId="26" fillId="4" borderId="0" xfId="0" applyNumberFormat="1" applyFont="1" applyFill="1"/>
    <xf numFmtId="0" fontId="26" fillId="4" borderId="0" xfId="0" applyFont="1" applyFill="1" applyAlignment="1">
      <alignment vertical="top"/>
    </xf>
    <xf numFmtId="3" fontId="26" fillId="4" borderId="0" xfId="0" applyNumberFormat="1" applyFont="1" applyFill="1" applyAlignment="1">
      <alignment vertical="top"/>
    </xf>
    <xf numFmtId="3" fontId="26" fillId="4" borderId="0" xfId="0" applyNumberFormat="1" applyFont="1" applyFill="1" applyBorder="1" applyAlignment="1">
      <alignment vertical="top" wrapText="1"/>
    </xf>
    <xf numFmtId="0" fontId="26" fillId="4" borderId="17" xfId="0" applyFont="1" applyFill="1" applyBorder="1"/>
    <xf numFmtId="0" fontId="26" fillId="4" borderId="6" xfId="0" applyFont="1" applyFill="1" applyBorder="1"/>
    <xf numFmtId="0" fontId="26" fillId="4" borderId="7" xfId="0" applyFont="1" applyFill="1" applyBorder="1"/>
    <xf numFmtId="0" fontId="26" fillId="4" borderId="14" xfId="0" applyFont="1" applyFill="1" applyBorder="1" applyAlignment="1">
      <alignment horizontal="center"/>
    </xf>
    <xf numFmtId="0" fontId="26" fillId="4" borderId="8" xfId="0" applyFont="1" applyFill="1" applyBorder="1"/>
    <xf numFmtId="0" fontId="26" fillId="4" borderId="12" xfId="0" applyFont="1" applyFill="1" applyBorder="1"/>
    <xf numFmtId="0" fontId="26" fillId="4" borderId="9" xfId="0" applyFont="1" applyFill="1" applyBorder="1"/>
    <xf numFmtId="0" fontId="26" fillId="4" borderId="11" xfId="0" applyFont="1" applyFill="1" applyBorder="1"/>
    <xf numFmtId="0" fontId="26" fillId="4" borderId="10" xfId="0" applyFont="1" applyFill="1" applyBorder="1"/>
    <xf numFmtId="0" fontId="26" fillId="4" borderId="13" xfId="0" applyFont="1" applyFill="1" applyBorder="1"/>
    <xf numFmtId="173" fontId="26" fillId="4" borderId="0" xfId="0" applyNumberFormat="1" applyFont="1" applyFill="1" applyAlignment="1">
      <alignment vertical="top"/>
    </xf>
    <xf numFmtId="175" fontId="26" fillId="4" borderId="12" xfId="4" applyNumberFormat="1" applyFont="1" applyFill="1" applyBorder="1"/>
    <xf numFmtId="165" fontId="26" fillId="4" borderId="4" xfId="4" applyFont="1" applyFill="1" applyBorder="1"/>
    <xf numFmtId="165" fontId="26" fillId="4" borderId="3" xfId="4" applyFont="1" applyFill="1" applyBorder="1"/>
    <xf numFmtId="3" fontId="26" fillId="4" borderId="8" xfId="0" applyNumberFormat="1" applyFont="1" applyFill="1" applyBorder="1"/>
    <xf numFmtId="3" fontId="26" fillId="4" borderId="10" xfId="0" applyNumberFormat="1" applyFont="1" applyFill="1" applyBorder="1"/>
    <xf numFmtId="3" fontId="26" fillId="4" borderId="17" xfId="0" applyNumberFormat="1" applyFont="1" applyFill="1" applyBorder="1"/>
    <xf numFmtId="3" fontId="26" fillId="4" borderId="13" xfId="0" applyNumberFormat="1" applyFont="1" applyFill="1" applyBorder="1" applyAlignment="1">
      <alignment horizontal="center" vertical="top" wrapText="1"/>
    </xf>
    <xf numFmtId="169" fontId="26" fillId="4" borderId="0" xfId="0" applyNumberFormat="1" applyFont="1" applyFill="1"/>
    <xf numFmtId="3" fontId="26" fillId="4" borderId="4" xfId="12" applyNumberFormat="1" applyFont="1" applyFill="1" applyBorder="1"/>
    <xf numFmtId="3" fontId="26" fillId="4" borderId="5" xfId="12" applyNumberFormat="1" applyFont="1" applyFill="1" applyBorder="1"/>
    <xf numFmtId="3" fontId="26" fillId="4" borderId="3" xfId="12" applyNumberFormat="1" applyFont="1" applyFill="1" applyBorder="1"/>
    <xf numFmtId="3" fontId="26" fillId="4" borderId="14" xfId="12" applyNumberFormat="1" applyFont="1" applyFill="1" applyBorder="1"/>
    <xf numFmtId="165" fontId="26" fillId="4" borderId="14" xfId="4" applyNumberFormat="1" applyFont="1" applyFill="1" applyBorder="1"/>
    <xf numFmtId="175" fontId="26" fillId="8" borderId="14" xfId="4" applyNumberFormat="1" applyFont="1" applyFill="1" applyBorder="1"/>
    <xf numFmtId="175" fontId="26" fillId="5" borderId="4" xfId="4" applyNumberFormat="1" applyFont="1" applyFill="1" applyBorder="1"/>
    <xf numFmtId="175" fontId="26" fillId="5" borderId="3" xfId="4" applyNumberFormat="1" applyFont="1" applyFill="1" applyBorder="1"/>
    <xf numFmtId="3" fontId="25" fillId="6" borderId="4" xfId="0" applyNumberFormat="1" applyFont="1" applyFill="1" applyBorder="1"/>
    <xf numFmtId="0" fontId="25" fillId="6" borderId="0" xfId="0" applyFont="1" applyFill="1"/>
    <xf numFmtId="0" fontId="26" fillId="4" borderId="8" xfId="0" applyFont="1" applyFill="1" applyBorder="1" applyAlignment="1">
      <alignment horizontal="center"/>
    </xf>
    <xf numFmtId="0" fontId="25" fillId="6" borderId="3" xfId="0" applyFont="1" applyFill="1" applyBorder="1" applyAlignment="1">
      <alignment horizontal="center"/>
    </xf>
    <xf numFmtId="175" fontId="26" fillId="4" borderId="13" xfId="4" applyNumberFormat="1" applyFont="1" applyFill="1" applyBorder="1"/>
    <xf numFmtId="2" fontId="26" fillId="4" borderId="0" xfId="0" applyNumberFormat="1" applyFont="1" applyFill="1"/>
    <xf numFmtId="9" fontId="26" fillId="4" borderId="0" xfId="0" applyNumberFormat="1" applyFont="1" applyFill="1"/>
    <xf numFmtId="4" fontId="26" fillId="4" borderId="14" xfId="12" applyNumberFormat="1" applyFont="1" applyFill="1" applyBorder="1"/>
    <xf numFmtId="4" fontId="26" fillId="4" borderId="0" xfId="12" applyNumberFormat="1" applyFont="1" applyFill="1" applyBorder="1"/>
    <xf numFmtId="0" fontId="26" fillId="4" borderId="16" xfId="0" applyFont="1" applyFill="1" applyBorder="1"/>
    <xf numFmtId="0" fontId="25" fillId="6" borderId="4" xfId="0" applyFont="1" applyFill="1" applyBorder="1" applyAlignment="1">
      <alignment horizontal="center" vertical="top" wrapText="1"/>
    </xf>
    <xf numFmtId="9" fontId="25" fillId="6" borderId="4" xfId="0" applyNumberFormat="1" applyFont="1" applyFill="1" applyBorder="1" applyAlignment="1">
      <alignment horizontal="center"/>
    </xf>
    <xf numFmtId="175" fontId="26" fillId="5" borderId="11" xfId="4" applyNumberFormat="1" applyFont="1" applyFill="1" applyBorder="1"/>
    <xf numFmtId="3" fontId="26" fillId="4" borderId="17" xfId="12" applyNumberFormat="1" applyFont="1" applyFill="1" applyBorder="1"/>
    <xf numFmtId="171" fontId="26" fillId="4" borderId="0" xfId="0" applyNumberFormat="1" applyFont="1" applyFill="1"/>
    <xf numFmtId="2" fontId="25" fillId="6" borderId="3" xfId="0" applyNumberFormat="1" applyFont="1" applyFill="1" applyBorder="1" applyAlignment="1">
      <alignment horizontal="center" vertical="top" wrapText="1"/>
    </xf>
    <xf numFmtId="3" fontId="26" fillId="4" borderId="7" xfId="12" applyNumberFormat="1" applyFont="1" applyFill="1" applyBorder="1"/>
    <xf numFmtId="166" fontId="26" fillId="4" borderId="14" xfId="0" applyNumberFormat="1" applyFont="1" applyFill="1" applyBorder="1" applyAlignment="1">
      <alignment horizontal="center"/>
    </xf>
    <xf numFmtId="175" fontId="26" fillId="4" borderId="7" xfId="4" applyNumberFormat="1" applyFont="1" applyFill="1" applyBorder="1"/>
    <xf numFmtId="0" fontId="25" fillId="6" borderId="17" xfId="0" applyFont="1" applyFill="1" applyBorder="1"/>
    <xf numFmtId="0" fontId="25" fillId="6" borderId="6" xfId="0" applyFont="1" applyFill="1" applyBorder="1"/>
    <xf numFmtId="0" fontId="25" fillId="6" borderId="14" xfId="0" applyFont="1" applyFill="1" applyBorder="1" applyAlignment="1">
      <alignment horizontal="center"/>
    </xf>
    <xf numFmtId="167" fontId="26" fillId="4" borderId="4" xfId="0" applyNumberFormat="1" applyFont="1" applyFill="1" applyBorder="1"/>
    <xf numFmtId="0" fontId="15" fillId="4" borderId="0" xfId="0" applyFont="1" applyFill="1" applyBorder="1" applyAlignment="1">
      <alignment horizontal="left"/>
    </xf>
    <xf numFmtId="167" fontId="26" fillId="4" borderId="5" xfId="0" applyNumberFormat="1" applyFont="1" applyFill="1" applyBorder="1"/>
    <xf numFmtId="0" fontId="15" fillId="4" borderId="0" xfId="0" applyFont="1" applyFill="1" applyAlignment="1">
      <alignment horizontal="left"/>
    </xf>
    <xf numFmtId="167" fontId="26" fillId="4" borderId="3" xfId="0" applyNumberFormat="1" applyFont="1" applyFill="1" applyBorder="1"/>
    <xf numFmtId="175" fontId="26" fillId="3" borderId="4" xfId="4" applyNumberFormat="1" applyFont="1" applyFill="1" applyBorder="1"/>
    <xf numFmtId="175" fontId="26" fillId="5" borderId="15" xfId="4" applyNumberFormat="1" applyFont="1" applyFill="1" applyBorder="1"/>
    <xf numFmtId="175" fontId="26" fillId="5" borderId="0" xfId="4" applyNumberFormat="1" applyFont="1" applyFill="1" applyBorder="1"/>
    <xf numFmtId="175" fontId="26" fillId="3" borderId="3" xfId="4" applyNumberFormat="1" applyFont="1" applyFill="1" applyBorder="1"/>
    <xf numFmtId="175" fontId="26" fillId="5" borderId="16" xfId="4" applyNumberFormat="1" applyFont="1" applyFill="1" applyBorder="1"/>
    <xf numFmtId="165" fontId="26" fillId="4" borderId="0" xfId="4" applyFont="1" applyFill="1" applyBorder="1" applyAlignment="1">
      <alignment vertical="center"/>
    </xf>
    <xf numFmtId="165" fontId="26" fillId="4" borderId="0" xfId="4" applyFont="1" applyFill="1" applyAlignment="1">
      <alignment vertical="center"/>
    </xf>
    <xf numFmtId="4" fontId="26" fillId="4" borderId="4" xfId="12" applyNumberFormat="1" applyFont="1" applyFill="1" applyBorder="1"/>
    <xf numFmtId="4" fontId="26" fillId="4" borderId="5" xfId="12" applyNumberFormat="1" applyFont="1" applyFill="1" applyBorder="1"/>
    <xf numFmtId="0" fontId="26" fillId="4" borderId="0" xfId="0" applyFont="1" applyFill="1" applyBorder="1" applyAlignment="1">
      <alignment horizontal="center" vertical="top" wrapText="1"/>
    </xf>
    <xf numFmtId="177" fontId="26" fillId="4" borderId="0" xfId="11" applyNumberFormat="1" applyFont="1" applyFill="1" applyAlignment="1">
      <alignment vertical="center"/>
    </xf>
    <xf numFmtId="177" fontId="26" fillId="4" borderId="0" xfId="0" applyNumberFormat="1" applyFont="1" applyFill="1"/>
    <xf numFmtId="177" fontId="25" fillId="6" borderId="4" xfId="0" applyNumberFormat="1" applyFont="1" applyFill="1" applyBorder="1" applyAlignment="1">
      <alignment horizontal="center" vertical="top" wrapText="1"/>
    </xf>
    <xf numFmtId="172" fontId="26" fillId="4" borderId="0" xfId="0" applyNumberFormat="1" applyFont="1" applyFill="1"/>
    <xf numFmtId="167" fontId="26" fillId="4" borderId="0" xfId="12" applyNumberFormat="1" applyFont="1" applyFill="1" applyBorder="1" applyAlignment="1">
      <alignment horizontal="center" vertical="top" wrapText="1"/>
    </xf>
    <xf numFmtId="167" fontId="26" fillId="4" borderId="12" xfId="0" applyNumberFormat="1" applyFont="1" applyFill="1" applyBorder="1"/>
    <xf numFmtId="172" fontId="26" fillId="4" borderId="0" xfId="0" applyNumberFormat="1" applyFont="1" applyFill="1" applyBorder="1"/>
    <xf numFmtId="167" fontId="26" fillId="4" borderId="11" xfId="0" applyNumberFormat="1" applyFont="1" applyFill="1" applyBorder="1"/>
    <xf numFmtId="167" fontId="26" fillId="4" borderId="13" xfId="0" applyNumberFormat="1" applyFont="1" applyFill="1" applyBorder="1"/>
    <xf numFmtId="172" fontId="26" fillId="4" borderId="14" xfId="0" applyNumberFormat="1" applyFont="1" applyFill="1" applyBorder="1"/>
    <xf numFmtId="172" fontId="26" fillId="4" borderId="0" xfId="12" applyNumberFormat="1" applyFont="1" applyFill="1" applyBorder="1"/>
    <xf numFmtId="3" fontId="26" fillId="3" borderId="7" xfId="12" applyNumberFormat="1" applyFont="1" applyFill="1" applyBorder="1"/>
    <xf numFmtId="0" fontId="30" fillId="4" borderId="0" xfId="0" applyFont="1" applyFill="1"/>
    <xf numFmtId="0" fontId="31" fillId="4" borderId="5" xfId="0" applyFont="1" applyFill="1" applyBorder="1" applyAlignment="1">
      <alignment horizontal="center"/>
    </xf>
    <xf numFmtId="0" fontId="31" fillId="4" borderId="5" xfId="0" applyFont="1" applyFill="1" applyBorder="1"/>
    <xf numFmtId="3" fontId="31" fillId="4" borderId="5" xfId="12" applyNumberFormat="1" applyFont="1" applyFill="1" applyBorder="1" applyAlignment="1">
      <alignment horizontal="right"/>
    </xf>
    <xf numFmtId="0" fontId="31" fillId="4" borderId="0" xfId="0" applyFont="1" applyFill="1"/>
    <xf numFmtId="168" fontId="26" fillId="4" borderId="0" xfId="0" applyNumberFormat="1" applyFont="1" applyFill="1"/>
    <xf numFmtId="172" fontId="26" fillId="4" borderId="14" xfId="12" applyNumberFormat="1" applyFont="1" applyFill="1" applyBorder="1"/>
    <xf numFmtId="172" fontId="31" fillId="4" borderId="4" xfId="0" applyNumberFormat="1" applyFont="1" applyFill="1" applyBorder="1"/>
    <xf numFmtId="0" fontId="26" fillId="8" borderId="0" xfId="0" applyFont="1" applyFill="1"/>
    <xf numFmtId="14" fontId="26" fillId="8" borderId="0" xfId="0" applyNumberFormat="1" applyFont="1" applyFill="1"/>
    <xf numFmtId="0" fontId="26" fillId="8" borderId="0" xfId="0" applyFont="1" applyFill="1" applyBorder="1"/>
    <xf numFmtId="0" fontId="27" fillId="8" borderId="0" xfId="0" applyFont="1" applyFill="1"/>
    <xf numFmtId="174" fontId="26" fillId="8" borderId="0" xfId="0" applyNumberFormat="1" applyFont="1" applyFill="1" applyBorder="1"/>
    <xf numFmtId="0" fontId="26" fillId="8" borderId="0" xfId="0" applyFont="1" applyFill="1" applyAlignment="1">
      <alignment horizontal="center" wrapText="1"/>
    </xf>
    <xf numFmtId="165" fontId="26" fillId="8" borderId="0" xfId="4" applyFont="1" applyFill="1"/>
    <xf numFmtId="3" fontId="26" fillId="8" borderId="0" xfId="0" applyNumberFormat="1" applyFont="1" applyFill="1"/>
    <xf numFmtId="2" fontId="26" fillId="8" borderId="0" xfId="0" applyNumberFormat="1" applyFont="1" applyFill="1"/>
    <xf numFmtId="0" fontId="26" fillId="8" borderId="0" xfId="0" applyFont="1" applyFill="1" applyAlignment="1">
      <alignment horizontal="center"/>
    </xf>
    <xf numFmtId="9" fontId="26" fillId="8" borderId="0" xfId="0" applyNumberFormat="1" applyFont="1" applyFill="1" applyBorder="1" applyAlignment="1">
      <alignment horizontal="center" vertical="top" wrapText="1"/>
    </xf>
    <xf numFmtId="2" fontId="26" fillId="8" borderId="0" xfId="0" applyNumberFormat="1" applyFont="1" applyFill="1" applyBorder="1" applyAlignment="1">
      <alignment horizontal="center"/>
    </xf>
    <xf numFmtId="10" fontId="26" fillId="8" borderId="14" xfId="0" applyNumberFormat="1" applyFont="1" applyFill="1" applyBorder="1" applyAlignment="1">
      <alignment horizontal="center" vertical="top" wrapText="1"/>
    </xf>
    <xf numFmtId="170" fontId="26" fillId="8" borderId="0" xfId="0" applyNumberFormat="1" applyFont="1" applyFill="1" applyBorder="1"/>
    <xf numFmtId="3" fontId="26" fillId="8" borderId="0" xfId="0" applyNumberFormat="1" applyFont="1" applyFill="1" applyBorder="1"/>
    <xf numFmtId="165" fontId="26" fillId="8" borderId="0" xfId="4" applyFont="1" applyFill="1" applyBorder="1"/>
    <xf numFmtId="0" fontId="26" fillId="8" borderId="14" xfId="0" applyFont="1" applyFill="1" applyBorder="1"/>
    <xf numFmtId="165" fontId="26" fillId="8" borderId="14" xfId="4" applyFont="1" applyFill="1" applyBorder="1"/>
    <xf numFmtId="0" fontId="26" fillId="8" borderId="0" xfId="0" applyFont="1" applyFill="1" applyAlignment="1">
      <alignment vertical="top"/>
    </xf>
    <xf numFmtId="0" fontId="28" fillId="8" borderId="0" xfId="0" applyFont="1" applyFill="1"/>
    <xf numFmtId="14" fontId="26" fillId="7" borderId="14" xfId="0" applyNumberFormat="1" applyFont="1" applyFill="1" applyBorder="1" applyAlignment="1">
      <alignment horizontal="center"/>
    </xf>
    <xf numFmtId="9" fontId="26" fillId="7" borderId="14" xfId="0" applyNumberFormat="1" applyFont="1" applyFill="1" applyBorder="1" applyAlignment="1">
      <alignment horizontal="center" vertical="top" wrapText="1"/>
    </xf>
    <xf numFmtId="10" fontId="26" fillId="7" borderId="14" xfId="0" applyNumberFormat="1" applyFont="1" applyFill="1" applyBorder="1" applyAlignment="1">
      <alignment horizontal="center"/>
    </xf>
    <xf numFmtId="0" fontId="26" fillId="8" borderId="0" xfId="0" applyFont="1" applyFill="1" applyBorder="1" applyAlignment="1"/>
    <xf numFmtId="0" fontId="26" fillId="8" borderId="0" xfId="0" applyFont="1" applyFill="1" applyBorder="1" applyAlignment="1">
      <alignment horizontal="left" vertical="top"/>
    </xf>
    <xf numFmtId="0" fontId="26" fillId="8" borderId="0" xfId="0" applyFont="1" applyFill="1" applyBorder="1" applyAlignment="1">
      <alignment horizontal="left"/>
    </xf>
    <xf numFmtId="3" fontId="26" fillId="7" borderId="14" xfId="0" applyNumberFormat="1" applyFont="1" applyFill="1" applyBorder="1"/>
    <xf numFmtId="3" fontId="26" fillId="8" borderId="14" xfId="0" applyNumberFormat="1" applyFont="1" applyFill="1" applyBorder="1"/>
    <xf numFmtId="3" fontId="26" fillId="8" borderId="14" xfId="0" applyNumberFormat="1" applyFont="1" applyFill="1" applyBorder="1" applyAlignment="1">
      <alignment horizontal="center"/>
    </xf>
    <xf numFmtId="9" fontId="26" fillId="7" borderId="14" xfId="0" applyNumberFormat="1" applyFont="1" applyFill="1" applyBorder="1" applyAlignment="1">
      <alignment horizontal="center"/>
    </xf>
    <xf numFmtId="0" fontId="26" fillId="7" borderId="14" xfId="0" applyFont="1" applyFill="1" applyBorder="1" applyAlignment="1">
      <alignment horizontal="center" vertical="top" wrapText="1"/>
    </xf>
    <xf numFmtId="0" fontId="26" fillId="8" borderId="4" xfId="0" applyFont="1" applyFill="1" applyBorder="1" applyAlignment="1">
      <alignment horizontal="center" vertical="center" wrapText="1"/>
    </xf>
    <xf numFmtId="176" fontId="26" fillId="8" borderId="14" xfId="4" applyNumberFormat="1" applyFont="1" applyFill="1" applyBorder="1"/>
    <xf numFmtId="175" fontId="26" fillId="8" borderId="17" xfId="4" applyNumberFormat="1" applyFont="1" applyFill="1" applyBorder="1"/>
    <xf numFmtId="0" fontId="26" fillId="8" borderId="7" xfId="0" applyFont="1" applyFill="1" applyBorder="1"/>
    <xf numFmtId="2" fontId="26" fillId="8" borderId="4" xfId="0" applyNumberFormat="1" applyFont="1" applyFill="1" applyBorder="1"/>
    <xf numFmtId="0" fontId="26" fillId="8" borderId="0" xfId="0" quotePrefix="1" applyFont="1" applyFill="1" applyBorder="1"/>
    <xf numFmtId="170" fontId="26" fillId="8" borderId="14" xfId="0" applyNumberFormat="1" applyFont="1" applyFill="1" applyBorder="1"/>
    <xf numFmtId="174" fontId="26" fillId="8" borderId="14" xfId="0" applyNumberFormat="1" applyFont="1" applyFill="1" applyBorder="1"/>
    <xf numFmtId="0" fontId="26" fillId="8" borderId="0" xfId="0" applyFont="1" applyFill="1" applyBorder="1" applyAlignment="1">
      <alignment horizontal="center" vertical="center" wrapText="1"/>
    </xf>
    <xf numFmtId="0" fontId="32" fillId="8" borderId="0" xfId="0" applyFont="1" applyFill="1"/>
    <xf numFmtId="0" fontId="28" fillId="8" borderId="0" xfId="0" applyFont="1" applyFill="1" applyBorder="1"/>
    <xf numFmtId="0" fontId="25" fillId="6" borderId="3" xfId="0" applyFont="1" applyFill="1" applyBorder="1" applyAlignment="1">
      <alignment horizontal="center" vertical="center" wrapText="1"/>
    </xf>
    <xf numFmtId="4" fontId="26" fillId="4" borderId="0" xfId="0" applyNumberFormat="1" applyFont="1" applyFill="1" applyBorder="1"/>
    <xf numFmtId="1" fontId="28" fillId="4" borderId="0" xfId="11" applyNumberFormat="1" applyFont="1" applyFill="1" applyAlignment="1">
      <alignment horizontal="left" vertical="center"/>
    </xf>
    <xf numFmtId="175" fontId="26" fillId="8" borderId="0" xfId="4" applyNumberFormat="1" applyFont="1" applyFill="1"/>
    <xf numFmtId="0" fontId="33" fillId="8" borderId="0" xfId="0" applyFont="1" applyFill="1"/>
    <xf numFmtId="175" fontId="33" fillId="8" borderId="0" xfId="4" applyNumberFormat="1" applyFont="1" applyFill="1"/>
    <xf numFmtId="175" fontId="25" fillId="6" borderId="0" xfId="4" applyNumberFormat="1" applyFont="1" applyFill="1"/>
    <xf numFmtId="0" fontId="33" fillId="8" borderId="0" xfId="0" applyFont="1" applyFill="1" applyAlignment="1">
      <alignment horizontal="right"/>
    </xf>
    <xf numFmtId="169" fontId="29" fillId="4" borderId="0" xfId="11" applyNumberFormat="1" applyFont="1" applyFill="1" applyAlignment="1">
      <alignment vertical="center"/>
    </xf>
    <xf numFmtId="169" fontId="29" fillId="4" borderId="0" xfId="11" applyNumberFormat="1" applyFont="1" applyFill="1" applyBorder="1" applyAlignment="1">
      <alignment vertical="center"/>
    </xf>
    <xf numFmtId="176" fontId="26" fillId="4" borderId="0" xfId="14" applyNumberFormat="1" applyFont="1" applyFill="1" applyBorder="1" applyAlignment="1">
      <alignment vertical="center"/>
    </xf>
    <xf numFmtId="0" fontId="27" fillId="4" borderId="0" xfId="11" applyFont="1" applyFill="1" applyBorder="1"/>
    <xf numFmtId="176" fontId="27" fillId="4" borderId="0" xfId="14" applyNumberFormat="1" applyFont="1" applyFill="1" applyBorder="1"/>
    <xf numFmtId="0" fontId="26" fillId="4" borderId="0" xfId="15" applyFont="1" applyFill="1"/>
    <xf numFmtId="0" fontId="26" fillId="4" borderId="0" xfId="15" applyFont="1" applyFill="1" applyBorder="1"/>
    <xf numFmtId="176" fontId="26" fillId="4" borderId="0" xfId="14" applyNumberFormat="1" applyFont="1" applyFill="1" applyBorder="1"/>
    <xf numFmtId="3" fontId="14" fillId="4" borderId="5" xfId="15" applyNumberFormat="1" applyFont="1" applyFill="1" applyBorder="1" applyAlignment="1">
      <alignment horizontal="right"/>
    </xf>
    <xf numFmtId="164" fontId="26" fillId="4" borderId="5" xfId="14" applyFont="1" applyFill="1" applyBorder="1"/>
    <xf numFmtId="176" fontId="14" fillId="4" borderId="0" xfId="14" applyNumberFormat="1" applyFont="1" applyFill="1" applyBorder="1" applyAlignment="1">
      <alignment horizontal="left"/>
    </xf>
    <xf numFmtId="3" fontId="14" fillId="4" borderId="0" xfId="15" applyNumberFormat="1" applyFont="1" applyFill="1" applyBorder="1" applyAlignment="1">
      <alignment horizontal="right"/>
    </xf>
    <xf numFmtId="176" fontId="26" fillId="4" borderId="0" xfId="15" applyNumberFormat="1" applyFont="1" applyFill="1" applyBorder="1"/>
    <xf numFmtId="3" fontId="26" fillId="4" borderId="0" xfId="15" applyNumberFormat="1" applyFont="1" applyFill="1"/>
    <xf numFmtId="0" fontId="25" fillId="4" borderId="0" xfId="15" applyFont="1" applyFill="1" applyBorder="1" applyAlignment="1">
      <alignment vertical="center"/>
    </xf>
    <xf numFmtId="176" fontId="25" fillId="4" borderId="0" xfId="14" applyNumberFormat="1" applyFont="1" applyFill="1" applyBorder="1" applyAlignment="1">
      <alignment horizontal="center" vertical="center" wrapText="1"/>
    </xf>
    <xf numFmtId="176" fontId="25" fillId="4" borderId="0" xfId="14" applyNumberFormat="1" applyFont="1" applyFill="1" applyBorder="1" applyAlignment="1">
      <alignment vertical="center"/>
    </xf>
    <xf numFmtId="0" fontId="25" fillId="4" borderId="0" xfId="15" applyFont="1" applyFill="1" applyAlignment="1">
      <alignment vertical="center"/>
    </xf>
    <xf numFmtId="0" fontId="26" fillId="4" borderId="4" xfId="15" applyFont="1" applyFill="1" applyBorder="1"/>
    <xf numFmtId="0" fontId="26" fillId="4" borderId="5" xfId="15" applyFont="1" applyFill="1" applyBorder="1"/>
    <xf numFmtId="0" fontId="25" fillId="6" borderId="4" xfId="15" applyFont="1" applyFill="1" applyBorder="1" applyAlignment="1">
      <alignment horizontal="center" vertical="center" wrapText="1"/>
    </xf>
    <xf numFmtId="175" fontId="26" fillId="4" borderId="14" xfId="4" applyNumberFormat="1" applyFont="1" applyFill="1" applyBorder="1" applyAlignment="1">
      <alignment horizontal="center"/>
    </xf>
    <xf numFmtId="0" fontId="26" fillId="7" borderId="14" xfId="0" applyFont="1" applyFill="1" applyBorder="1"/>
    <xf numFmtId="175" fontId="26" fillId="4" borderId="7" xfId="4" applyNumberFormat="1" applyFont="1" applyFill="1" applyBorder="1" applyAlignment="1">
      <alignment horizontal="center"/>
    </xf>
    <xf numFmtId="175" fontId="26" fillId="5" borderId="14" xfId="4" applyNumberFormat="1" applyFont="1" applyFill="1" applyBorder="1" applyAlignment="1">
      <alignment horizontal="center"/>
    </xf>
    <xf numFmtId="172" fontId="31" fillId="5" borderId="4" xfId="0" applyNumberFormat="1" applyFont="1" applyFill="1" applyBorder="1"/>
    <xf numFmtId="172" fontId="31" fillId="5" borderId="5" xfId="0" applyNumberFormat="1" applyFont="1" applyFill="1" applyBorder="1"/>
    <xf numFmtId="172" fontId="26" fillId="5" borderId="14" xfId="0" applyNumberFormat="1" applyFont="1" applyFill="1" applyBorder="1"/>
    <xf numFmtId="172" fontId="31" fillId="5" borderId="3" xfId="0" applyNumberFormat="1" applyFont="1" applyFill="1" applyBorder="1"/>
    <xf numFmtId="0" fontId="26" fillId="7" borderId="14" xfId="15" applyFont="1" applyFill="1" applyBorder="1" applyAlignment="1">
      <alignment horizontal="center"/>
    </xf>
    <xf numFmtId="175" fontId="26" fillId="7" borderId="3" xfId="4" applyNumberFormat="1" applyFont="1" applyFill="1" applyBorder="1" applyAlignment="1">
      <alignment horizontal="center"/>
    </xf>
    <xf numFmtId="175" fontId="26" fillId="7" borderId="14" xfId="4" applyNumberFormat="1" applyFont="1" applyFill="1" applyBorder="1"/>
    <xf numFmtId="0" fontId="26" fillId="7" borderId="14" xfId="4" applyNumberFormat="1" applyFont="1" applyFill="1" applyBorder="1" applyAlignment="1">
      <alignment horizontal="center"/>
    </xf>
    <xf numFmtId="0" fontId="37" fillId="6" borderId="0" xfId="0" applyFont="1" applyFill="1"/>
    <xf numFmtId="0" fontId="26" fillId="7" borderId="4" xfId="15" applyFont="1" applyFill="1" applyBorder="1" applyAlignment="1">
      <alignment horizontal="center"/>
    </xf>
    <xf numFmtId="0" fontId="26" fillId="7" borderId="5" xfId="15" applyFont="1" applyFill="1" applyBorder="1" applyAlignment="1">
      <alignment horizontal="center"/>
    </xf>
    <xf numFmtId="175" fontId="26" fillId="4" borderId="0" xfId="15" applyNumberFormat="1" applyFont="1" applyFill="1"/>
    <xf numFmtId="175" fontId="26" fillId="4" borderId="3" xfId="4" applyNumberFormat="1" applyFont="1" applyFill="1" applyBorder="1" applyAlignment="1">
      <alignment horizontal="center"/>
    </xf>
    <xf numFmtId="175" fontId="26" fillId="8" borderId="0" xfId="4" applyNumberFormat="1" applyFont="1" applyFill="1" applyBorder="1"/>
    <xf numFmtId="165" fontId="26" fillId="7" borderId="14" xfId="4" applyFont="1" applyFill="1" applyBorder="1" applyAlignment="1">
      <alignment horizontal="center"/>
    </xf>
    <xf numFmtId="0" fontId="36" fillId="4" borderId="0" xfId="0" applyFont="1" applyFill="1"/>
    <xf numFmtId="175" fontId="36" fillId="4" borderId="0" xfId="4" applyNumberFormat="1" applyFont="1" applyFill="1"/>
    <xf numFmtId="0" fontId="36" fillId="8" borderId="0" xfId="0" applyFont="1" applyFill="1"/>
    <xf numFmtId="175" fontId="36" fillId="3" borderId="0" xfId="4" applyNumberFormat="1" applyFont="1" applyFill="1"/>
    <xf numFmtId="165" fontId="36" fillId="4" borderId="0" xfId="4" applyFont="1" applyFill="1"/>
    <xf numFmtId="175" fontId="36" fillId="4" borderId="16" xfId="4" applyNumberFormat="1" applyFont="1" applyFill="1" applyBorder="1"/>
    <xf numFmtId="175" fontId="38" fillId="4" borderId="0" xfId="4" applyNumberFormat="1" applyFont="1" applyFill="1"/>
    <xf numFmtId="0" fontId="38" fillId="4" borderId="0" xfId="0" applyFont="1" applyFill="1"/>
    <xf numFmtId="0" fontId="36" fillId="4" borderId="0" xfId="0" applyFont="1" applyFill="1" applyAlignment="1">
      <alignment horizontal="right"/>
    </xf>
    <xf numFmtId="0" fontId="36" fillId="4" borderId="0" xfId="0" applyFont="1" applyFill="1" applyAlignment="1">
      <alignment horizontal="left"/>
    </xf>
    <xf numFmtId="165" fontId="31" fillId="4" borderId="14" xfId="4" applyFont="1" applyFill="1" applyBorder="1"/>
    <xf numFmtId="175" fontId="26" fillId="0" borderId="5" xfId="4" applyNumberFormat="1" applyFont="1" applyFill="1" applyBorder="1"/>
    <xf numFmtId="0" fontId="15" fillId="0" borderId="0" xfId="0" applyFont="1" applyFill="1" applyAlignment="1">
      <alignment horizontal="left"/>
    </xf>
    <xf numFmtId="0" fontId="26" fillId="0" borderId="0" xfId="0" applyFont="1" applyFill="1"/>
    <xf numFmtId="10" fontId="26" fillId="8" borderId="3" xfId="12" applyNumberFormat="1" applyFont="1" applyFill="1" applyBorder="1"/>
    <xf numFmtId="2" fontId="26" fillId="8" borderId="14" xfId="0" applyNumberFormat="1" applyFont="1" applyFill="1" applyBorder="1" applyAlignment="1"/>
    <xf numFmtId="2" fontId="26" fillId="7" borderId="4" xfId="0" applyNumberFormat="1" applyFont="1" applyFill="1" applyBorder="1" applyAlignment="1"/>
    <xf numFmtId="2" fontId="26" fillId="8" borderId="14" xfId="4" applyNumberFormat="1" applyFont="1" applyFill="1" applyBorder="1"/>
    <xf numFmtId="4" fontId="26" fillId="4" borderId="5" xfId="0" applyNumberFormat="1" applyFont="1" applyFill="1" applyBorder="1"/>
    <xf numFmtId="165" fontId="26" fillId="4" borderId="5" xfId="4" applyNumberFormat="1" applyFont="1" applyFill="1" applyBorder="1"/>
    <xf numFmtId="176" fontId="26" fillId="5" borderId="14" xfId="4" applyNumberFormat="1" applyFont="1" applyFill="1" applyBorder="1"/>
    <xf numFmtId="175" fontId="26" fillId="7" borderId="14" xfId="4" applyNumberFormat="1" applyFont="1" applyFill="1" applyBorder="1" applyAlignment="1">
      <alignment horizontal="center" vertical="center" wrapText="1"/>
    </xf>
    <xf numFmtId="171" fontId="26" fillId="8" borderId="14" xfId="0" applyNumberFormat="1" applyFont="1" applyFill="1" applyBorder="1"/>
    <xf numFmtId="10" fontId="26" fillId="7" borderId="17" xfId="0" applyNumberFormat="1" applyFont="1" applyFill="1" applyBorder="1" applyAlignment="1">
      <alignment horizontal="center"/>
    </xf>
    <xf numFmtId="10" fontId="26" fillId="8" borderId="0" xfId="0" applyNumberFormat="1" applyFont="1" applyFill="1" applyBorder="1" applyAlignment="1">
      <alignment horizontal="center" vertical="top" wrapText="1"/>
    </xf>
    <xf numFmtId="0" fontId="26" fillId="8" borderId="14" xfId="0" applyFont="1" applyFill="1" applyBorder="1" applyAlignment="1">
      <alignment horizontal="right"/>
    </xf>
    <xf numFmtId="3" fontId="26" fillId="4" borderId="14" xfId="0" applyNumberFormat="1" applyFont="1" applyFill="1" applyBorder="1"/>
    <xf numFmtId="165" fontId="25" fillId="6" borderId="14" xfId="4" applyNumberFormat="1" applyFont="1" applyFill="1" applyBorder="1"/>
    <xf numFmtId="1" fontId="26" fillId="4" borderId="14" xfId="0" applyNumberFormat="1" applyFont="1" applyFill="1" applyBorder="1"/>
    <xf numFmtId="10" fontId="26" fillId="4" borderId="14" xfId="0" applyNumberFormat="1" applyFont="1" applyFill="1" applyBorder="1"/>
    <xf numFmtId="175" fontId="26" fillId="4" borderId="0" xfId="4" quotePrefix="1" applyNumberFormat="1" applyFont="1" applyFill="1" applyBorder="1"/>
    <xf numFmtId="10" fontId="26" fillId="4" borderId="0" xfId="0" applyNumberFormat="1" applyFont="1" applyFill="1" applyBorder="1"/>
    <xf numFmtId="165" fontId="26" fillId="7" borderId="14" xfId="4" applyNumberFormat="1" applyFont="1" applyFill="1" applyBorder="1"/>
    <xf numFmtId="165" fontId="26" fillId="4" borderId="0" xfId="4" applyNumberFormat="1" applyFont="1" applyFill="1"/>
    <xf numFmtId="0" fontId="26" fillId="4" borderId="0" xfId="0" applyFont="1" applyFill="1" applyAlignment="1">
      <alignment horizontal="left" vertical="center"/>
    </xf>
    <xf numFmtId="0" fontId="26" fillId="4" borderId="0" xfId="0" applyFont="1" applyFill="1" applyAlignment="1">
      <alignment vertical="center"/>
    </xf>
    <xf numFmtId="175" fontId="25" fillId="6" borderId="4" xfId="4" applyNumberFormat="1" applyFont="1" applyFill="1" applyBorder="1" applyAlignment="1">
      <alignment horizontal="center" vertical="center" wrapText="1"/>
    </xf>
    <xf numFmtId="175" fontId="26" fillId="4" borderId="0" xfId="4" applyNumberFormat="1" applyFont="1" applyFill="1" applyBorder="1" applyAlignment="1">
      <alignment horizontal="center"/>
    </xf>
    <xf numFmtId="175" fontId="25" fillId="6" borderId="5" xfId="4" applyNumberFormat="1" applyFont="1" applyFill="1" applyBorder="1" applyAlignment="1">
      <alignment horizontal="center" vertical="center" wrapText="1"/>
    </xf>
    <xf numFmtId="0" fontId="25" fillId="6" borderId="4" xfId="0" applyFont="1" applyFill="1" applyBorder="1" applyAlignment="1">
      <alignment horizontal="center" vertical="center" wrapText="1"/>
    </xf>
    <xf numFmtId="175" fontId="26" fillId="4" borderId="0" xfId="4" applyNumberFormat="1" applyFont="1" applyFill="1" applyBorder="1" applyAlignment="1">
      <alignment vertical="center"/>
    </xf>
    <xf numFmtId="175" fontId="25" fillId="6" borderId="15" xfId="4" applyNumberFormat="1" applyFont="1" applyFill="1" applyBorder="1" applyAlignment="1">
      <alignment horizontal="center" vertical="center" wrapText="1"/>
    </xf>
    <xf numFmtId="175" fontId="25" fillId="6" borderId="16" xfId="4" applyNumberFormat="1" applyFont="1" applyFill="1" applyBorder="1" applyAlignment="1">
      <alignment horizontal="center" vertical="top" wrapText="1"/>
    </xf>
    <xf numFmtId="9" fontId="26" fillId="7" borderId="14" xfId="12" applyFont="1" applyFill="1" applyBorder="1"/>
    <xf numFmtId="164" fontId="26" fillId="8" borderId="0" xfId="0" applyNumberFormat="1" applyFont="1" applyFill="1"/>
    <xf numFmtId="0" fontId="26" fillId="4" borderId="0" xfId="0" applyFont="1" applyFill="1" applyBorder="1" applyAlignment="1">
      <alignment horizontal="left"/>
    </xf>
    <xf numFmtId="175" fontId="25" fillId="6" borderId="14" xfId="4" applyNumberFormat="1" applyFont="1" applyFill="1" applyBorder="1" applyAlignment="1">
      <alignment horizontal="center" vertical="center" wrapText="1"/>
    </xf>
    <xf numFmtId="3" fontId="26" fillId="4" borderId="0" xfId="0" applyNumberFormat="1" applyFont="1" applyFill="1" applyBorder="1"/>
    <xf numFmtId="3" fontId="26" fillId="4" borderId="7" xfId="0" applyNumberFormat="1" applyFont="1" applyFill="1" applyBorder="1"/>
    <xf numFmtId="0" fontId="26" fillId="4" borderId="9" xfId="0" applyFont="1" applyFill="1" applyBorder="1" applyAlignment="1">
      <alignment horizontal="center"/>
    </xf>
    <xf numFmtId="3" fontId="26" fillId="4" borderId="4" xfId="0" applyNumberFormat="1" applyFont="1" applyFill="1" applyBorder="1"/>
    <xf numFmtId="166" fontId="26" fillId="4" borderId="6" xfId="0" applyNumberFormat="1" applyFont="1" applyFill="1" applyBorder="1" applyAlignment="1">
      <alignment horizontal="center"/>
    </xf>
    <xf numFmtId="175" fontId="26" fillId="4" borderId="6" xfId="4" applyNumberFormat="1" applyFont="1" applyFill="1" applyBorder="1"/>
    <xf numFmtId="165" fontId="25" fillId="6" borderId="3" xfId="4" applyFont="1" applyFill="1" applyBorder="1" applyAlignment="1">
      <alignment horizontal="center" vertical="center"/>
    </xf>
    <xf numFmtId="175" fontId="26" fillId="3" borderId="11" xfId="4" applyNumberFormat="1" applyFont="1" applyFill="1" applyBorder="1"/>
    <xf numFmtId="175" fontId="26" fillId="3" borderId="7" xfId="4" applyNumberFormat="1" applyFont="1" applyFill="1" applyBorder="1"/>
    <xf numFmtId="175" fontId="26" fillId="4" borderId="4" xfId="4" applyNumberFormat="1" applyFont="1" applyFill="1" applyBorder="1" applyAlignment="1">
      <alignment horizontal="center"/>
    </xf>
    <xf numFmtId="175" fontId="26" fillId="4" borderId="5" xfId="4" applyNumberFormat="1" applyFont="1" applyFill="1" applyBorder="1" applyAlignment="1">
      <alignment horizontal="center"/>
    </xf>
    <xf numFmtId="4" fontId="26" fillId="4" borderId="6" xfId="12" applyNumberFormat="1" applyFont="1" applyFill="1" applyBorder="1"/>
    <xf numFmtId="177" fontId="26" fillId="4" borderId="6" xfId="4" applyNumberFormat="1" applyFont="1" applyFill="1" applyBorder="1"/>
    <xf numFmtId="0" fontId="26" fillId="4" borderId="4" xfId="15" applyFont="1" applyFill="1" applyBorder="1" applyAlignment="1">
      <alignment horizontal="center"/>
    </xf>
    <xf numFmtId="0" fontId="26" fillId="4" borderId="5" xfId="15" applyFont="1" applyFill="1" applyBorder="1" applyAlignment="1">
      <alignment horizontal="center"/>
    </xf>
    <xf numFmtId="0" fontId="26" fillId="4" borderId="3" xfId="15" applyFont="1" applyFill="1" applyBorder="1" applyAlignment="1">
      <alignment horizontal="center"/>
    </xf>
    <xf numFmtId="0" fontId="31" fillId="4" borderId="4" xfId="0" applyFont="1" applyFill="1" applyBorder="1" applyAlignment="1">
      <alignment horizontal="center"/>
    </xf>
    <xf numFmtId="172" fontId="31" fillId="5" borderId="12" xfId="0" applyNumberFormat="1" applyFont="1" applyFill="1" applyBorder="1"/>
    <xf numFmtId="172" fontId="31" fillId="5" borderId="11" xfId="0" applyNumberFormat="1" applyFont="1" applyFill="1" applyBorder="1"/>
    <xf numFmtId="3" fontId="31" fillId="4" borderId="0" xfId="12" applyNumberFormat="1" applyFont="1" applyFill="1" applyBorder="1"/>
    <xf numFmtId="172" fontId="31" fillId="4" borderId="0" xfId="0" applyNumberFormat="1" applyFont="1" applyFill="1" applyBorder="1"/>
    <xf numFmtId="165" fontId="31" fillId="4" borderId="9" xfId="4" applyFont="1" applyFill="1" applyBorder="1"/>
    <xf numFmtId="3" fontId="31" fillId="4" borderId="4" xfId="12" applyNumberFormat="1" applyFont="1" applyFill="1" applyBorder="1" applyAlignment="1">
      <alignment horizontal="right"/>
    </xf>
    <xf numFmtId="172" fontId="31" fillId="4" borderId="5" xfId="0" applyNumberFormat="1" applyFont="1" applyFill="1" applyBorder="1"/>
    <xf numFmtId="0" fontId="26" fillId="8" borderId="0" xfId="0" applyFont="1" applyFill="1" applyBorder="1" applyAlignment="1">
      <alignment horizontal="right"/>
    </xf>
    <xf numFmtId="179" fontId="26" fillId="7" borderId="14" xfId="4" applyNumberFormat="1" applyFont="1" applyFill="1" applyBorder="1"/>
    <xf numFmtId="3" fontId="31" fillId="4" borderId="0" xfId="0" applyNumberFormat="1" applyFont="1" applyFill="1"/>
    <xf numFmtId="165" fontId="26" fillId="7" borderId="17" xfId="4" applyFont="1" applyFill="1" applyBorder="1"/>
    <xf numFmtId="167" fontId="26" fillId="7" borderId="14" xfId="0" applyNumberFormat="1" applyFont="1" applyFill="1" applyBorder="1" applyAlignment="1">
      <alignment horizontal="center"/>
    </xf>
    <xf numFmtId="165" fontId="25" fillId="6" borderId="4" xfId="4" applyFont="1" applyFill="1" applyBorder="1" applyAlignment="1">
      <alignment horizontal="center" vertical="center" wrapText="1"/>
    </xf>
    <xf numFmtId="175" fontId="36" fillId="4" borderId="0" xfId="4" applyNumberFormat="1" applyFont="1" applyFill="1" applyAlignment="1">
      <alignment horizontal="right"/>
    </xf>
    <xf numFmtId="165" fontId="25" fillId="6" borderId="5" xfId="4" applyFont="1" applyFill="1" applyBorder="1" applyAlignment="1">
      <alignment horizontal="center" vertical="top" wrapText="1"/>
    </xf>
    <xf numFmtId="165" fontId="26" fillId="4" borderId="0" xfId="4" applyFont="1" applyFill="1" applyAlignment="1">
      <alignment horizontal="center"/>
    </xf>
    <xf numFmtId="165" fontId="26" fillId="4" borderId="0" xfId="4" applyFont="1" applyFill="1" applyBorder="1" applyAlignment="1">
      <alignment horizontal="center"/>
    </xf>
    <xf numFmtId="165" fontId="26" fillId="4" borderId="0" xfId="4" applyFont="1" applyFill="1" applyBorder="1" applyAlignment="1">
      <alignment horizontal="left"/>
    </xf>
    <xf numFmtId="165" fontId="26" fillId="4" borderId="0" xfId="4" applyFont="1" applyFill="1" applyAlignment="1">
      <alignment horizontal="left"/>
    </xf>
    <xf numFmtId="165" fontId="27" fillId="4" borderId="0" xfId="4" applyFont="1" applyFill="1"/>
    <xf numFmtId="165" fontId="26" fillId="4" borderId="0" xfId="4" applyFont="1" applyFill="1" applyAlignment="1">
      <alignment horizontal="center" vertical="top" wrapText="1"/>
    </xf>
    <xf numFmtId="165" fontId="25" fillId="6" borderId="14" xfId="4" applyFont="1" applyFill="1" applyBorder="1" applyAlignment="1">
      <alignment horizontal="center"/>
    </xf>
    <xf numFmtId="165" fontId="26" fillId="4" borderId="9" xfId="4" applyFont="1" applyFill="1" applyBorder="1"/>
    <xf numFmtId="165" fontId="26" fillId="2" borderId="5" xfId="4" applyFont="1" applyFill="1" applyBorder="1"/>
    <xf numFmtId="165" fontId="26" fillId="2" borderId="0" xfId="4" applyFont="1" applyFill="1" applyBorder="1"/>
    <xf numFmtId="165" fontId="26" fillId="0" borderId="9" xfId="4" applyFont="1" applyFill="1" applyBorder="1"/>
    <xf numFmtId="165" fontId="26" fillId="0" borderId="0" xfId="4" applyFont="1" applyFill="1"/>
    <xf numFmtId="165" fontId="26" fillId="4" borderId="0" xfId="4" applyFont="1" applyFill="1" applyBorder="1"/>
    <xf numFmtId="180" fontId="28" fillId="4" borderId="0" xfId="4" applyNumberFormat="1" applyFont="1" applyFill="1" applyAlignment="1">
      <alignment horizontal="left"/>
    </xf>
    <xf numFmtId="180" fontId="26" fillId="4" borderId="0" xfId="4" applyNumberFormat="1" applyFont="1" applyFill="1" applyAlignment="1">
      <alignment horizontal="left"/>
    </xf>
    <xf numFmtId="180" fontId="26" fillId="4" borderId="5" xfId="4" applyNumberFormat="1" applyFont="1" applyFill="1" applyBorder="1" applyAlignment="1">
      <alignment horizontal="center"/>
    </xf>
    <xf numFmtId="180" fontId="26" fillId="0" borderId="5" xfId="4" applyNumberFormat="1" applyFont="1" applyFill="1" applyBorder="1" applyAlignment="1">
      <alignment horizontal="center"/>
    </xf>
    <xf numFmtId="180" fontId="26" fillId="4" borderId="14" xfId="4" applyNumberFormat="1" applyFont="1" applyFill="1" applyBorder="1" applyAlignment="1">
      <alignment horizontal="center"/>
    </xf>
    <xf numFmtId="180" fontId="26" fillId="4" borderId="0" xfId="4" applyNumberFormat="1" applyFont="1" applyFill="1" applyAlignment="1">
      <alignment horizontal="center"/>
    </xf>
    <xf numFmtId="175" fontId="41" fillId="4" borderId="0" xfId="4" applyNumberFormat="1" applyFont="1" applyFill="1"/>
    <xf numFmtId="165" fontId="26" fillId="3" borderId="14" xfId="4" applyFont="1" applyFill="1" applyBorder="1"/>
    <xf numFmtId="165" fontId="40" fillId="6" borderId="4" xfId="4" applyFont="1" applyFill="1" applyBorder="1" applyAlignment="1">
      <alignment horizontal="center"/>
    </xf>
    <xf numFmtId="165" fontId="25" fillId="6" borderId="12" xfId="4" applyFont="1" applyFill="1" applyBorder="1" applyAlignment="1">
      <alignment horizontal="center"/>
    </xf>
    <xf numFmtId="14" fontId="40" fillId="6" borderId="4" xfId="0" applyNumberFormat="1" applyFont="1" applyFill="1" applyBorder="1" applyAlignment="1">
      <alignment horizontal="center"/>
    </xf>
    <xf numFmtId="0" fontId="26" fillId="7" borderId="14" xfId="0" applyFont="1" applyFill="1" applyBorder="1" applyAlignment="1">
      <alignment horizontal="center"/>
    </xf>
    <xf numFmtId="175" fontId="36" fillId="8" borderId="0" xfId="0" applyNumberFormat="1" applyFont="1" applyFill="1"/>
    <xf numFmtId="175" fontId="38" fillId="4" borderId="0" xfId="4" applyNumberFormat="1" applyFont="1" applyFill="1" applyAlignment="1">
      <alignment horizontal="center"/>
    </xf>
    <xf numFmtId="0" fontId="40" fillId="6" borderId="4" xfId="4" quotePrefix="1" applyNumberFormat="1" applyFont="1" applyFill="1" applyBorder="1" applyAlignment="1">
      <alignment horizontal="center"/>
    </xf>
    <xf numFmtId="0" fontId="25" fillId="6" borderId="5" xfId="0" applyFont="1" applyFill="1" applyBorder="1" applyAlignment="1">
      <alignment horizontal="center" vertical="center" wrapText="1"/>
    </xf>
    <xf numFmtId="0" fontId="26" fillId="4" borderId="9" xfId="0" applyFont="1" applyFill="1" applyBorder="1" applyAlignment="1">
      <alignment horizontal="left"/>
    </xf>
    <xf numFmtId="0" fontId="26" fillId="4" borderId="10" xfId="0" applyFont="1" applyFill="1" applyBorder="1" applyAlignment="1">
      <alignment horizontal="left"/>
    </xf>
    <xf numFmtId="0" fontId="26" fillId="4" borderId="8" xfId="0" applyFont="1" applyFill="1" applyBorder="1" applyAlignment="1">
      <alignment horizontal="left"/>
    </xf>
    <xf numFmtId="3" fontId="26" fillId="4" borderId="12" xfId="12" applyNumberFormat="1" applyFont="1" applyFill="1" applyBorder="1"/>
    <xf numFmtId="3" fontId="26" fillId="4" borderId="11" xfId="12" applyNumberFormat="1" applyFont="1" applyFill="1" applyBorder="1"/>
    <xf numFmtId="3" fontId="26" fillId="4" borderId="13" xfId="12" applyNumberFormat="1" applyFont="1" applyFill="1" applyBorder="1"/>
    <xf numFmtId="0" fontId="25" fillId="6" borderId="5" xfId="0" applyFont="1" applyFill="1" applyBorder="1" applyAlignment="1">
      <alignment horizontal="center" vertical="center"/>
    </xf>
    <xf numFmtId="171" fontId="26" fillId="8" borderId="0" xfId="0" applyNumberFormat="1" applyFont="1" applyFill="1"/>
    <xf numFmtId="175" fontId="26" fillId="4" borderId="17" xfId="4" applyNumberFormat="1" applyFont="1" applyFill="1" applyBorder="1" applyAlignment="1">
      <alignment horizontal="center"/>
    </xf>
    <xf numFmtId="172" fontId="26" fillId="4" borderId="3" xfId="0" applyNumberFormat="1" applyFont="1" applyFill="1" applyBorder="1"/>
    <xf numFmtId="172" fontId="31" fillId="4" borderId="3" xfId="0" applyNumberFormat="1" applyFont="1" applyFill="1" applyBorder="1"/>
    <xf numFmtId="176" fontId="26" fillId="4" borderId="0" xfId="4" applyNumberFormat="1" applyFont="1" applyFill="1"/>
    <xf numFmtId="175" fontId="26" fillId="7" borderId="14" xfId="4" applyNumberFormat="1" applyFont="1" applyFill="1" applyBorder="1" applyAlignment="1">
      <alignment horizontal="center"/>
    </xf>
    <xf numFmtId="0" fontId="26" fillId="8" borderId="0" xfId="0" quotePrefix="1" applyFont="1" applyFill="1" applyBorder="1" applyAlignment="1"/>
    <xf numFmtId="10" fontId="26" fillId="4" borderId="9" xfId="12" applyNumberFormat="1" applyFont="1" applyFill="1" applyBorder="1"/>
    <xf numFmtId="2" fontId="26" fillId="4" borderId="8" xfId="13" applyNumberFormat="1" applyFont="1" applyFill="1" applyBorder="1"/>
    <xf numFmtId="2" fontId="26" fillId="4" borderId="0" xfId="13" applyNumberFormat="1" applyFont="1" applyFill="1" applyBorder="1"/>
    <xf numFmtId="2" fontId="26" fillId="4" borderId="9" xfId="13" applyNumberFormat="1" applyFont="1" applyFill="1" applyBorder="1"/>
    <xf numFmtId="2" fontId="26" fillId="4" borderId="10" xfId="13" applyNumberFormat="1" applyFont="1" applyFill="1" applyBorder="1"/>
    <xf numFmtId="165" fontId="26" fillId="4" borderId="0" xfId="4" applyFont="1" applyFill="1"/>
    <xf numFmtId="0" fontId="26" fillId="4" borderId="3" xfId="0" applyFont="1" applyFill="1" applyBorder="1"/>
    <xf numFmtId="165" fontId="26" fillId="4" borderId="5" xfId="4" applyNumberFormat="1" applyFont="1" applyFill="1" applyBorder="1"/>
    <xf numFmtId="2" fontId="26" fillId="4" borderId="0" xfId="13" applyNumberFormat="1" applyFont="1" applyFill="1" applyBorder="1"/>
    <xf numFmtId="165" fontId="26" fillId="4" borderId="4" xfId="4" applyNumberFormat="1" applyFont="1" applyFill="1" applyBorder="1"/>
    <xf numFmtId="2" fontId="26" fillId="4" borderId="4" xfId="13" applyNumberFormat="1" applyFont="1" applyFill="1" applyBorder="1"/>
    <xf numFmtId="2" fontId="26" fillId="4" borderId="5" xfId="13" applyNumberFormat="1" applyFont="1" applyFill="1" applyBorder="1"/>
    <xf numFmtId="2" fontId="26" fillId="4" borderId="3" xfId="13" applyNumberFormat="1" applyFont="1" applyFill="1" applyBorder="1"/>
    <xf numFmtId="165" fontId="26" fillId="4" borderId="3" xfId="4" applyNumberFormat="1" applyFont="1" applyFill="1" applyBorder="1"/>
    <xf numFmtId="165" fontId="41" fillId="10" borderId="5" xfId="4" applyFont="1" applyFill="1" applyBorder="1"/>
    <xf numFmtId="178" fontId="26" fillId="8" borderId="0" xfId="0" quotePrefix="1" applyNumberFormat="1" applyFont="1" applyFill="1" applyAlignment="1">
      <alignment horizontal="right"/>
    </xf>
    <xf numFmtId="43" fontId="26" fillId="8" borderId="0" xfId="0" applyNumberFormat="1" applyFont="1" applyFill="1"/>
    <xf numFmtId="165" fontId="25" fillId="6" borderId="14" xfId="4" applyNumberFormat="1" applyFont="1" applyFill="1" applyBorder="1" applyAlignment="1">
      <alignment horizontal="center" vertical="top" wrapText="1"/>
    </xf>
    <xf numFmtId="2" fontId="25" fillId="6" borderId="14" xfId="0" applyNumberFormat="1" applyFont="1" applyFill="1" applyBorder="1" applyAlignment="1">
      <alignment horizontal="center" vertical="top" wrapText="1"/>
    </xf>
    <xf numFmtId="165" fontId="25" fillId="10" borderId="14" xfId="4" applyFont="1" applyFill="1" applyBorder="1" applyAlignment="1">
      <alignment horizontal="center"/>
    </xf>
    <xf numFmtId="171" fontId="26" fillId="7" borderId="14" xfId="0" applyNumberFormat="1" applyFont="1" applyFill="1" applyBorder="1"/>
    <xf numFmtId="0" fontId="26" fillId="8" borderId="0" xfId="0" applyFont="1" applyFill="1" applyBorder="1"/>
    <xf numFmtId="0" fontId="26" fillId="8" borderId="0" xfId="0" applyFont="1" applyFill="1" applyBorder="1" applyAlignment="1">
      <alignment horizontal="left"/>
    </xf>
    <xf numFmtId="165" fontId="26" fillId="4" borderId="14" xfId="4" applyFont="1" applyFill="1" applyBorder="1"/>
    <xf numFmtId="165" fontId="41" fillId="4" borderId="5" xfId="4" applyFont="1" applyFill="1" applyBorder="1"/>
    <xf numFmtId="165" fontId="26" fillId="3" borderId="5" xfId="4" applyFont="1" applyFill="1" applyBorder="1"/>
    <xf numFmtId="165" fontId="26" fillId="4" borderId="14" xfId="4" applyFont="1" applyFill="1" applyBorder="1"/>
    <xf numFmtId="165" fontId="41" fillId="4" borderId="5" xfId="4" applyFont="1" applyFill="1" applyBorder="1"/>
    <xf numFmtId="165" fontId="26" fillId="2" borderId="14" xfId="4" applyFont="1" applyFill="1" applyBorder="1"/>
    <xf numFmtId="165" fontId="26" fillId="4" borderId="9" xfId="4" applyNumberFormat="1" applyFont="1" applyFill="1" applyBorder="1"/>
    <xf numFmtId="165" fontId="26" fillId="4" borderId="9" xfId="4" applyNumberFormat="1" applyFont="1" applyFill="1" applyBorder="1"/>
    <xf numFmtId="165" fontId="26" fillId="4" borderId="9" xfId="4" applyNumberFormat="1" applyFont="1" applyFill="1" applyBorder="1"/>
    <xf numFmtId="165" fontId="26" fillId="4" borderId="5" xfId="4" applyFont="1" applyFill="1" applyBorder="1" applyAlignment="1">
      <alignment horizontal="center"/>
    </xf>
    <xf numFmtId="165" fontId="26" fillId="4" borderId="4" xfId="4" applyFont="1" applyFill="1" applyBorder="1" applyAlignment="1">
      <alignment horizontal="center"/>
    </xf>
    <xf numFmtId="165" fontId="26" fillId="4" borderId="3" xfId="4" applyFont="1" applyFill="1" applyBorder="1" applyAlignment="1">
      <alignment horizontal="center"/>
    </xf>
    <xf numFmtId="175" fontId="26" fillId="4" borderId="11" xfId="4" applyNumberFormat="1" applyFont="1" applyFill="1" applyBorder="1"/>
    <xf numFmtId="175" fontId="26" fillId="4" borderId="12" xfId="4" applyNumberFormat="1" applyFont="1" applyFill="1" applyBorder="1"/>
    <xf numFmtId="175" fontId="26" fillId="4" borderId="13" xfId="4" applyNumberFormat="1" applyFont="1" applyFill="1" applyBorder="1"/>
    <xf numFmtId="165" fontId="26" fillId="4" borderId="0" xfId="4" applyFont="1" applyFill="1"/>
    <xf numFmtId="165" fontId="26" fillId="4" borderId="5" xfId="4" applyFont="1" applyFill="1" applyBorder="1"/>
    <xf numFmtId="165" fontId="26" fillId="4" borderId="4" xfId="4" applyFont="1" applyFill="1" applyBorder="1"/>
    <xf numFmtId="165" fontId="26" fillId="4" borderId="9" xfId="4" applyFont="1" applyFill="1" applyBorder="1"/>
    <xf numFmtId="165" fontId="26" fillId="0" borderId="5" xfId="4" applyFont="1" applyFill="1" applyBorder="1"/>
    <xf numFmtId="3" fontId="26" fillId="3" borderId="14" xfId="12" applyNumberFormat="1" applyFont="1" applyFill="1" applyBorder="1"/>
    <xf numFmtId="165" fontId="26" fillId="4" borderId="4" xfId="4" applyFont="1" applyFill="1" applyBorder="1" applyAlignment="1">
      <alignment horizontal="center" vertical="top" wrapText="1"/>
    </xf>
    <xf numFmtId="165" fontId="26" fillId="4" borderId="5" xfId="4" applyFont="1" applyFill="1" applyBorder="1" applyAlignment="1">
      <alignment horizontal="center" vertical="top" wrapText="1"/>
    </xf>
    <xf numFmtId="165" fontId="26" fillId="4" borderId="3" xfId="4" applyFont="1" applyFill="1" applyBorder="1" applyAlignment="1">
      <alignment horizontal="center" vertical="top" wrapText="1"/>
    </xf>
    <xf numFmtId="165" fontId="26" fillId="11" borderId="5" xfId="4" applyFont="1" applyFill="1" applyBorder="1" applyAlignment="1">
      <alignment horizontal="center" vertical="top" wrapText="1"/>
    </xf>
    <xf numFmtId="3" fontId="26" fillId="3" borderId="5" xfId="12" applyNumberFormat="1" applyFont="1" applyFill="1" applyBorder="1"/>
    <xf numFmtId="175" fontId="26" fillId="3" borderId="5" xfId="4" applyNumberFormat="1" applyFont="1" applyFill="1" applyBorder="1"/>
    <xf numFmtId="171" fontId="8" fillId="8" borderId="14" xfId="0" applyNumberFormat="1" applyFont="1" applyFill="1" applyBorder="1"/>
    <xf numFmtId="167" fontId="8" fillId="7" borderId="14" xfId="0" applyNumberFormat="1" applyFont="1" applyFill="1" applyBorder="1"/>
    <xf numFmtId="43" fontId="26" fillId="4" borderId="0" xfId="0" applyNumberFormat="1" applyFont="1" applyFill="1"/>
    <xf numFmtId="165" fontId="26" fillId="4" borderId="14" xfId="4" applyNumberFormat="1" applyFont="1" applyFill="1" applyBorder="1" applyAlignment="1">
      <alignment horizontal="right"/>
    </xf>
    <xf numFmtId="9" fontId="25" fillId="6" borderId="14" xfId="12" applyFont="1" applyFill="1" applyBorder="1" applyAlignment="1">
      <alignment horizontal="center"/>
    </xf>
    <xf numFmtId="0" fontId="26" fillId="4" borderId="0" xfId="0" applyFont="1" applyFill="1"/>
    <xf numFmtId="4" fontId="26" fillId="4" borderId="0" xfId="0" applyNumberFormat="1" applyFont="1" applyFill="1"/>
    <xf numFmtId="2" fontId="26" fillId="4" borderId="5" xfId="0" applyNumberFormat="1" applyFont="1" applyFill="1" applyBorder="1"/>
    <xf numFmtId="2" fontId="26" fillId="4" borderId="14" xfId="0" applyNumberFormat="1" applyFont="1" applyFill="1" applyBorder="1"/>
    <xf numFmtId="169" fontId="26" fillId="4" borderId="0" xfId="11" applyNumberFormat="1" applyFont="1" applyFill="1" applyAlignment="1">
      <alignment vertical="center"/>
    </xf>
    <xf numFmtId="4" fontId="26" fillId="4" borderId="0" xfId="12" applyNumberFormat="1" applyFont="1" applyFill="1" applyBorder="1"/>
    <xf numFmtId="4" fontId="26" fillId="4" borderId="5" xfId="12" applyNumberFormat="1" applyFont="1" applyFill="1" applyBorder="1"/>
    <xf numFmtId="0" fontId="26" fillId="8" borderId="0" xfId="0" applyFont="1" applyFill="1"/>
    <xf numFmtId="0" fontId="26" fillId="8" borderId="0" xfId="0" applyFont="1" applyFill="1" applyBorder="1"/>
    <xf numFmtId="10" fontId="26" fillId="7" borderId="14" xfId="0" applyNumberFormat="1" applyFont="1" applyFill="1" applyBorder="1" applyAlignment="1">
      <alignment horizontal="center"/>
    </xf>
    <xf numFmtId="177" fontId="26" fillId="4" borderId="0" xfId="4" applyNumberFormat="1" applyFont="1" applyFill="1" applyBorder="1"/>
    <xf numFmtId="175" fontId="26" fillId="4" borderId="0" xfId="4" applyNumberFormat="1" applyFont="1" applyFill="1" applyBorder="1"/>
    <xf numFmtId="175" fontId="26" fillId="4" borderId="3" xfId="4" applyNumberFormat="1" applyFont="1" applyFill="1" applyBorder="1"/>
    <xf numFmtId="175" fontId="26" fillId="4" borderId="0" xfId="0" applyNumberFormat="1" applyFont="1" applyFill="1"/>
    <xf numFmtId="175" fontId="26" fillId="8" borderId="0" xfId="0" applyNumberFormat="1" applyFont="1" applyFill="1"/>
    <xf numFmtId="175" fontId="36" fillId="8" borderId="0" xfId="0" applyNumberFormat="1" applyFont="1" applyFill="1"/>
    <xf numFmtId="165" fontId="36" fillId="8" borderId="0" xfId="4" applyFont="1" applyFill="1"/>
    <xf numFmtId="165" fontId="26" fillId="4" borderId="0" xfId="15" applyNumberFormat="1" applyFont="1" applyFill="1"/>
    <xf numFmtId="176" fontId="3" fillId="4" borderId="0" xfId="14" applyNumberFormat="1" applyFont="1" applyFill="1" applyBorder="1" applyAlignment="1">
      <alignment horizontal="left"/>
    </xf>
    <xf numFmtId="43" fontId="14" fillId="4" borderId="0" xfId="14" applyNumberFormat="1" applyFont="1" applyFill="1" applyBorder="1" applyAlignment="1">
      <alignment horizontal="left"/>
    </xf>
    <xf numFmtId="0" fontId="25" fillId="6" borderId="4" xfId="0" applyFont="1" applyFill="1" applyBorder="1" applyAlignment="1">
      <alignment horizontal="center" vertical="center" wrapText="1"/>
    </xf>
    <xf numFmtId="180" fontId="26" fillId="0" borderId="0" xfId="4" applyNumberFormat="1" applyFont="1" applyFill="1" applyAlignment="1">
      <alignment horizontal="left"/>
    </xf>
    <xf numFmtId="165" fontId="26" fillId="0" borderId="0" xfId="4" applyFont="1" applyFill="1" applyBorder="1"/>
    <xf numFmtId="165" fontId="41" fillId="0" borderId="5" xfId="4" applyFont="1" applyFill="1" applyBorder="1"/>
    <xf numFmtId="165" fontId="26" fillId="0" borderId="9" xfId="4" applyNumberFormat="1" applyFont="1" applyFill="1" applyBorder="1"/>
    <xf numFmtId="166" fontId="26" fillId="4" borderId="13" xfId="0" applyNumberFormat="1" applyFont="1" applyFill="1" applyBorder="1" applyAlignment="1">
      <alignment horizontal="center"/>
    </xf>
    <xf numFmtId="9" fontId="25" fillId="6" borderId="5" xfId="12" applyFont="1" applyFill="1" applyBorder="1" applyAlignment="1">
      <alignment horizontal="center"/>
    </xf>
    <xf numFmtId="10" fontId="25" fillId="6" borderId="14" xfId="12" applyNumberFormat="1" applyFont="1" applyFill="1" applyBorder="1" applyAlignment="1">
      <alignment vertical="center"/>
    </xf>
    <xf numFmtId="165" fontId="25" fillId="6" borderId="14" xfId="4" applyNumberFormat="1" applyFont="1" applyFill="1" applyBorder="1" applyAlignment="1">
      <alignment horizontal="center" vertical="center" wrapText="1"/>
    </xf>
    <xf numFmtId="165" fontId="25" fillId="6" borderId="14" xfId="4" quotePrefix="1" applyFont="1" applyFill="1" applyBorder="1" applyAlignment="1">
      <alignment horizontal="center" vertical="center" wrapText="1"/>
    </xf>
    <xf numFmtId="0" fontId="25" fillId="6" borderId="14" xfId="15" quotePrefix="1" applyFont="1" applyFill="1" applyBorder="1" applyAlignment="1">
      <alignment horizontal="center" vertical="center" wrapText="1"/>
    </xf>
    <xf numFmtId="165" fontId="26" fillId="4" borderId="5" xfId="4" applyFont="1" applyFill="1" applyBorder="1"/>
    <xf numFmtId="175" fontId="26" fillId="4" borderId="0" xfId="4" applyNumberFormat="1" applyFont="1" applyFill="1" applyBorder="1" applyAlignment="1">
      <alignment horizontal="center"/>
    </xf>
    <xf numFmtId="175" fontId="26" fillId="4" borderId="4" xfId="4" applyNumberFormat="1" applyFont="1" applyFill="1" applyBorder="1" applyAlignment="1">
      <alignment horizontal="center"/>
    </xf>
    <xf numFmtId="175" fontId="26" fillId="4" borderId="5" xfId="4" applyNumberFormat="1" applyFont="1" applyFill="1" applyBorder="1" applyAlignment="1">
      <alignment horizontal="center"/>
    </xf>
    <xf numFmtId="175" fontId="26" fillId="0" borderId="0" xfId="4" applyNumberFormat="1" applyFont="1" applyFill="1" applyBorder="1"/>
    <xf numFmtId="175" fontId="26" fillId="4" borderId="0" xfId="4" applyNumberFormat="1" applyFont="1" applyFill="1" applyBorder="1"/>
    <xf numFmtId="175" fontId="26" fillId="4" borderId="15" xfId="4" applyNumberFormat="1" applyFont="1" applyFill="1" applyBorder="1"/>
    <xf numFmtId="175" fontId="26" fillId="4" borderId="16" xfId="4" applyNumberFormat="1" applyFont="1" applyFill="1" applyBorder="1"/>
    <xf numFmtId="0" fontId="39" fillId="4" borderId="0" xfId="0" applyFont="1" applyFill="1" applyAlignment="1">
      <alignment horizontal="center"/>
    </xf>
    <xf numFmtId="15" fontId="34" fillId="9" borderId="0" xfId="0" applyNumberFormat="1" applyFont="1" applyFill="1" applyAlignment="1">
      <alignment horizontal="center"/>
    </xf>
    <xf numFmtId="165" fontId="25" fillId="6" borderId="4" xfId="4" applyFont="1" applyFill="1" applyBorder="1" applyAlignment="1">
      <alignment horizontal="center" vertical="center" textRotation="90" wrapText="1"/>
    </xf>
    <xf numFmtId="165" fontId="25" fillId="6" borderId="3" xfId="4" applyFont="1" applyFill="1" applyBorder="1" applyAlignment="1">
      <alignment horizontal="center" vertical="center" textRotation="90" wrapText="1"/>
    </xf>
    <xf numFmtId="165" fontId="25" fillId="10" borderId="4" xfId="4" applyFont="1" applyFill="1" applyBorder="1" applyAlignment="1">
      <alignment horizontal="center" vertical="center" textRotation="90" wrapText="1"/>
    </xf>
    <xf numFmtId="165" fontId="25" fillId="10" borderId="3" xfId="4" applyFont="1" applyFill="1" applyBorder="1" applyAlignment="1">
      <alignment horizontal="center" vertical="center" textRotation="90" wrapText="1"/>
    </xf>
    <xf numFmtId="165" fontId="40" fillId="6" borderId="4" xfId="4" applyFont="1" applyFill="1" applyBorder="1" applyAlignment="1">
      <alignment horizontal="center" vertical="center" textRotation="90" wrapText="1"/>
    </xf>
    <xf numFmtId="165" fontId="40" fillId="6" borderId="3" xfId="4" applyFont="1" applyFill="1" applyBorder="1" applyAlignment="1">
      <alignment horizontal="center" vertical="center" textRotation="90" wrapText="1"/>
    </xf>
    <xf numFmtId="180" fontId="25" fillId="6" borderId="4" xfId="4" applyNumberFormat="1" applyFont="1" applyFill="1" applyBorder="1" applyAlignment="1">
      <alignment horizontal="center" vertical="center" wrapText="1"/>
    </xf>
    <xf numFmtId="180" fontId="25" fillId="6" borderId="5" xfId="4" applyNumberFormat="1" applyFont="1" applyFill="1" applyBorder="1" applyAlignment="1">
      <alignment horizontal="center" vertical="center" wrapText="1"/>
    </xf>
    <xf numFmtId="180" fontId="25" fillId="6" borderId="3" xfId="4" applyNumberFormat="1" applyFont="1" applyFill="1" applyBorder="1" applyAlignment="1">
      <alignment horizontal="center" vertical="center" wrapText="1"/>
    </xf>
    <xf numFmtId="165" fontId="25" fillId="6" borderId="8" xfId="4" applyFont="1" applyFill="1" applyBorder="1" applyAlignment="1">
      <alignment horizontal="center" vertical="center" wrapText="1"/>
    </xf>
    <xf numFmtId="165" fontId="25" fillId="6" borderId="9" xfId="4" applyFont="1" applyFill="1" applyBorder="1" applyAlignment="1">
      <alignment horizontal="center" vertical="center" wrapText="1"/>
    </xf>
    <xf numFmtId="165" fontId="25" fillId="6" borderId="10" xfId="4" applyFont="1" applyFill="1" applyBorder="1" applyAlignment="1">
      <alignment horizontal="center" vertical="center" wrapText="1"/>
    </xf>
    <xf numFmtId="165" fontId="25" fillId="6" borderId="5" xfId="4" applyFont="1" applyFill="1" applyBorder="1" applyAlignment="1">
      <alignment horizontal="center" vertical="center" textRotation="90" wrapText="1"/>
    </xf>
    <xf numFmtId="165" fontId="25" fillId="6" borderId="12" xfId="4" applyFont="1" applyFill="1" applyBorder="1" applyAlignment="1">
      <alignment horizontal="center" vertical="center" textRotation="90" wrapText="1"/>
    </xf>
    <xf numFmtId="165" fontId="25" fillId="6" borderId="13" xfId="4" applyFont="1" applyFill="1" applyBorder="1" applyAlignment="1">
      <alignment horizontal="center" vertical="center" textRotation="90" wrapText="1"/>
    </xf>
    <xf numFmtId="3" fontId="40" fillId="6" borderId="4" xfId="0" applyNumberFormat="1" applyFont="1" applyFill="1" applyBorder="1" applyAlignment="1">
      <alignment horizontal="center" vertical="center" textRotation="90" wrapText="1"/>
    </xf>
    <xf numFmtId="0" fontId="40" fillId="6" borderId="3" xfId="0" applyFont="1" applyFill="1" applyBorder="1" applyAlignment="1">
      <alignment horizontal="center" vertical="center" textRotation="90" wrapText="1"/>
    </xf>
    <xf numFmtId="0" fontId="25" fillId="6" borderId="4" xfId="0" applyNumberFormat="1" applyFont="1" applyFill="1" applyBorder="1" applyAlignment="1">
      <alignment horizontal="center" vertical="center" wrapText="1"/>
    </xf>
    <xf numFmtId="0" fontId="25" fillId="6" borderId="5" xfId="0" applyNumberFormat="1" applyFont="1" applyFill="1" applyBorder="1" applyAlignment="1">
      <alignment horizontal="center" vertical="center" wrapText="1"/>
    </xf>
    <xf numFmtId="0" fontId="25" fillId="6" borderId="3" xfId="0" applyNumberFormat="1" applyFont="1" applyFill="1" applyBorder="1" applyAlignment="1">
      <alignment horizontal="center" vertical="center" wrapText="1"/>
    </xf>
    <xf numFmtId="3" fontId="25" fillId="6" borderId="4" xfId="0" applyNumberFormat="1" applyFont="1" applyFill="1" applyBorder="1" applyAlignment="1">
      <alignment horizontal="center" vertical="center" wrapText="1"/>
    </xf>
    <xf numFmtId="3" fontId="25" fillId="6" borderId="5" xfId="0" applyNumberFormat="1" applyFont="1" applyFill="1" applyBorder="1" applyAlignment="1">
      <alignment horizontal="center" vertical="center" wrapText="1"/>
    </xf>
    <xf numFmtId="3" fontId="25" fillId="6" borderId="3" xfId="0" applyNumberFormat="1" applyFont="1" applyFill="1" applyBorder="1" applyAlignment="1">
      <alignment horizontal="center" vertical="center" wrapText="1"/>
    </xf>
    <xf numFmtId="175" fontId="25" fillId="6" borderId="4" xfId="4" applyNumberFormat="1" applyFont="1" applyFill="1" applyBorder="1" applyAlignment="1">
      <alignment horizontal="center" vertical="center" textRotation="90" wrapText="1"/>
    </xf>
    <xf numFmtId="175" fontId="25" fillId="6" borderId="5" xfId="4" applyNumberFormat="1" applyFont="1" applyFill="1" applyBorder="1" applyAlignment="1">
      <alignment horizontal="center" vertical="center" textRotation="90" wrapText="1"/>
    </xf>
    <xf numFmtId="175" fontId="25" fillId="6" borderId="3" xfId="4" applyNumberFormat="1" applyFont="1" applyFill="1" applyBorder="1" applyAlignment="1">
      <alignment horizontal="center" vertical="center" textRotation="90" wrapText="1"/>
    </xf>
    <xf numFmtId="3" fontId="25" fillId="6" borderId="4" xfId="0" applyNumberFormat="1" applyFont="1" applyFill="1" applyBorder="1" applyAlignment="1">
      <alignment horizontal="center" vertical="center" textRotation="90" wrapText="1"/>
    </xf>
    <xf numFmtId="3" fontId="25" fillId="6" borderId="3" xfId="0" applyNumberFormat="1" applyFont="1" applyFill="1" applyBorder="1" applyAlignment="1">
      <alignment horizontal="center" vertical="center" textRotation="90" wrapText="1"/>
    </xf>
    <xf numFmtId="4" fontId="25" fillId="6" borderId="4" xfId="0" applyNumberFormat="1" applyFont="1" applyFill="1" applyBorder="1" applyAlignment="1">
      <alignment horizontal="center" vertical="center" textRotation="90" wrapText="1"/>
    </xf>
    <xf numFmtId="4" fontId="25" fillId="6" borderId="5" xfId="0" applyNumberFormat="1" applyFont="1" applyFill="1" applyBorder="1" applyAlignment="1">
      <alignment horizontal="center" vertical="center" textRotation="90" wrapText="1"/>
    </xf>
    <xf numFmtId="4" fontId="25" fillId="6" borderId="3" xfId="0" applyNumberFormat="1" applyFont="1" applyFill="1" applyBorder="1" applyAlignment="1">
      <alignment horizontal="center" vertical="center" textRotation="90" wrapText="1"/>
    </xf>
    <xf numFmtId="175" fontId="25" fillId="6" borderId="4" xfId="4" applyNumberFormat="1" applyFont="1" applyFill="1" applyBorder="1" applyAlignment="1">
      <alignment horizontal="center" vertical="center" wrapText="1"/>
    </xf>
    <xf numFmtId="175" fontId="25" fillId="6" borderId="5" xfId="4" applyNumberFormat="1" applyFont="1" applyFill="1" applyBorder="1" applyAlignment="1">
      <alignment horizontal="center" vertical="center" wrapText="1"/>
    </xf>
    <xf numFmtId="175" fontId="25" fillId="6" borderId="3" xfId="4" applyNumberFormat="1" applyFont="1" applyFill="1" applyBorder="1" applyAlignment="1">
      <alignment horizontal="center" vertical="center" wrapText="1"/>
    </xf>
    <xf numFmtId="0" fontId="25" fillId="6" borderId="4" xfId="0" applyFont="1" applyFill="1" applyBorder="1" applyAlignment="1">
      <alignment horizontal="center" vertical="center" wrapText="1"/>
    </xf>
    <xf numFmtId="0" fontId="25" fillId="6" borderId="5" xfId="0" applyFont="1" applyFill="1" applyBorder="1" applyAlignment="1">
      <alignment horizontal="center" vertical="center" wrapText="1"/>
    </xf>
    <xf numFmtId="0" fontId="25" fillId="6" borderId="3" xfId="0" applyFont="1" applyFill="1" applyBorder="1" applyAlignment="1">
      <alignment horizontal="center" vertical="center" wrapText="1"/>
    </xf>
    <xf numFmtId="3" fontId="25" fillId="6" borderId="5" xfId="0" applyNumberFormat="1" applyFont="1" applyFill="1" applyBorder="1" applyAlignment="1">
      <alignment horizontal="center" vertical="center" textRotation="90" wrapText="1"/>
    </xf>
    <xf numFmtId="4" fontId="25" fillId="6" borderId="4" xfId="0" applyNumberFormat="1" applyFont="1" applyFill="1" applyBorder="1" applyAlignment="1">
      <alignment horizontal="center" vertical="center" wrapText="1"/>
    </xf>
    <xf numFmtId="4" fontId="25" fillId="6" borderId="3" xfId="0" applyNumberFormat="1" applyFont="1" applyFill="1" applyBorder="1" applyAlignment="1">
      <alignment horizontal="center" vertical="center" wrapText="1"/>
    </xf>
    <xf numFmtId="10" fontId="25" fillId="6" borderId="14" xfId="12" applyNumberFormat="1" applyFont="1" applyFill="1" applyBorder="1" applyAlignment="1">
      <alignment horizontal="center" vertical="center" wrapText="1"/>
    </xf>
    <xf numFmtId="0" fontId="25" fillId="6" borderId="17" xfId="0" applyFont="1" applyFill="1" applyBorder="1" applyAlignment="1">
      <alignment horizontal="center" vertical="center"/>
    </xf>
    <xf numFmtId="0" fontId="25" fillId="6" borderId="6" xfId="0" applyFont="1" applyFill="1" applyBorder="1" applyAlignment="1">
      <alignment horizontal="center" vertical="center"/>
    </xf>
    <xf numFmtId="0" fontId="25" fillId="6" borderId="7" xfId="0" applyFont="1" applyFill="1" applyBorder="1" applyAlignment="1">
      <alignment horizontal="center" vertical="center"/>
    </xf>
    <xf numFmtId="10" fontId="25" fillId="6" borderId="4" xfId="12" applyNumberFormat="1" applyFont="1" applyFill="1" applyBorder="1" applyAlignment="1">
      <alignment horizontal="center" vertical="center" wrapText="1"/>
    </xf>
    <xf numFmtId="0" fontId="25" fillId="6" borderId="17" xfId="0" applyFont="1" applyFill="1" applyBorder="1" applyAlignment="1">
      <alignment horizontal="center" vertical="center" wrapText="1"/>
    </xf>
    <xf numFmtId="0" fontId="25" fillId="6" borderId="6" xfId="0" applyFont="1" applyFill="1" applyBorder="1" applyAlignment="1">
      <alignment horizontal="center" vertical="center" wrapText="1"/>
    </xf>
    <xf numFmtId="0" fontId="25" fillId="6" borderId="7" xfId="0" applyFont="1" applyFill="1" applyBorder="1" applyAlignment="1">
      <alignment horizontal="center" vertical="center" wrapText="1"/>
    </xf>
    <xf numFmtId="0" fontId="25" fillId="6" borderId="12" xfId="0" applyFont="1" applyFill="1" applyBorder="1" applyAlignment="1">
      <alignment horizontal="center" vertical="center" wrapText="1"/>
    </xf>
    <xf numFmtId="0" fontId="25" fillId="6" borderId="13" xfId="0" applyFont="1" applyFill="1" applyBorder="1" applyAlignment="1">
      <alignment horizontal="center" vertical="center" wrapText="1"/>
    </xf>
    <xf numFmtId="0" fontId="25" fillId="6" borderId="8" xfId="0" applyFont="1" applyFill="1" applyBorder="1" applyAlignment="1">
      <alignment horizontal="center" vertical="center" wrapText="1"/>
    </xf>
    <xf numFmtId="0" fontId="25" fillId="6" borderId="10" xfId="0" applyFont="1" applyFill="1" applyBorder="1" applyAlignment="1">
      <alignment horizontal="center" vertical="center" wrapText="1"/>
    </xf>
    <xf numFmtId="0" fontId="25" fillId="6" borderId="17" xfId="0" applyFont="1" applyFill="1" applyBorder="1" applyAlignment="1">
      <alignment horizontal="center"/>
    </xf>
    <xf numFmtId="0" fontId="25" fillId="6" borderId="6" xfId="0" applyFont="1" applyFill="1" applyBorder="1" applyAlignment="1">
      <alignment horizontal="center"/>
    </xf>
    <xf numFmtId="0" fontId="25" fillId="6" borderId="7" xfId="0" applyFont="1" applyFill="1" applyBorder="1" applyAlignment="1">
      <alignment horizontal="center"/>
    </xf>
    <xf numFmtId="165" fontId="25" fillId="6" borderId="4" xfId="4" applyFont="1" applyFill="1" applyBorder="1" applyAlignment="1">
      <alignment horizontal="center" vertical="center" wrapText="1"/>
    </xf>
    <xf numFmtId="165" fontId="25" fillId="6" borderId="3" xfId="4" applyFont="1" applyFill="1" applyBorder="1" applyAlignment="1">
      <alignment horizontal="center" vertical="center" wrapText="1"/>
    </xf>
    <xf numFmtId="0" fontId="25" fillId="6" borderId="14" xfId="0" applyFont="1" applyFill="1" applyBorder="1" applyAlignment="1">
      <alignment horizontal="center" vertical="center" wrapText="1"/>
    </xf>
    <xf numFmtId="175" fontId="25" fillId="6" borderId="12" xfId="4" applyNumberFormat="1" applyFont="1" applyFill="1" applyBorder="1" applyAlignment="1">
      <alignment horizontal="center" vertical="center" wrapText="1"/>
    </xf>
    <xf numFmtId="175" fontId="25" fillId="6" borderId="13" xfId="4" applyNumberFormat="1" applyFont="1" applyFill="1" applyBorder="1" applyAlignment="1">
      <alignment horizontal="center" vertical="center" wrapText="1"/>
    </xf>
    <xf numFmtId="165" fontId="25" fillId="6" borderId="5" xfId="4" applyFont="1" applyFill="1" applyBorder="1" applyAlignment="1">
      <alignment horizontal="center" vertical="center" wrapText="1"/>
    </xf>
    <xf numFmtId="0" fontId="25" fillId="6" borderId="11" xfId="0" applyFont="1" applyFill="1" applyBorder="1" applyAlignment="1">
      <alignment horizontal="center" vertical="center" wrapText="1"/>
    </xf>
    <xf numFmtId="0" fontId="25" fillId="6" borderId="9" xfId="0" applyFont="1" applyFill="1" applyBorder="1" applyAlignment="1">
      <alignment horizontal="center" vertical="center" wrapText="1"/>
    </xf>
    <xf numFmtId="0" fontId="15" fillId="3" borderId="17" xfId="11" applyFont="1" applyFill="1" applyBorder="1" applyAlignment="1">
      <alignment horizontal="center"/>
    </xf>
    <xf numFmtId="0" fontId="15" fillId="3" borderId="6" xfId="11" applyFont="1" applyFill="1" applyBorder="1" applyAlignment="1">
      <alignment horizontal="center"/>
    </xf>
    <xf numFmtId="0" fontId="15" fillId="3" borderId="7" xfId="11" applyFont="1" applyFill="1" applyBorder="1" applyAlignment="1">
      <alignment horizontal="center"/>
    </xf>
    <xf numFmtId="0" fontId="25" fillId="6" borderId="4" xfId="15" applyFont="1" applyFill="1" applyBorder="1" applyAlignment="1">
      <alignment horizontal="center" vertical="center" wrapText="1"/>
    </xf>
    <xf numFmtId="0" fontId="25" fillId="6" borderId="3" xfId="15" applyFont="1" applyFill="1" applyBorder="1" applyAlignment="1">
      <alignment horizontal="center" vertical="center" wrapText="1"/>
    </xf>
    <xf numFmtId="0" fontId="25" fillId="6" borderId="8" xfId="15" applyFont="1" applyFill="1" applyBorder="1" applyAlignment="1">
      <alignment horizontal="center" vertical="center" wrapText="1"/>
    </xf>
    <xf numFmtId="0" fontId="25" fillId="6" borderId="10" xfId="15" applyFont="1" applyFill="1" applyBorder="1" applyAlignment="1">
      <alignment horizontal="center" vertical="center" wrapText="1"/>
    </xf>
    <xf numFmtId="0" fontId="25" fillId="4" borderId="9" xfId="0" applyFont="1" applyFill="1" applyBorder="1" applyAlignment="1">
      <alignment horizontal="center"/>
    </xf>
    <xf numFmtId="167" fontId="25" fillId="6" borderId="4" xfId="12" applyNumberFormat="1" applyFont="1" applyFill="1" applyBorder="1" applyAlignment="1">
      <alignment horizontal="center" vertical="center" wrapText="1"/>
    </xf>
    <xf numFmtId="167" fontId="25" fillId="6" borderId="3" xfId="12" applyNumberFormat="1" applyFont="1" applyFill="1" applyBorder="1" applyAlignment="1">
      <alignment horizontal="center" vertical="center" wrapText="1"/>
    </xf>
    <xf numFmtId="167" fontId="25" fillId="6" borderId="12" xfId="12" applyNumberFormat="1" applyFont="1" applyFill="1" applyBorder="1" applyAlignment="1">
      <alignment horizontal="center" vertical="center" wrapText="1"/>
    </xf>
    <xf numFmtId="167" fontId="25" fillId="6" borderId="13" xfId="12" applyNumberFormat="1" applyFont="1" applyFill="1" applyBorder="1" applyAlignment="1">
      <alignment horizontal="center" vertical="center" wrapText="1"/>
    </xf>
    <xf numFmtId="1" fontId="26" fillId="4" borderId="0" xfId="11" applyNumberFormat="1" applyFont="1" applyFill="1" applyAlignment="1">
      <alignment horizontal="left" vertical="center"/>
    </xf>
    <xf numFmtId="0" fontId="26" fillId="4" borderId="0" xfId="0" applyFont="1" applyFill="1" applyAlignment="1">
      <alignment vertical="center"/>
    </xf>
    <xf numFmtId="167" fontId="25" fillId="6" borderId="5" xfId="12" applyNumberFormat="1" applyFont="1" applyFill="1" applyBorder="1" applyAlignment="1">
      <alignment horizontal="center" vertical="center" wrapText="1"/>
    </xf>
  </cellXfs>
  <cellStyles count="173">
    <cellStyle name="cexColumnHeadings" xfId="1"/>
    <cellStyle name="cexReportTitle" xfId="2"/>
    <cellStyle name="cexTableEntry" xfId="3"/>
    <cellStyle name="Milliers" xfId="4" builtinId="3"/>
    <cellStyle name="Milliers 2" xfId="5"/>
    <cellStyle name="Milliers 3" xfId="6"/>
    <cellStyle name="Milliers 3 10" xfId="139"/>
    <cellStyle name="Milliers 3 11" xfId="156"/>
    <cellStyle name="Milliers 3 2" xfId="16"/>
    <cellStyle name="Milliers 3 2 10" xfId="158"/>
    <cellStyle name="Milliers 3 2 2" xfId="19"/>
    <cellStyle name="Milliers 3 2 2 2" xfId="35"/>
    <cellStyle name="Milliers 3 2 2 2 2" xfId="59"/>
    <cellStyle name="Milliers 3 2 2 2 3" xfId="88"/>
    <cellStyle name="Milliers 3 2 2 2 4" xfId="111"/>
    <cellStyle name="Milliers 3 2 2 3" xfId="45"/>
    <cellStyle name="Milliers 3 2 2 4" xfId="71"/>
    <cellStyle name="Milliers 3 2 2 5" xfId="97"/>
    <cellStyle name="Milliers 3 2 2 6" xfId="124"/>
    <cellStyle name="Milliers 3 2 2 7" xfId="143"/>
    <cellStyle name="Milliers 3 2 2 8" xfId="160"/>
    <cellStyle name="Milliers 3 2 3" xfId="20"/>
    <cellStyle name="Milliers 3 2 3 2" xfId="39"/>
    <cellStyle name="Milliers 3 2 3 2 2" xfId="63"/>
    <cellStyle name="Milliers 3 2 3 2 3" xfId="91"/>
    <cellStyle name="Milliers 3 2 3 2 4" xfId="115"/>
    <cellStyle name="Milliers 3 2 3 3" xfId="46"/>
    <cellStyle name="Milliers 3 2 3 4" xfId="72"/>
    <cellStyle name="Milliers 3 2 3 5" xfId="98"/>
    <cellStyle name="Milliers 3 2 3 6" xfId="125"/>
    <cellStyle name="Milliers 3 2 3 7" xfId="144"/>
    <cellStyle name="Milliers 3 2 3 8" xfId="161"/>
    <cellStyle name="Milliers 3 2 4" xfId="31"/>
    <cellStyle name="Milliers 3 2 4 2" xfId="55"/>
    <cellStyle name="Milliers 3 2 4 3" xfId="86"/>
    <cellStyle name="Milliers 3 2 4 4" xfId="107"/>
    <cellStyle name="Milliers 3 2 4 5" xfId="135"/>
    <cellStyle name="Milliers 3 2 4 6" xfId="154"/>
    <cellStyle name="Milliers 3 2 4 7" xfId="171"/>
    <cellStyle name="Milliers 3 2 5" xfId="43"/>
    <cellStyle name="Milliers 3 2 6" xfId="69"/>
    <cellStyle name="Milliers 3 2 7" xfId="95"/>
    <cellStyle name="Milliers 3 2 8" xfId="122"/>
    <cellStyle name="Milliers 3 2 9" xfId="141"/>
    <cellStyle name="Milliers 3 3" xfId="21"/>
    <cellStyle name="Milliers 3 3 2" xfId="33"/>
    <cellStyle name="Milliers 3 3 2 2" xfId="57"/>
    <cellStyle name="Milliers 3 3 2 3" xfId="67"/>
    <cellStyle name="Milliers 3 3 2 4" xfId="109"/>
    <cellStyle name="Milliers 3 3 3" xfId="47"/>
    <cellStyle name="Milliers 3 3 4" xfId="73"/>
    <cellStyle name="Milliers 3 3 5" xfId="99"/>
    <cellStyle name="Milliers 3 3 6" xfId="126"/>
    <cellStyle name="Milliers 3 3 7" xfId="145"/>
    <cellStyle name="Milliers 3 3 8" xfId="162"/>
    <cellStyle name="Milliers 3 4" xfId="22"/>
    <cellStyle name="Milliers 3 4 2" xfId="37"/>
    <cellStyle name="Milliers 3 4 2 2" xfId="61"/>
    <cellStyle name="Milliers 3 4 2 3" xfId="89"/>
    <cellStyle name="Milliers 3 4 2 4" xfId="113"/>
    <cellStyle name="Milliers 3 4 3" xfId="48"/>
    <cellStyle name="Milliers 3 4 4" xfId="74"/>
    <cellStyle name="Milliers 3 4 5" xfId="100"/>
    <cellStyle name="Milliers 3 4 6" xfId="127"/>
    <cellStyle name="Milliers 3 4 7" xfId="146"/>
    <cellStyle name="Milliers 3 4 8" xfId="163"/>
    <cellStyle name="Milliers 3 5" xfId="29"/>
    <cellStyle name="Milliers 3 5 2" xfId="53"/>
    <cellStyle name="Milliers 3 5 3" xfId="84"/>
    <cellStyle name="Milliers 3 5 4" xfId="105"/>
    <cellStyle name="Milliers 3 5 5" xfId="133"/>
    <cellStyle name="Milliers 3 5 6" xfId="152"/>
    <cellStyle name="Milliers 3 5 7" xfId="169"/>
    <cellStyle name="Milliers 3 6" xfId="41"/>
    <cellStyle name="Milliers 3 7" xfId="66"/>
    <cellStyle name="Milliers 3 8" xfId="93"/>
    <cellStyle name="Milliers 3 9" xfId="120"/>
    <cellStyle name="Milliers 4" xfId="14"/>
    <cellStyle name="Milliers 4 2" xfId="23"/>
    <cellStyle name="Milliers 5" xfId="81"/>
    <cellStyle name="Milliers 5 2" xfId="132"/>
    <cellStyle name="Milliers 5 3" xfId="151"/>
    <cellStyle name="Milliers 5 4" xfId="168"/>
    <cellStyle name="Milliers 6" xfId="118"/>
    <cellStyle name="Normal" xfId="0" builtinId="0"/>
    <cellStyle name="Normal 2" xfId="7"/>
    <cellStyle name="Normal 2 2" xfId="8"/>
    <cellStyle name="Normal 2 3" xfId="9"/>
    <cellStyle name="Normal 3" xfId="10"/>
    <cellStyle name="Normal 3 10" xfId="140"/>
    <cellStyle name="Normal 3 11" xfId="157"/>
    <cellStyle name="Normal 3 2" xfId="17"/>
    <cellStyle name="Normal 3 2 10" xfId="159"/>
    <cellStyle name="Normal 3 2 2" xfId="24"/>
    <cellStyle name="Normal 3 2 2 2" xfId="36"/>
    <cellStyle name="Normal 3 2 2 2 2" xfId="60"/>
    <cellStyle name="Normal 3 2 2 2 3" xfId="80"/>
    <cellStyle name="Normal 3 2 2 2 4" xfId="112"/>
    <cellStyle name="Normal 3 2 2 3" xfId="49"/>
    <cellStyle name="Normal 3 2 2 4" xfId="76"/>
    <cellStyle name="Normal 3 2 2 5" xfId="101"/>
    <cellStyle name="Normal 3 2 2 6" xfId="128"/>
    <cellStyle name="Normal 3 2 2 7" xfId="147"/>
    <cellStyle name="Normal 3 2 2 8" xfId="164"/>
    <cellStyle name="Normal 3 2 3" xfId="25"/>
    <cellStyle name="Normal 3 2 3 2" xfId="40"/>
    <cellStyle name="Normal 3 2 3 2 2" xfId="64"/>
    <cellStyle name="Normal 3 2 3 2 3" xfId="92"/>
    <cellStyle name="Normal 3 2 3 2 4" xfId="116"/>
    <cellStyle name="Normal 3 2 3 3" xfId="50"/>
    <cellStyle name="Normal 3 2 3 4" xfId="77"/>
    <cellStyle name="Normal 3 2 3 5" xfId="102"/>
    <cellStyle name="Normal 3 2 3 6" xfId="129"/>
    <cellStyle name="Normal 3 2 3 7" xfId="148"/>
    <cellStyle name="Normal 3 2 3 8" xfId="165"/>
    <cellStyle name="Normal 3 2 4" xfId="32"/>
    <cellStyle name="Normal 3 2 4 2" xfId="56"/>
    <cellStyle name="Normal 3 2 4 3" xfId="87"/>
    <cellStyle name="Normal 3 2 4 4" xfId="108"/>
    <cellStyle name="Normal 3 2 4 5" xfId="136"/>
    <cellStyle name="Normal 3 2 4 6" xfId="155"/>
    <cellStyle name="Normal 3 2 4 7" xfId="172"/>
    <cellStyle name="Normal 3 2 5" xfId="44"/>
    <cellStyle name="Normal 3 2 6" xfId="70"/>
    <cellStyle name="Normal 3 2 7" xfId="96"/>
    <cellStyle name="Normal 3 2 8" xfId="123"/>
    <cellStyle name="Normal 3 2 9" xfId="142"/>
    <cellStyle name="Normal 3 3" xfId="26"/>
    <cellStyle name="Normal 3 3 2" xfId="34"/>
    <cellStyle name="Normal 3 3 2 2" xfId="58"/>
    <cellStyle name="Normal 3 3 2 3" xfId="75"/>
    <cellStyle name="Normal 3 3 2 4" xfId="110"/>
    <cellStyle name="Normal 3 3 3" xfId="51"/>
    <cellStyle name="Normal 3 3 4" xfId="78"/>
    <cellStyle name="Normal 3 3 5" xfId="103"/>
    <cellStyle name="Normal 3 3 6" xfId="130"/>
    <cellStyle name="Normal 3 3 7" xfId="149"/>
    <cellStyle name="Normal 3 3 8" xfId="166"/>
    <cellStyle name="Normal 3 4" xfId="27"/>
    <cellStyle name="Normal 3 4 2" xfId="38"/>
    <cellStyle name="Normal 3 4 2 2" xfId="62"/>
    <cellStyle name="Normal 3 4 2 3" xfId="90"/>
    <cellStyle name="Normal 3 4 2 4" xfId="114"/>
    <cellStyle name="Normal 3 4 3" xfId="52"/>
    <cellStyle name="Normal 3 4 4" xfId="79"/>
    <cellStyle name="Normal 3 4 5" xfId="104"/>
    <cellStyle name="Normal 3 4 6" xfId="131"/>
    <cellStyle name="Normal 3 4 7" xfId="150"/>
    <cellStyle name="Normal 3 4 8" xfId="167"/>
    <cellStyle name="Normal 3 5" xfId="30"/>
    <cellStyle name="Normal 3 5 2" xfId="54"/>
    <cellStyle name="Normal 3 5 3" xfId="82"/>
    <cellStyle name="Normal 3 5 4" xfId="65"/>
    <cellStyle name="Normal 3 5 5" xfId="106"/>
    <cellStyle name="Normal 3 6" xfId="42"/>
    <cellStyle name="Normal 3 6 2" xfId="85"/>
    <cellStyle name="Normal 3 6 3" xfId="134"/>
    <cellStyle name="Normal 3 6 4" xfId="153"/>
    <cellStyle name="Normal 3 6 5" xfId="170"/>
    <cellStyle name="Normal 3 7" xfId="68"/>
    <cellStyle name="Normal 3 8" xfId="94"/>
    <cellStyle name="Normal 3 9" xfId="121"/>
    <cellStyle name="Normal 4" xfId="15"/>
    <cellStyle name="Normal 4 2" xfId="28"/>
    <cellStyle name="Normal 5" xfId="18"/>
    <cellStyle name="Normal 6" xfId="83"/>
    <cellStyle name="Normal 7" xfId="117"/>
    <cellStyle name="Normal 8" xfId="119"/>
    <cellStyle name="Normal 9" xfId="137"/>
    <cellStyle name="Normal_3crit_2002-03.xls" xfId="11"/>
    <cellStyle name="Pourcentage" xfId="12" builtinId="5"/>
    <cellStyle name="Pourcentage 2" xfId="13"/>
    <cellStyle name="Pourcentage 3" xfId="13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rgb="FF00B0F0"/>
  </sheetPr>
  <dimension ref="A1:L545"/>
  <sheetViews>
    <sheetView zoomScaleNormal="100" workbookViewId="0">
      <selection activeCell="A98" sqref="A98"/>
    </sheetView>
  </sheetViews>
  <sheetFormatPr baseColWidth="10" defaultColWidth="10.75" defaultRowHeight="15" x14ac:dyDescent="0.25"/>
  <cols>
    <col min="1" max="1" width="48" style="159" bestFit="1" customWidth="1"/>
    <col min="2" max="2" width="13.75" style="159" customWidth="1"/>
    <col min="3" max="3" width="16.625" style="159" customWidth="1"/>
    <col min="4" max="4" width="12.25" style="159" customWidth="1"/>
    <col min="5" max="5" width="11" style="159" bestFit="1" customWidth="1"/>
    <col min="6" max="6" width="12.125" style="159" bestFit="1" customWidth="1"/>
    <col min="7" max="7" width="12.5" style="159" bestFit="1" customWidth="1"/>
    <col min="8" max="8" width="12" style="159" bestFit="1" customWidth="1"/>
    <col min="9" max="10" width="12.125" style="159" bestFit="1" customWidth="1"/>
    <col min="11" max="11" width="14.375" style="159" bestFit="1" customWidth="1"/>
    <col min="12" max="16384" width="10.75" style="159"/>
  </cols>
  <sheetData>
    <row r="1" spans="1:11" ht="31.5" x14ac:dyDescent="0.5">
      <c r="A1" s="199" t="s">
        <v>378</v>
      </c>
    </row>
    <row r="4" spans="1:11" ht="21" x14ac:dyDescent="0.35">
      <c r="A4" s="178" t="s">
        <v>459</v>
      </c>
    </row>
    <row r="5" spans="1:11" x14ac:dyDescent="0.25">
      <c r="A5" s="159" t="s">
        <v>451</v>
      </c>
      <c r="B5" s="352" t="s">
        <v>561</v>
      </c>
    </row>
    <row r="6" spans="1:11" x14ac:dyDescent="0.25">
      <c r="A6" s="159" t="s">
        <v>503</v>
      </c>
      <c r="B6" s="352" t="s">
        <v>545</v>
      </c>
    </row>
    <row r="7" spans="1:11" x14ac:dyDescent="0.25">
      <c r="A7" s="159" t="s">
        <v>499</v>
      </c>
      <c r="B7" s="179">
        <v>42003</v>
      </c>
    </row>
    <row r="8" spans="1:11" x14ac:dyDescent="0.25">
      <c r="A8" s="159" t="s">
        <v>500</v>
      </c>
      <c r="B8" s="241">
        <v>2018</v>
      </c>
    </row>
    <row r="10" spans="1:11" ht="21" x14ac:dyDescent="0.35">
      <c r="A10" s="178" t="s">
        <v>460</v>
      </c>
      <c r="C10" s="161"/>
      <c r="D10" s="161"/>
    </row>
    <row r="11" spans="1:11" x14ac:dyDescent="0.25">
      <c r="A11" s="159" t="s">
        <v>445</v>
      </c>
      <c r="B11" s="180">
        <v>0.5</v>
      </c>
      <c r="C11" s="169"/>
      <c r="D11" s="169"/>
    </row>
    <row r="12" spans="1:11" x14ac:dyDescent="0.25">
      <c r="A12" s="159" t="s">
        <v>508</v>
      </c>
      <c r="B12" s="180">
        <v>0.3</v>
      </c>
      <c r="C12" s="170"/>
      <c r="D12" s="170"/>
      <c r="F12" s="166"/>
    </row>
    <row r="14" spans="1:11" ht="21" x14ac:dyDescent="0.35">
      <c r="A14" s="178" t="s">
        <v>461</v>
      </c>
      <c r="H14" s="433"/>
      <c r="I14" s="433"/>
      <c r="J14" s="433"/>
      <c r="K14" s="433"/>
    </row>
    <row r="15" spans="1:11" x14ac:dyDescent="0.25">
      <c r="B15" s="171" t="s">
        <v>292</v>
      </c>
      <c r="C15" s="171" t="s">
        <v>293</v>
      </c>
      <c r="D15" s="171" t="s">
        <v>410</v>
      </c>
      <c r="E15" s="171" t="s">
        <v>539</v>
      </c>
      <c r="F15" s="171" t="s">
        <v>540</v>
      </c>
      <c r="H15" s="433"/>
      <c r="I15" s="433"/>
      <c r="J15" s="433"/>
      <c r="K15" s="433"/>
    </row>
    <row r="16" spans="1:11" x14ac:dyDescent="0.25">
      <c r="A16" s="159" t="s">
        <v>507</v>
      </c>
      <c r="B16" s="181">
        <v>0.2</v>
      </c>
      <c r="C16" s="181">
        <v>0.3</v>
      </c>
      <c r="D16" s="181">
        <v>0.4</v>
      </c>
      <c r="E16" s="181">
        <v>0.5</v>
      </c>
      <c r="F16" s="181">
        <v>0.6</v>
      </c>
      <c r="G16" s="370"/>
      <c r="H16" s="433"/>
      <c r="I16" s="433"/>
      <c r="J16" s="433"/>
      <c r="K16" s="433"/>
    </row>
    <row r="17" spans="1:12" x14ac:dyDescent="0.25">
      <c r="A17" s="159" t="s">
        <v>462</v>
      </c>
      <c r="B17" s="181">
        <v>1</v>
      </c>
      <c r="C17" s="181">
        <v>1.2</v>
      </c>
      <c r="D17" s="181">
        <v>1.5</v>
      </c>
      <c r="E17" s="272">
        <v>2</v>
      </c>
      <c r="F17" s="435">
        <v>3</v>
      </c>
      <c r="G17" s="370"/>
      <c r="H17" s="433"/>
      <c r="I17" s="433"/>
      <c r="J17" s="433"/>
      <c r="K17" s="433"/>
    </row>
    <row r="18" spans="1:12" x14ac:dyDescent="0.25">
      <c r="F18" s="161"/>
      <c r="I18" s="161"/>
      <c r="J18" s="161"/>
      <c r="K18" s="161"/>
      <c r="L18" s="161"/>
    </row>
    <row r="19" spans="1:12" x14ac:dyDescent="0.25">
      <c r="B19" s="171" t="s">
        <v>559</v>
      </c>
      <c r="D19" s="171" t="s">
        <v>522</v>
      </c>
      <c r="E19" s="171" t="s">
        <v>524</v>
      </c>
      <c r="F19" s="273"/>
      <c r="I19" s="161"/>
      <c r="J19" s="161"/>
      <c r="K19" s="161"/>
      <c r="L19" s="161"/>
    </row>
    <row r="20" spans="1:12" x14ac:dyDescent="0.25">
      <c r="A20" s="159" t="s">
        <v>523</v>
      </c>
      <c r="B20" s="181">
        <v>0</v>
      </c>
      <c r="D20" s="181">
        <v>0.5</v>
      </c>
      <c r="E20" s="181">
        <v>0</v>
      </c>
      <c r="I20" s="161"/>
      <c r="J20" s="161"/>
      <c r="K20" s="161"/>
      <c r="L20" s="161"/>
    </row>
    <row r="21" spans="1:12" x14ac:dyDescent="0.25">
      <c r="E21" s="159" t="s">
        <v>525</v>
      </c>
      <c r="F21" s="161"/>
      <c r="I21" s="161"/>
      <c r="J21" s="161"/>
      <c r="K21" s="161"/>
      <c r="L21" s="161"/>
    </row>
    <row r="22" spans="1:12" x14ac:dyDescent="0.25">
      <c r="F22" s="161"/>
      <c r="I22" s="161"/>
      <c r="J22" s="161"/>
      <c r="K22" s="161"/>
      <c r="L22" s="161"/>
    </row>
    <row r="23" spans="1:12" ht="21" x14ac:dyDescent="0.35">
      <c r="A23" s="178" t="s">
        <v>463</v>
      </c>
      <c r="B23" s="161"/>
      <c r="C23" s="161"/>
      <c r="D23" s="161"/>
      <c r="E23" s="172"/>
      <c r="F23" s="162"/>
      <c r="I23" s="161"/>
      <c r="J23" s="434"/>
      <c r="K23" s="434"/>
      <c r="L23" s="163"/>
    </row>
    <row r="24" spans="1:12" x14ac:dyDescent="0.25">
      <c r="A24" s="183" t="s">
        <v>504</v>
      </c>
      <c r="B24" s="187">
        <v>0</v>
      </c>
      <c r="C24" s="187">
        <v>1000</v>
      </c>
      <c r="D24" s="187">
        <v>3000</v>
      </c>
      <c r="E24" s="187">
        <v>5000</v>
      </c>
      <c r="F24" s="187">
        <v>9000</v>
      </c>
      <c r="G24" s="187">
        <v>12000</v>
      </c>
      <c r="H24" s="187">
        <v>15000</v>
      </c>
      <c r="I24" s="173"/>
      <c r="J24" s="434"/>
      <c r="K24" s="434"/>
      <c r="L24" s="161"/>
    </row>
    <row r="25" spans="1:12" ht="15" customHeight="1" x14ac:dyDescent="0.25">
      <c r="A25" s="183"/>
      <c r="B25" s="187">
        <v>1000</v>
      </c>
      <c r="C25" s="187">
        <v>3000</v>
      </c>
      <c r="D25" s="187">
        <v>5000</v>
      </c>
      <c r="E25" s="187">
        <v>9000</v>
      </c>
      <c r="F25" s="187">
        <v>12000</v>
      </c>
      <c r="G25" s="187">
        <v>15000</v>
      </c>
      <c r="H25" s="187"/>
      <c r="I25" s="173"/>
      <c r="J25" s="434"/>
      <c r="K25" s="434"/>
      <c r="L25" s="161"/>
    </row>
    <row r="26" spans="1:12" x14ac:dyDescent="0.25">
      <c r="A26" s="184" t="s">
        <v>464</v>
      </c>
      <c r="B26" s="248">
        <v>125</v>
      </c>
      <c r="C26" s="248">
        <v>350</v>
      </c>
      <c r="D26" s="248">
        <v>500</v>
      </c>
      <c r="E26" s="248">
        <v>600</v>
      </c>
      <c r="F26" s="248">
        <v>850</v>
      </c>
      <c r="G26" s="248">
        <v>1000</v>
      </c>
      <c r="H26" s="248">
        <v>1050</v>
      </c>
      <c r="I26" s="174"/>
      <c r="J26" s="434"/>
      <c r="K26" s="434"/>
      <c r="L26" s="161"/>
    </row>
    <row r="27" spans="1:12" x14ac:dyDescent="0.25">
      <c r="A27" s="161" t="s">
        <v>446</v>
      </c>
      <c r="B27" s="264">
        <v>99.4</v>
      </c>
      <c r="C27" s="182"/>
      <c r="D27" s="182"/>
      <c r="E27" s="182"/>
      <c r="F27" s="182"/>
      <c r="G27" s="182"/>
      <c r="H27" s="182"/>
      <c r="I27" s="161"/>
      <c r="J27" s="434"/>
      <c r="K27" s="434"/>
      <c r="L27" s="161"/>
    </row>
    <row r="28" spans="1:12" x14ac:dyDescent="0.25">
      <c r="A28" s="161" t="s">
        <v>447</v>
      </c>
      <c r="B28" s="265">
        <v>99.3</v>
      </c>
      <c r="C28" s="182"/>
      <c r="D28" s="182"/>
      <c r="E28" s="182"/>
      <c r="F28" s="182"/>
      <c r="G28" s="182"/>
      <c r="H28" s="182"/>
      <c r="I28" s="161"/>
      <c r="J28" s="161"/>
      <c r="K28" s="161"/>
      <c r="L28" s="161"/>
    </row>
    <row r="29" spans="1:12" x14ac:dyDescent="0.25">
      <c r="A29" s="161" t="s">
        <v>448</v>
      </c>
      <c r="B29" s="266">
        <f>+B26/$B$27*$B$28</f>
        <v>124.874245472837</v>
      </c>
      <c r="C29" s="176">
        <f t="shared" ref="C29:H29" si="0">+C26/$B$27*$B$28</f>
        <v>349.64788732394362</v>
      </c>
      <c r="D29" s="176">
        <f t="shared" si="0"/>
        <v>499.49698189134801</v>
      </c>
      <c r="E29" s="176">
        <f t="shared" si="0"/>
        <v>599.39637826961768</v>
      </c>
      <c r="F29" s="176">
        <f t="shared" si="0"/>
        <v>849.14486921529169</v>
      </c>
      <c r="G29" s="176">
        <f t="shared" si="0"/>
        <v>998.99396378269603</v>
      </c>
      <c r="H29" s="176">
        <f t="shared" si="0"/>
        <v>1048.9436619718308</v>
      </c>
      <c r="I29" s="161"/>
      <c r="J29" s="161"/>
      <c r="K29" s="161"/>
      <c r="L29" s="161"/>
    </row>
    <row r="31" spans="1:12" ht="21" x14ac:dyDescent="0.35">
      <c r="A31" s="178" t="s">
        <v>465</v>
      </c>
    </row>
    <row r="32" spans="1:12" x14ac:dyDescent="0.25">
      <c r="A32" s="159" t="s">
        <v>505</v>
      </c>
      <c r="B32" s="188">
        <v>0.27</v>
      </c>
    </row>
    <row r="34" spans="1:12" ht="21" x14ac:dyDescent="0.35">
      <c r="A34" s="178" t="s">
        <v>466</v>
      </c>
    </row>
    <row r="35" spans="1:12" x14ac:dyDescent="0.25">
      <c r="A35" s="159" t="s">
        <v>380</v>
      </c>
      <c r="C35" s="164"/>
    </row>
    <row r="36" spans="1:12" x14ac:dyDescent="0.25">
      <c r="A36" s="159" t="s">
        <v>421</v>
      </c>
      <c r="B36" s="240">
        <v>-9422976.7063593771</v>
      </c>
      <c r="C36" s="99">
        <f>Synthèse!L315-Synthèse!F315</f>
        <v>450000.00000607967</v>
      </c>
      <c r="D36" s="186">
        <f>+'J) Plafonnement effort'!J314+'K) Plafonnement aide'!J314+'L) Plafonnement taux'!Q315</f>
        <v>-9422976.706352409</v>
      </c>
      <c r="L36" s="166"/>
    </row>
    <row r="37" spans="1:12" x14ac:dyDescent="0.25">
      <c r="A37" s="159" t="s">
        <v>506</v>
      </c>
      <c r="B37" s="240">
        <v>-450000</v>
      </c>
      <c r="C37" s="165"/>
      <c r="D37" s="166"/>
      <c r="L37" s="166"/>
    </row>
    <row r="38" spans="1:12" x14ac:dyDescent="0.25">
      <c r="G38" s="166"/>
      <c r="H38" s="167"/>
      <c r="L38" s="166"/>
    </row>
    <row r="39" spans="1:12" ht="21" x14ac:dyDescent="0.35">
      <c r="A39" s="178" t="s">
        <v>467</v>
      </c>
      <c r="G39" s="166"/>
      <c r="H39" s="167"/>
      <c r="L39" s="166"/>
    </row>
    <row r="40" spans="1:12" x14ac:dyDescent="0.25">
      <c r="A40" s="177"/>
      <c r="B40" s="190" t="s">
        <v>381</v>
      </c>
      <c r="C40" s="190" t="s">
        <v>379</v>
      </c>
      <c r="E40" s="175" t="s">
        <v>544</v>
      </c>
      <c r="F40" s="175"/>
      <c r="G40" s="192">
        <f>+'D) Ecrêtage'!C314</f>
        <v>35867536.64913179</v>
      </c>
      <c r="H40" s="194"/>
      <c r="I40" s="193" t="s">
        <v>444</v>
      </c>
      <c r="J40" s="175"/>
      <c r="K40" s="99">
        <f>+'I) Dépenses thématiques'!I314</f>
        <v>213706265.73209229</v>
      </c>
    </row>
    <row r="41" spans="1:12" x14ac:dyDescent="0.25">
      <c r="A41" s="159" t="s">
        <v>468</v>
      </c>
      <c r="B41" s="189">
        <v>8</v>
      </c>
      <c r="C41" s="171">
        <f>+H42</f>
        <v>0.72953278949261524</v>
      </c>
      <c r="E41" s="175" t="s">
        <v>526</v>
      </c>
      <c r="F41" s="175"/>
      <c r="G41" s="323">
        <v>4.5</v>
      </c>
      <c r="H41" s="292">
        <v>0.75</v>
      </c>
      <c r="I41" s="193" t="s">
        <v>215</v>
      </c>
      <c r="J41" s="175"/>
      <c r="K41" s="99">
        <f>+'I) Dépenses thématiques'!M314</f>
        <v>7536586.1942046871</v>
      </c>
    </row>
    <row r="42" spans="1:12" x14ac:dyDescent="0.25">
      <c r="A42" s="159" t="s">
        <v>509</v>
      </c>
      <c r="B42" s="189">
        <v>1</v>
      </c>
      <c r="C42" s="171">
        <f>+H42</f>
        <v>0.72953278949261524</v>
      </c>
      <c r="E42" s="175" t="s">
        <v>469</v>
      </c>
      <c r="F42" s="175"/>
      <c r="G42" s="191">
        <f>+G40*G41</f>
        <v>161403914.92109305</v>
      </c>
      <c r="H42" s="263">
        <f>IF((G42/K42)&gt;H41,H41,(G42/K42))</f>
        <v>0.72953278949261524</v>
      </c>
      <c r="I42" s="175" t="s">
        <v>138</v>
      </c>
      <c r="J42" s="175"/>
      <c r="K42" s="99">
        <f>SUM(K40:K41)</f>
        <v>221242851.92629698</v>
      </c>
    </row>
    <row r="43" spans="1:12" x14ac:dyDescent="0.25">
      <c r="E43" s="159" t="s">
        <v>554</v>
      </c>
    </row>
    <row r="44" spans="1:12" ht="21" x14ac:dyDescent="0.35">
      <c r="A44" s="178" t="s">
        <v>471</v>
      </c>
      <c r="H44" s="293"/>
      <c r="K44" s="387"/>
    </row>
    <row r="46" spans="1:12" x14ac:dyDescent="0.25">
      <c r="A46" s="159" t="s">
        <v>532</v>
      </c>
      <c r="B46" s="321">
        <v>45</v>
      </c>
      <c r="H46" s="364"/>
    </row>
    <row r="47" spans="1:12" x14ac:dyDescent="0.25">
      <c r="A47" s="159" t="s">
        <v>510</v>
      </c>
      <c r="B47" s="421">
        <v>48</v>
      </c>
      <c r="C47" s="274" t="s">
        <v>528</v>
      </c>
      <c r="D47" s="324">
        <v>45</v>
      </c>
      <c r="E47" s="274" t="s">
        <v>531</v>
      </c>
      <c r="F47" s="324">
        <v>45</v>
      </c>
      <c r="G47" s="274" t="s">
        <v>559</v>
      </c>
      <c r="H47" s="324">
        <v>48</v>
      </c>
    </row>
    <row r="48" spans="1:12" x14ac:dyDescent="0.25">
      <c r="A48" s="159" t="s">
        <v>511</v>
      </c>
      <c r="B48" s="422">
        <v>-8</v>
      </c>
      <c r="C48" s="274" t="s">
        <v>528</v>
      </c>
      <c r="D48" s="324">
        <v>-6.5</v>
      </c>
      <c r="E48" s="274" t="s">
        <v>529</v>
      </c>
      <c r="F48" s="324">
        <v>8</v>
      </c>
      <c r="G48" s="274" t="s">
        <v>560</v>
      </c>
      <c r="H48" s="324">
        <v>8</v>
      </c>
    </row>
    <row r="49" spans="1:9" x14ac:dyDescent="0.25">
      <c r="A49" s="159" t="s">
        <v>533</v>
      </c>
      <c r="B49" s="391">
        <v>92.224816609080406</v>
      </c>
      <c r="C49" s="393"/>
      <c r="E49" s="320"/>
    </row>
    <row r="50" spans="1:9" x14ac:dyDescent="0.25">
      <c r="A50" s="159" t="s">
        <v>538</v>
      </c>
      <c r="B50" s="271">
        <f>+B49+B63</f>
        <v>92.43053466750689</v>
      </c>
    </row>
    <row r="51" spans="1:9" x14ac:dyDescent="0.25">
      <c r="A51" s="159" t="s">
        <v>520</v>
      </c>
      <c r="B51" s="270">
        <v>48</v>
      </c>
      <c r="I51" s="165"/>
    </row>
    <row r="52" spans="1:9" x14ac:dyDescent="0.25">
      <c r="A52" s="159" t="s">
        <v>521</v>
      </c>
      <c r="B52" s="270">
        <v>85</v>
      </c>
    </row>
    <row r="54" spans="1:9" x14ac:dyDescent="0.25">
      <c r="A54" s="168"/>
      <c r="B54" s="160"/>
    </row>
    <row r="55" spans="1:9" ht="21" x14ac:dyDescent="0.35">
      <c r="A55" s="200" t="s">
        <v>470</v>
      </c>
      <c r="B55" s="161"/>
      <c r="E55" s="392"/>
    </row>
    <row r="56" spans="1:9" ht="30" x14ac:dyDescent="0.25">
      <c r="B56" s="198" t="s">
        <v>553</v>
      </c>
      <c r="C56" s="161"/>
      <c r="D56" s="161"/>
      <c r="E56" s="161"/>
    </row>
    <row r="57" spans="1:9" x14ac:dyDescent="0.25">
      <c r="A57" s="161" t="s">
        <v>542</v>
      </c>
      <c r="B57" s="185">
        <v>817485000</v>
      </c>
      <c r="C57" s="161"/>
      <c r="D57" s="161"/>
      <c r="E57" s="161"/>
    </row>
    <row r="58" spans="1:9" x14ac:dyDescent="0.25">
      <c r="A58" s="161" t="s">
        <v>557</v>
      </c>
      <c r="B58" s="185">
        <v>824863600</v>
      </c>
      <c r="C58" s="173"/>
      <c r="D58" s="161"/>
      <c r="E58" s="161"/>
    </row>
    <row r="59" spans="1:9" x14ac:dyDescent="0.25">
      <c r="A59" s="161" t="s">
        <v>543</v>
      </c>
      <c r="B59" s="185">
        <f>'L) Plafonnement taux'!I315</f>
        <v>35922747.174706832</v>
      </c>
      <c r="C59" s="433"/>
      <c r="D59" s="433"/>
      <c r="E59" s="161"/>
    </row>
    <row r="60" spans="1:9" x14ac:dyDescent="0.25">
      <c r="A60" s="161" t="s">
        <v>558</v>
      </c>
      <c r="B60" s="185">
        <f>'D) Ecrêtage'!C314</f>
        <v>35867536.64913179</v>
      </c>
      <c r="C60" s="433"/>
      <c r="D60" s="433"/>
      <c r="E60" s="161"/>
    </row>
    <row r="61" spans="1:9" x14ac:dyDescent="0.25">
      <c r="A61" s="161" t="s">
        <v>437</v>
      </c>
      <c r="B61" s="196">
        <f>(B58-B57)*100/B57</f>
        <v>0.90259760117922649</v>
      </c>
      <c r="C61" s="161"/>
      <c r="D61" s="161"/>
      <c r="E61" s="161"/>
    </row>
    <row r="62" spans="1:9" x14ac:dyDescent="0.25">
      <c r="A62" s="161" t="s">
        <v>438</v>
      </c>
      <c r="B62" s="196">
        <f>(B60-B59)*100/B59</f>
        <v>-0.15369238133857269</v>
      </c>
      <c r="C62" s="173"/>
      <c r="D62" s="161"/>
      <c r="E62" s="161"/>
    </row>
    <row r="63" spans="1:9" x14ac:dyDescent="0.25">
      <c r="A63" s="161" t="s">
        <v>439</v>
      </c>
      <c r="B63" s="197">
        <f>(B58-B57)/B60</f>
        <v>0.20571805842647983</v>
      </c>
      <c r="C63" s="195"/>
      <c r="D63" s="161"/>
      <c r="E63" s="161"/>
    </row>
    <row r="64" spans="1:9" x14ac:dyDescent="0.25">
      <c r="A64" s="161"/>
      <c r="B64" s="161"/>
      <c r="C64" s="161"/>
      <c r="D64" s="161"/>
      <c r="E64" s="161"/>
    </row>
    <row r="65" spans="1:8" ht="21" x14ac:dyDescent="0.35">
      <c r="A65" s="200" t="s">
        <v>494</v>
      </c>
      <c r="B65" s="161"/>
      <c r="C65" s="161"/>
      <c r="D65" s="161"/>
      <c r="E65" s="161"/>
    </row>
    <row r="66" spans="1:8" x14ac:dyDescent="0.25">
      <c r="A66" s="161" t="s">
        <v>495</v>
      </c>
      <c r="B66" s="231">
        <v>2</v>
      </c>
      <c r="C66" s="161">
        <v>2013</v>
      </c>
      <c r="D66" s="247">
        <v>62118300</v>
      </c>
      <c r="E66" s="159">
        <v>2016</v>
      </c>
      <c r="F66" s="247">
        <f>D68*101.5%</f>
        <v>64955763.00176248</v>
      </c>
      <c r="G66" s="386" t="s">
        <v>541</v>
      </c>
      <c r="H66" s="204">
        <f>+F68*101.5/100</f>
        <v>67922836.702568099</v>
      </c>
    </row>
    <row r="67" spans="1:8" x14ac:dyDescent="0.25">
      <c r="A67" s="161" t="s">
        <v>498</v>
      </c>
      <c r="B67" s="240">
        <f>+H67</f>
        <v>68941679.253106624</v>
      </c>
      <c r="C67" s="161">
        <v>2014</v>
      </c>
      <c r="D67" s="247">
        <f>D66*101.5%</f>
        <v>63050074.499999993</v>
      </c>
      <c r="E67" s="161">
        <v>2017</v>
      </c>
      <c r="F67" s="204">
        <f>+F66*1.015</f>
        <v>65930099.446788907</v>
      </c>
      <c r="G67" s="386" t="s">
        <v>567</v>
      </c>
      <c r="H67" s="204">
        <f>+H66*101.5/100</f>
        <v>68941679.253106624</v>
      </c>
    </row>
    <row r="68" spans="1:8" x14ac:dyDescent="0.25">
      <c r="A68" s="161"/>
      <c r="B68" s="161"/>
      <c r="C68" s="161">
        <v>2015</v>
      </c>
      <c r="D68" s="247">
        <f>D67*101.5%</f>
        <v>63995825.617499985</v>
      </c>
      <c r="E68" s="161">
        <v>2018</v>
      </c>
      <c r="F68" s="204">
        <f>+F67*101.5/100</f>
        <v>66919050.938490741</v>
      </c>
    </row>
    <row r="69" spans="1:8" ht="21" x14ac:dyDescent="0.35">
      <c r="A69" s="200" t="s">
        <v>475</v>
      </c>
    </row>
    <row r="70" spans="1:8" x14ac:dyDescent="0.25">
      <c r="A70" s="159" t="s">
        <v>405</v>
      </c>
      <c r="B70" s="159">
        <v>5621</v>
      </c>
    </row>
    <row r="71" spans="1:8" x14ac:dyDescent="0.25">
      <c r="A71" s="159" t="s">
        <v>327</v>
      </c>
      <c r="B71" s="159">
        <v>5742</v>
      </c>
    </row>
    <row r="72" spans="1:8" x14ac:dyDescent="0.25">
      <c r="A72" s="159" t="s">
        <v>261</v>
      </c>
      <c r="B72" s="159">
        <v>5401</v>
      </c>
    </row>
    <row r="73" spans="1:8" x14ac:dyDescent="0.25">
      <c r="A73" s="159" t="s">
        <v>16</v>
      </c>
      <c r="B73" s="159">
        <v>5851</v>
      </c>
    </row>
    <row r="74" spans="1:8" x14ac:dyDescent="0.25">
      <c r="A74" s="159" t="s">
        <v>73</v>
      </c>
      <c r="B74" s="159">
        <v>5421</v>
      </c>
    </row>
    <row r="75" spans="1:8" x14ac:dyDescent="0.25">
      <c r="A75" s="159" t="s">
        <v>110</v>
      </c>
      <c r="B75" s="159">
        <v>5701</v>
      </c>
    </row>
    <row r="76" spans="1:8" x14ac:dyDescent="0.25">
      <c r="A76" s="159" t="s">
        <v>265</v>
      </c>
      <c r="B76" s="159">
        <v>5743</v>
      </c>
    </row>
    <row r="77" spans="1:8" x14ac:dyDescent="0.25">
      <c r="A77" s="159" t="s">
        <v>442</v>
      </c>
      <c r="B77" s="159">
        <v>5702</v>
      </c>
    </row>
    <row r="78" spans="1:8" x14ac:dyDescent="0.25">
      <c r="A78" s="159" t="s">
        <v>176</v>
      </c>
      <c r="B78" s="159">
        <v>5511</v>
      </c>
    </row>
    <row r="79" spans="1:8" x14ac:dyDescent="0.25">
      <c r="A79" s="159" t="s">
        <v>74</v>
      </c>
      <c r="B79" s="159">
        <v>5422</v>
      </c>
    </row>
    <row r="80" spans="1:8" x14ac:dyDescent="0.25">
      <c r="A80" s="159" t="s">
        <v>347</v>
      </c>
      <c r="B80" s="159">
        <v>5451</v>
      </c>
    </row>
    <row r="81" spans="1:2" x14ac:dyDescent="0.25">
      <c r="A81" s="159" t="s">
        <v>266</v>
      </c>
      <c r="B81" s="159">
        <v>5744</v>
      </c>
    </row>
    <row r="82" spans="1:2" x14ac:dyDescent="0.25">
      <c r="A82" s="159" t="s">
        <v>75</v>
      </c>
      <c r="B82" s="159">
        <v>5423</v>
      </c>
    </row>
    <row r="83" spans="1:2" x14ac:dyDescent="0.25">
      <c r="A83" s="159" t="s">
        <v>111</v>
      </c>
      <c r="B83" s="159">
        <v>5703</v>
      </c>
    </row>
    <row r="84" spans="1:2" x14ac:dyDescent="0.25">
      <c r="A84" s="159" t="s">
        <v>267</v>
      </c>
      <c r="B84" s="159">
        <v>5745</v>
      </c>
    </row>
    <row r="85" spans="1:2" x14ac:dyDescent="0.25">
      <c r="A85" s="159" t="s">
        <v>268</v>
      </c>
      <c r="B85" s="159">
        <v>5746</v>
      </c>
    </row>
    <row r="86" spans="1:2" x14ac:dyDescent="0.25">
      <c r="A86" s="159" t="s">
        <v>221</v>
      </c>
      <c r="B86" s="159">
        <v>5704</v>
      </c>
    </row>
    <row r="87" spans="1:2" x14ac:dyDescent="0.25">
      <c r="A87" s="159" t="s">
        <v>389</v>
      </c>
      <c r="B87" s="159">
        <v>5581</v>
      </c>
    </row>
    <row r="88" spans="1:2" x14ac:dyDescent="0.25">
      <c r="A88" s="159" t="s">
        <v>55</v>
      </c>
      <c r="B88" s="159">
        <v>5902</v>
      </c>
    </row>
    <row r="89" spans="1:2" x14ac:dyDescent="0.25">
      <c r="A89" s="159" t="s">
        <v>177</v>
      </c>
      <c r="B89" s="159">
        <v>5512</v>
      </c>
    </row>
    <row r="90" spans="1:2" x14ac:dyDescent="0.25">
      <c r="A90" s="159" t="s">
        <v>76</v>
      </c>
      <c r="B90" s="159">
        <v>5424</v>
      </c>
    </row>
    <row r="91" spans="1:2" x14ac:dyDescent="0.25">
      <c r="A91" s="159" t="s">
        <v>350</v>
      </c>
      <c r="B91" s="159">
        <v>5471</v>
      </c>
    </row>
    <row r="92" spans="1:2" x14ac:dyDescent="0.25">
      <c r="A92" s="159" t="s">
        <v>262</v>
      </c>
      <c r="B92" s="159">
        <v>5402</v>
      </c>
    </row>
    <row r="93" spans="1:2" x14ac:dyDescent="0.25">
      <c r="A93" s="159" t="s">
        <v>77</v>
      </c>
      <c r="B93" s="159">
        <v>5425</v>
      </c>
    </row>
    <row r="94" spans="1:2" x14ac:dyDescent="0.25">
      <c r="A94" s="159" t="s">
        <v>56</v>
      </c>
      <c r="B94" s="159">
        <v>5903</v>
      </c>
    </row>
    <row r="95" spans="1:2" x14ac:dyDescent="0.25">
      <c r="A95" s="159" t="s">
        <v>178</v>
      </c>
      <c r="B95" s="159">
        <v>5513</v>
      </c>
    </row>
    <row r="96" spans="1:2" x14ac:dyDescent="0.25">
      <c r="A96" s="159" t="s">
        <v>206</v>
      </c>
      <c r="B96" s="159">
        <v>5881</v>
      </c>
    </row>
    <row r="97" spans="1:2" x14ac:dyDescent="0.25">
      <c r="A97" s="159" t="s">
        <v>269</v>
      </c>
      <c r="B97" s="159">
        <v>5747</v>
      </c>
    </row>
    <row r="98" spans="1:2" x14ac:dyDescent="0.25">
      <c r="A98" s="159" t="s">
        <v>222</v>
      </c>
      <c r="B98" s="159">
        <v>5705</v>
      </c>
    </row>
    <row r="99" spans="1:2" x14ac:dyDescent="0.25">
      <c r="A99" s="159" t="s">
        <v>33</v>
      </c>
      <c r="B99" s="159">
        <v>5551</v>
      </c>
    </row>
    <row r="100" spans="1:2" x14ac:dyDescent="0.25">
      <c r="A100" s="159" t="s">
        <v>223</v>
      </c>
      <c r="B100" s="159">
        <v>5706</v>
      </c>
    </row>
    <row r="101" spans="1:2" x14ac:dyDescent="0.25">
      <c r="A101" s="159" t="s">
        <v>179</v>
      </c>
      <c r="B101" s="159">
        <v>5514</v>
      </c>
    </row>
    <row r="102" spans="1:2" x14ac:dyDescent="0.25">
      <c r="A102" s="159" t="s">
        <v>71</v>
      </c>
      <c r="B102" s="159">
        <v>5426</v>
      </c>
    </row>
    <row r="103" spans="1:2" x14ac:dyDescent="0.25">
      <c r="A103" s="159" t="s">
        <v>202</v>
      </c>
      <c r="B103" s="159">
        <v>5661</v>
      </c>
    </row>
    <row r="104" spans="1:2" x14ac:dyDescent="0.25">
      <c r="A104" s="159" t="s">
        <v>428</v>
      </c>
      <c r="B104" s="159">
        <v>5613</v>
      </c>
    </row>
    <row r="105" spans="1:2" x14ac:dyDescent="0.25">
      <c r="A105" s="159" t="s">
        <v>351</v>
      </c>
      <c r="B105" s="159">
        <v>5472</v>
      </c>
    </row>
    <row r="106" spans="1:2" x14ac:dyDescent="0.25">
      <c r="A106" s="159" t="s">
        <v>209</v>
      </c>
      <c r="B106" s="159">
        <v>5473</v>
      </c>
    </row>
    <row r="107" spans="1:2" x14ac:dyDescent="0.25">
      <c r="A107" s="159" t="s">
        <v>147</v>
      </c>
      <c r="B107" s="159">
        <v>5622</v>
      </c>
    </row>
    <row r="108" spans="1:2" x14ac:dyDescent="0.25">
      <c r="A108" s="159" t="s">
        <v>180</v>
      </c>
      <c r="B108" s="159">
        <v>5515</v>
      </c>
    </row>
    <row r="109" spans="1:2" x14ac:dyDescent="0.25">
      <c r="A109" s="159" t="s">
        <v>270</v>
      </c>
      <c r="B109" s="159">
        <v>5748</v>
      </c>
    </row>
    <row r="110" spans="1:2" x14ac:dyDescent="0.25">
      <c r="A110" s="159" t="s">
        <v>148</v>
      </c>
      <c r="B110" s="159">
        <v>5623</v>
      </c>
    </row>
    <row r="111" spans="1:2" x14ac:dyDescent="0.25">
      <c r="A111" s="159" t="s">
        <v>34</v>
      </c>
      <c r="B111" s="159">
        <v>5552</v>
      </c>
    </row>
    <row r="112" spans="1:2" x14ac:dyDescent="0.25">
      <c r="A112" s="159" t="s">
        <v>17</v>
      </c>
      <c r="B112" s="159">
        <v>5852</v>
      </c>
    </row>
    <row r="113" spans="1:2" x14ac:dyDescent="0.25">
      <c r="A113" s="159" t="s">
        <v>18</v>
      </c>
      <c r="B113" s="159">
        <v>5853</v>
      </c>
    </row>
    <row r="114" spans="1:2" x14ac:dyDescent="0.25">
      <c r="A114" s="159" t="s">
        <v>19</v>
      </c>
      <c r="B114" s="159">
        <v>5854</v>
      </c>
    </row>
    <row r="115" spans="1:2" x14ac:dyDescent="0.25">
      <c r="A115" s="159" t="s">
        <v>441</v>
      </c>
      <c r="B115" s="159">
        <v>5624</v>
      </c>
    </row>
    <row r="116" spans="1:2" x14ac:dyDescent="0.25">
      <c r="A116" s="159" t="s">
        <v>301</v>
      </c>
      <c r="B116" s="159">
        <v>5625</v>
      </c>
    </row>
    <row r="117" spans="1:2" x14ac:dyDescent="0.25">
      <c r="A117" s="159" t="s">
        <v>203</v>
      </c>
      <c r="B117" s="159">
        <v>5663</v>
      </c>
    </row>
    <row r="118" spans="1:2" x14ac:dyDescent="0.25">
      <c r="A118" s="159" t="s">
        <v>57</v>
      </c>
      <c r="B118" s="159">
        <v>5904</v>
      </c>
    </row>
    <row r="119" spans="1:2" x14ac:dyDescent="0.25">
      <c r="A119" s="159" t="s">
        <v>35</v>
      </c>
      <c r="B119" s="159">
        <v>5553</v>
      </c>
    </row>
    <row r="120" spans="1:2" x14ac:dyDescent="0.25">
      <c r="A120" s="159" t="s">
        <v>387</v>
      </c>
      <c r="B120" s="159">
        <v>5812</v>
      </c>
    </row>
    <row r="121" spans="1:2" x14ac:dyDescent="0.25">
      <c r="A121" s="159" t="s">
        <v>58</v>
      </c>
      <c r="B121" s="159">
        <v>5905</v>
      </c>
    </row>
    <row r="122" spans="1:2" x14ac:dyDescent="0.25">
      <c r="A122" s="159" t="s">
        <v>207</v>
      </c>
      <c r="B122" s="159">
        <v>5882</v>
      </c>
    </row>
    <row r="123" spans="1:2" x14ac:dyDescent="0.25">
      <c r="A123" s="159" t="s">
        <v>13</v>
      </c>
      <c r="B123" s="159">
        <v>5841</v>
      </c>
    </row>
    <row r="124" spans="1:2" x14ac:dyDescent="0.25">
      <c r="A124" s="159" t="s">
        <v>224</v>
      </c>
      <c r="B124" s="159">
        <v>5707</v>
      </c>
    </row>
    <row r="125" spans="1:2" x14ac:dyDescent="0.25">
      <c r="A125" s="159" t="s">
        <v>225</v>
      </c>
      <c r="B125" s="159">
        <v>5708</v>
      </c>
    </row>
    <row r="126" spans="1:2" x14ac:dyDescent="0.25">
      <c r="A126" s="159" t="s">
        <v>59</v>
      </c>
      <c r="B126" s="159">
        <v>5907</v>
      </c>
    </row>
    <row r="127" spans="1:2" x14ac:dyDescent="0.25">
      <c r="A127" s="159" t="s">
        <v>373</v>
      </c>
      <c r="B127" s="159">
        <v>5475</v>
      </c>
    </row>
    <row r="128" spans="1:2" x14ac:dyDescent="0.25">
      <c r="A128" s="159" t="s">
        <v>255</v>
      </c>
      <c r="B128" s="159">
        <v>5627</v>
      </c>
    </row>
    <row r="129" spans="1:2" x14ac:dyDescent="0.25">
      <c r="A129" s="159" t="s">
        <v>97</v>
      </c>
      <c r="B129" s="159">
        <v>5665</v>
      </c>
    </row>
    <row r="130" spans="1:2" x14ac:dyDescent="0.25">
      <c r="A130" s="159" t="s">
        <v>271</v>
      </c>
      <c r="B130" s="159">
        <v>5749</v>
      </c>
    </row>
    <row r="131" spans="1:2" x14ac:dyDescent="0.25">
      <c r="A131" s="159" t="s">
        <v>60</v>
      </c>
      <c r="B131" s="159">
        <v>5908</v>
      </c>
    </row>
    <row r="132" spans="1:2" x14ac:dyDescent="0.25">
      <c r="A132" s="159" t="s">
        <v>61</v>
      </c>
      <c r="B132" s="159">
        <v>5909</v>
      </c>
    </row>
    <row r="133" spans="1:2" x14ac:dyDescent="0.25">
      <c r="A133" s="159" t="s">
        <v>390</v>
      </c>
      <c r="B133" s="159">
        <v>5582</v>
      </c>
    </row>
    <row r="134" spans="1:2" x14ac:dyDescent="0.25">
      <c r="A134" s="159" t="s">
        <v>226</v>
      </c>
      <c r="B134" s="159">
        <v>5709</v>
      </c>
    </row>
    <row r="135" spans="1:2" x14ac:dyDescent="0.25">
      <c r="A135" s="159" t="s">
        <v>112</v>
      </c>
      <c r="B135" s="159">
        <v>5403</v>
      </c>
    </row>
    <row r="136" spans="1:2" x14ac:dyDescent="0.25">
      <c r="A136" s="159" t="s">
        <v>374</v>
      </c>
      <c r="B136" s="159">
        <v>5476</v>
      </c>
    </row>
    <row r="137" spans="1:2" x14ac:dyDescent="0.25">
      <c r="A137" s="159" t="s">
        <v>388</v>
      </c>
      <c r="B137" s="159">
        <v>5813</v>
      </c>
    </row>
    <row r="138" spans="1:2" x14ac:dyDescent="0.25">
      <c r="A138" s="159" t="s">
        <v>298</v>
      </c>
      <c r="B138" s="159">
        <v>5601</v>
      </c>
    </row>
    <row r="139" spans="1:2" x14ac:dyDescent="0.25">
      <c r="A139" s="159" t="s">
        <v>256</v>
      </c>
      <c r="B139" s="159">
        <v>5628</v>
      </c>
    </row>
    <row r="140" spans="1:2" x14ac:dyDescent="0.25">
      <c r="A140" s="159" t="s">
        <v>151</v>
      </c>
      <c r="B140" s="159">
        <v>5629</v>
      </c>
    </row>
    <row r="141" spans="1:2" x14ac:dyDescent="0.25">
      <c r="A141" s="159" t="s">
        <v>227</v>
      </c>
      <c r="B141" s="159">
        <v>5710</v>
      </c>
    </row>
    <row r="142" spans="1:2" x14ac:dyDescent="0.25">
      <c r="A142" s="159" t="s">
        <v>228</v>
      </c>
      <c r="B142" s="159">
        <v>5711</v>
      </c>
    </row>
    <row r="143" spans="1:2" x14ac:dyDescent="0.25">
      <c r="A143" s="159" t="s">
        <v>36</v>
      </c>
      <c r="B143" s="159">
        <v>5554</v>
      </c>
    </row>
    <row r="144" spans="1:2" x14ac:dyDescent="0.25">
      <c r="A144" s="159" t="s">
        <v>229</v>
      </c>
      <c r="B144" s="159">
        <v>5712</v>
      </c>
    </row>
    <row r="145" spans="1:2" x14ac:dyDescent="0.25">
      <c r="A145" s="159" t="s">
        <v>113</v>
      </c>
      <c r="B145" s="159">
        <v>5404</v>
      </c>
    </row>
    <row r="146" spans="1:2" x14ac:dyDescent="0.25">
      <c r="A146" s="159" t="s">
        <v>279</v>
      </c>
      <c r="B146" s="159">
        <v>5785</v>
      </c>
    </row>
    <row r="147" spans="1:2" x14ac:dyDescent="0.25">
      <c r="A147" s="159" t="s">
        <v>37</v>
      </c>
      <c r="B147" s="159">
        <v>5555</v>
      </c>
    </row>
    <row r="148" spans="1:2" x14ac:dyDescent="0.25">
      <c r="A148" s="159" t="s">
        <v>6</v>
      </c>
      <c r="B148" s="159">
        <v>5816</v>
      </c>
    </row>
    <row r="149" spans="1:2" x14ac:dyDescent="0.25">
      <c r="A149" s="159" t="s">
        <v>208</v>
      </c>
      <c r="B149" s="159">
        <v>5883</v>
      </c>
    </row>
    <row r="150" spans="1:2" x14ac:dyDescent="0.25">
      <c r="A150" s="159" t="s">
        <v>49</v>
      </c>
      <c r="B150" s="159">
        <v>5884</v>
      </c>
    </row>
    <row r="151" spans="1:2" x14ac:dyDescent="0.25">
      <c r="A151" s="159" t="s">
        <v>375</v>
      </c>
      <c r="B151" s="159">
        <v>5477</v>
      </c>
    </row>
    <row r="152" spans="1:2" x14ac:dyDescent="0.25">
      <c r="A152" s="159" t="s">
        <v>241</v>
      </c>
      <c r="B152" s="159">
        <v>5478</v>
      </c>
    </row>
    <row r="153" spans="1:2" x14ac:dyDescent="0.25">
      <c r="A153" s="159" t="s">
        <v>230</v>
      </c>
      <c r="B153" s="159">
        <v>5713</v>
      </c>
    </row>
    <row r="154" spans="1:2" x14ac:dyDescent="0.25">
      <c r="A154" s="159" t="s">
        <v>231</v>
      </c>
      <c r="B154" s="159">
        <v>5714</v>
      </c>
    </row>
    <row r="155" spans="1:2" x14ac:dyDescent="0.25">
      <c r="A155" s="159" t="s">
        <v>391</v>
      </c>
      <c r="B155" s="159">
        <v>5583</v>
      </c>
    </row>
    <row r="156" spans="1:2" x14ac:dyDescent="0.25">
      <c r="A156" s="159" t="s">
        <v>62</v>
      </c>
      <c r="B156" s="159">
        <v>5910</v>
      </c>
    </row>
    <row r="157" spans="1:2" x14ac:dyDescent="0.25">
      <c r="A157" s="159" t="s">
        <v>332</v>
      </c>
      <c r="B157" s="159">
        <v>5752</v>
      </c>
    </row>
    <row r="158" spans="1:2" x14ac:dyDescent="0.25">
      <c r="A158" s="159" t="s">
        <v>242</v>
      </c>
      <c r="B158" s="159">
        <v>5479</v>
      </c>
    </row>
    <row r="159" spans="1:2" x14ac:dyDescent="0.25">
      <c r="A159" s="159" t="s">
        <v>63</v>
      </c>
      <c r="B159" s="159">
        <v>5911</v>
      </c>
    </row>
    <row r="160" spans="1:2" x14ac:dyDescent="0.25">
      <c r="A160" s="159" t="s">
        <v>348</v>
      </c>
      <c r="B160" s="159">
        <v>5456</v>
      </c>
    </row>
    <row r="161" spans="1:2" x14ac:dyDescent="0.25">
      <c r="A161" s="159" t="s">
        <v>181</v>
      </c>
      <c r="B161" s="159">
        <v>5516</v>
      </c>
    </row>
    <row r="162" spans="1:2" x14ac:dyDescent="0.25">
      <c r="A162" s="159" t="s">
        <v>98</v>
      </c>
      <c r="B162" s="159">
        <v>5669</v>
      </c>
    </row>
    <row r="163" spans="1:2" x14ac:dyDescent="0.25">
      <c r="A163" s="159" t="s">
        <v>243</v>
      </c>
      <c r="B163" s="159">
        <v>5480</v>
      </c>
    </row>
    <row r="164" spans="1:2" x14ac:dyDescent="0.25">
      <c r="A164" s="159" t="s">
        <v>64</v>
      </c>
      <c r="B164" s="159">
        <v>5912</v>
      </c>
    </row>
    <row r="165" spans="1:2" x14ac:dyDescent="0.25">
      <c r="A165" s="159" t="s">
        <v>152</v>
      </c>
      <c r="B165" s="159">
        <v>5631</v>
      </c>
    </row>
    <row r="166" spans="1:2" x14ac:dyDescent="0.25">
      <c r="A166" s="159" t="s">
        <v>153</v>
      </c>
      <c r="B166" s="159">
        <v>5632</v>
      </c>
    </row>
    <row r="167" spans="1:2" x14ac:dyDescent="0.25">
      <c r="A167" s="159" t="s">
        <v>244</v>
      </c>
      <c r="B167" s="159">
        <v>5481</v>
      </c>
    </row>
    <row r="168" spans="1:2" x14ac:dyDescent="0.25">
      <c r="A168" s="159" t="s">
        <v>99</v>
      </c>
      <c r="B168" s="159">
        <v>5671</v>
      </c>
    </row>
    <row r="169" spans="1:2" x14ac:dyDescent="0.25">
      <c r="A169" s="159" t="s">
        <v>65</v>
      </c>
      <c r="B169" s="159">
        <v>5913</v>
      </c>
    </row>
    <row r="170" spans="1:2" x14ac:dyDescent="0.25">
      <c r="A170" s="159" t="s">
        <v>232</v>
      </c>
      <c r="B170" s="159">
        <v>5715</v>
      </c>
    </row>
    <row r="171" spans="1:2" x14ac:dyDescent="0.25">
      <c r="A171" s="159" t="s">
        <v>20</v>
      </c>
      <c r="B171" s="159">
        <v>5855</v>
      </c>
    </row>
    <row r="172" spans="1:2" x14ac:dyDescent="0.25">
      <c r="A172" s="159" t="s">
        <v>182</v>
      </c>
      <c r="B172" s="159">
        <v>5518</v>
      </c>
    </row>
    <row r="173" spans="1:2" x14ac:dyDescent="0.25">
      <c r="A173" s="159" t="s">
        <v>154</v>
      </c>
      <c r="B173" s="159">
        <v>5633</v>
      </c>
    </row>
    <row r="174" spans="1:2" x14ac:dyDescent="0.25">
      <c r="A174" s="159" t="s">
        <v>155</v>
      </c>
      <c r="B174" s="159">
        <v>5634</v>
      </c>
    </row>
    <row r="175" spans="1:2" x14ac:dyDescent="0.25">
      <c r="A175" s="159" t="s">
        <v>245</v>
      </c>
      <c r="B175" s="159">
        <v>5482</v>
      </c>
    </row>
    <row r="176" spans="1:2" x14ac:dyDescent="0.25">
      <c r="A176" s="159" t="s">
        <v>156</v>
      </c>
      <c r="B176" s="159">
        <v>5635</v>
      </c>
    </row>
    <row r="177" spans="1:2" x14ac:dyDescent="0.25">
      <c r="A177" s="159" t="s">
        <v>392</v>
      </c>
      <c r="B177" s="159">
        <v>5584</v>
      </c>
    </row>
    <row r="178" spans="1:2" x14ac:dyDescent="0.25">
      <c r="A178" s="159" t="s">
        <v>66</v>
      </c>
      <c r="B178" s="159">
        <v>5914</v>
      </c>
    </row>
    <row r="179" spans="1:2" x14ac:dyDescent="0.25">
      <c r="A179" s="159" t="s">
        <v>280</v>
      </c>
      <c r="B179" s="159">
        <v>5788</v>
      </c>
    </row>
    <row r="180" spans="1:2" x14ac:dyDescent="0.25">
      <c r="A180" s="159" t="s">
        <v>21</v>
      </c>
      <c r="B180" s="159">
        <v>5856</v>
      </c>
    </row>
    <row r="181" spans="1:2" x14ac:dyDescent="0.25">
      <c r="A181" s="159" t="s">
        <v>183</v>
      </c>
      <c r="B181" s="159">
        <v>5520</v>
      </c>
    </row>
    <row r="182" spans="1:2" x14ac:dyDescent="0.25">
      <c r="A182" s="159" t="s">
        <v>184</v>
      </c>
      <c r="B182" s="159">
        <v>5521</v>
      </c>
    </row>
    <row r="183" spans="1:2" x14ac:dyDescent="0.25">
      <c r="A183" s="159" t="s">
        <v>157</v>
      </c>
      <c r="B183" s="159">
        <v>5636</v>
      </c>
    </row>
    <row r="184" spans="1:2" x14ac:dyDescent="0.25">
      <c r="A184" s="159" t="s">
        <v>233</v>
      </c>
      <c r="B184" s="159">
        <v>5716</v>
      </c>
    </row>
    <row r="185" spans="1:2" x14ac:dyDescent="0.25">
      <c r="A185" s="159" t="s">
        <v>349</v>
      </c>
      <c r="B185" s="159">
        <v>5458</v>
      </c>
    </row>
    <row r="186" spans="1:2" x14ac:dyDescent="0.25">
      <c r="A186" s="159" t="s">
        <v>342</v>
      </c>
      <c r="B186" s="159">
        <v>5427</v>
      </c>
    </row>
    <row r="187" spans="1:2" x14ac:dyDescent="0.25">
      <c r="A187" s="159" t="s">
        <v>140</v>
      </c>
      <c r="B187" s="159">
        <v>5483</v>
      </c>
    </row>
    <row r="188" spans="1:2" x14ac:dyDescent="0.25">
      <c r="A188" s="159" t="s">
        <v>185</v>
      </c>
      <c r="B188" s="159">
        <v>5522</v>
      </c>
    </row>
    <row r="189" spans="1:2" x14ac:dyDescent="0.25">
      <c r="A189" s="159" t="s">
        <v>38</v>
      </c>
      <c r="B189" s="159">
        <v>5556</v>
      </c>
    </row>
    <row r="190" spans="1:2" x14ac:dyDescent="0.25">
      <c r="A190" s="159" t="s">
        <v>39</v>
      </c>
      <c r="B190" s="159">
        <v>5557</v>
      </c>
    </row>
    <row r="191" spans="1:2" x14ac:dyDescent="0.25">
      <c r="A191" s="159" t="s">
        <v>143</v>
      </c>
      <c r="B191" s="159">
        <v>5604</v>
      </c>
    </row>
    <row r="192" spans="1:2" x14ac:dyDescent="0.25">
      <c r="A192" s="159" t="s">
        <v>234</v>
      </c>
      <c r="B192" s="159">
        <v>5717</v>
      </c>
    </row>
    <row r="193" spans="1:2" x14ac:dyDescent="0.25">
      <c r="A193" s="159" t="s">
        <v>186</v>
      </c>
      <c r="B193" s="159">
        <v>5523</v>
      </c>
    </row>
    <row r="194" spans="1:2" x14ac:dyDescent="0.25">
      <c r="A194" s="159" t="s">
        <v>235</v>
      </c>
      <c r="B194" s="159">
        <v>5718</v>
      </c>
    </row>
    <row r="195" spans="1:2" x14ac:dyDescent="0.25">
      <c r="A195" s="159" t="s">
        <v>40</v>
      </c>
      <c r="B195" s="159">
        <v>5559</v>
      </c>
    </row>
    <row r="196" spans="1:2" x14ac:dyDescent="0.25">
      <c r="A196" s="159" t="s">
        <v>22</v>
      </c>
      <c r="B196" s="159">
        <v>5857</v>
      </c>
    </row>
    <row r="197" spans="1:2" x14ac:dyDescent="0.25">
      <c r="A197" s="159" t="s">
        <v>343</v>
      </c>
      <c r="B197" s="159">
        <v>5428</v>
      </c>
    </row>
    <row r="198" spans="1:2" x14ac:dyDescent="0.25">
      <c r="A198" s="159" t="s">
        <v>236</v>
      </c>
      <c r="B198" s="159">
        <v>5719</v>
      </c>
    </row>
    <row r="199" spans="1:2" x14ac:dyDescent="0.25">
      <c r="A199" s="159" t="s">
        <v>237</v>
      </c>
      <c r="B199" s="159">
        <v>5720</v>
      </c>
    </row>
    <row r="200" spans="1:2" x14ac:dyDescent="0.25">
      <c r="A200" s="159" t="s">
        <v>238</v>
      </c>
      <c r="B200" s="159">
        <v>5721</v>
      </c>
    </row>
    <row r="201" spans="1:2" x14ac:dyDescent="0.25">
      <c r="A201" s="159" t="s">
        <v>141</v>
      </c>
      <c r="B201" s="159">
        <v>5484</v>
      </c>
    </row>
    <row r="202" spans="1:2" x14ac:dyDescent="0.25">
      <c r="A202" s="159" t="s">
        <v>431</v>
      </c>
      <c r="B202" s="159">
        <v>5541</v>
      </c>
    </row>
    <row r="203" spans="1:2" x14ac:dyDescent="0.25">
      <c r="A203" s="159" t="s">
        <v>142</v>
      </c>
      <c r="B203" s="159">
        <v>5485</v>
      </c>
    </row>
    <row r="204" spans="1:2" x14ac:dyDescent="0.25">
      <c r="A204" s="159" t="s">
        <v>7</v>
      </c>
      <c r="B204" s="159">
        <v>5817</v>
      </c>
    </row>
    <row r="205" spans="1:2" x14ac:dyDescent="0.25">
      <c r="A205" s="159" t="s">
        <v>41</v>
      </c>
      <c r="B205" s="159">
        <v>5560</v>
      </c>
    </row>
    <row r="206" spans="1:2" x14ac:dyDescent="0.25">
      <c r="A206" s="159" t="s">
        <v>42</v>
      </c>
      <c r="B206" s="159">
        <v>5561</v>
      </c>
    </row>
    <row r="207" spans="1:2" x14ac:dyDescent="0.25">
      <c r="A207" s="159" t="s">
        <v>239</v>
      </c>
      <c r="B207" s="159">
        <v>5722</v>
      </c>
    </row>
    <row r="208" spans="1:2" x14ac:dyDescent="0.25">
      <c r="A208" s="159" t="s">
        <v>114</v>
      </c>
      <c r="B208" s="159">
        <v>5405</v>
      </c>
    </row>
    <row r="209" spans="1:2" x14ac:dyDescent="0.25">
      <c r="A209" s="159" t="s">
        <v>8</v>
      </c>
      <c r="B209" s="159">
        <v>5819</v>
      </c>
    </row>
    <row r="210" spans="1:2" x14ac:dyDescent="0.25">
      <c r="A210" s="159" t="s">
        <v>100</v>
      </c>
      <c r="B210" s="159">
        <v>5673</v>
      </c>
    </row>
    <row r="211" spans="1:2" x14ac:dyDescent="0.25">
      <c r="A211" s="159" t="s">
        <v>50</v>
      </c>
      <c r="B211" s="159">
        <v>5885</v>
      </c>
    </row>
    <row r="212" spans="1:2" x14ac:dyDescent="0.25">
      <c r="A212" s="159" t="s">
        <v>433</v>
      </c>
      <c r="B212" s="159">
        <v>5804</v>
      </c>
    </row>
    <row r="213" spans="1:2" x14ac:dyDescent="0.25">
      <c r="A213" s="159" t="s">
        <v>527</v>
      </c>
      <c r="B213" s="159">
        <v>5806</v>
      </c>
    </row>
    <row r="214" spans="1:2" x14ac:dyDescent="0.25">
      <c r="A214" s="159" t="s">
        <v>393</v>
      </c>
      <c r="B214" s="159">
        <v>5585</v>
      </c>
    </row>
    <row r="215" spans="1:2" x14ac:dyDescent="0.25">
      <c r="A215" s="159" t="s">
        <v>333</v>
      </c>
      <c r="B215" s="159">
        <v>5754</v>
      </c>
    </row>
    <row r="216" spans="1:2" x14ac:dyDescent="0.25">
      <c r="A216" s="159" t="s">
        <v>210</v>
      </c>
      <c r="B216" s="159">
        <v>5474</v>
      </c>
    </row>
    <row r="217" spans="1:2" x14ac:dyDescent="0.25">
      <c r="A217" s="159" t="s">
        <v>217</v>
      </c>
      <c r="B217" s="159">
        <v>5758</v>
      </c>
    </row>
    <row r="218" spans="1:2" x14ac:dyDescent="0.25">
      <c r="A218" s="159" t="s">
        <v>319</v>
      </c>
      <c r="B218" s="159">
        <v>5726</v>
      </c>
    </row>
    <row r="219" spans="1:2" x14ac:dyDescent="0.25">
      <c r="A219" s="159" t="s">
        <v>171</v>
      </c>
      <c r="B219" s="159">
        <v>5498</v>
      </c>
    </row>
    <row r="220" spans="1:2" x14ac:dyDescent="0.25">
      <c r="A220" s="159" t="s">
        <v>52</v>
      </c>
      <c r="B220" s="159">
        <v>5889</v>
      </c>
    </row>
    <row r="221" spans="1:2" x14ac:dyDescent="0.25">
      <c r="A221" s="159" t="s">
        <v>29</v>
      </c>
      <c r="B221" s="159">
        <v>5871</v>
      </c>
    </row>
    <row r="222" spans="1:2" x14ac:dyDescent="0.25">
      <c r="A222" s="159" t="s">
        <v>326</v>
      </c>
      <c r="B222" s="159">
        <v>5741</v>
      </c>
    </row>
    <row r="223" spans="1:2" x14ac:dyDescent="0.25">
      <c r="A223" s="159" t="s">
        <v>120</v>
      </c>
      <c r="B223" s="159">
        <v>5586</v>
      </c>
    </row>
    <row r="224" spans="1:2" x14ac:dyDescent="0.25">
      <c r="A224" s="159" t="s">
        <v>115</v>
      </c>
      <c r="B224" s="159">
        <v>5406</v>
      </c>
    </row>
    <row r="225" spans="1:2" x14ac:dyDescent="0.25">
      <c r="A225" s="159" t="s">
        <v>158</v>
      </c>
      <c r="B225" s="159">
        <v>5637</v>
      </c>
    </row>
    <row r="226" spans="1:2" x14ac:dyDescent="0.25">
      <c r="A226" s="159" t="s">
        <v>204</v>
      </c>
      <c r="B226" s="159">
        <v>5872</v>
      </c>
    </row>
    <row r="227" spans="1:2" x14ac:dyDescent="0.25">
      <c r="A227" s="159" t="s">
        <v>205</v>
      </c>
      <c r="B227" s="159">
        <v>5873</v>
      </c>
    </row>
    <row r="228" spans="1:2" x14ac:dyDescent="0.25">
      <c r="A228" s="159" t="s">
        <v>121</v>
      </c>
      <c r="B228" s="159">
        <v>5587</v>
      </c>
    </row>
    <row r="229" spans="1:2" x14ac:dyDescent="0.25">
      <c r="A229" s="159" t="s">
        <v>324</v>
      </c>
      <c r="B229" s="159">
        <v>5731</v>
      </c>
    </row>
    <row r="230" spans="1:2" x14ac:dyDescent="0.25">
      <c r="A230" s="159" t="s">
        <v>272</v>
      </c>
      <c r="B230" s="159">
        <v>5750</v>
      </c>
    </row>
    <row r="231" spans="1:2" x14ac:dyDescent="0.25">
      <c r="A231" s="159" t="s">
        <v>116</v>
      </c>
      <c r="B231" s="159">
        <v>5407</v>
      </c>
    </row>
    <row r="232" spans="1:2" x14ac:dyDescent="0.25">
      <c r="A232" s="159" t="s">
        <v>334</v>
      </c>
      <c r="B232" s="159">
        <v>5755</v>
      </c>
    </row>
    <row r="233" spans="1:2" x14ac:dyDescent="0.25">
      <c r="A233" s="159" t="s">
        <v>1</v>
      </c>
      <c r="B233" s="159">
        <v>5486</v>
      </c>
    </row>
    <row r="234" spans="1:2" x14ac:dyDescent="0.25">
      <c r="A234" s="159" t="s">
        <v>159</v>
      </c>
      <c r="B234" s="159">
        <v>5638</v>
      </c>
    </row>
    <row r="235" spans="1:2" x14ac:dyDescent="0.25">
      <c r="A235" s="159" t="s">
        <v>363</v>
      </c>
      <c r="B235" s="159">
        <v>5429</v>
      </c>
    </row>
    <row r="236" spans="1:2" x14ac:dyDescent="0.25">
      <c r="A236" s="159" t="s">
        <v>101</v>
      </c>
      <c r="B236" s="159">
        <v>5674</v>
      </c>
    </row>
    <row r="237" spans="1:2" x14ac:dyDescent="0.25">
      <c r="A237" s="159" t="s">
        <v>102</v>
      </c>
      <c r="B237" s="159">
        <v>5675</v>
      </c>
    </row>
    <row r="238" spans="1:2" x14ac:dyDescent="0.25">
      <c r="A238" s="159" t="s">
        <v>23</v>
      </c>
      <c r="B238" s="159">
        <v>5858</v>
      </c>
    </row>
    <row r="239" spans="1:2" x14ac:dyDescent="0.25">
      <c r="A239" s="159" t="s">
        <v>160</v>
      </c>
      <c r="B239" s="159">
        <v>5639</v>
      </c>
    </row>
    <row r="240" spans="1:2" x14ac:dyDescent="0.25">
      <c r="A240" s="159" t="s">
        <v>2</v>
      </c>
      <c r="B240" s="159">
        <v>5487</v>
      </c>
    </row>
    <row r="241" spans="1:2" x14ac:dyDescent="0.25">
      <c r="A241" s="159" t="s">
        <v>161</v>
      </c>
      <c r="B241" s="159">
        <v>5640</v>
      </c>
    </row>
    <row r="242" spans="1:2" x14ac:dyDescent="0.25">
      <c r="A242" s="159" t="s">
        <v>144</v>
      </c>
      <c r="B242" s="159">
        <v>5606</v>
      </c>
    </row>
    <row r="243" spans="1:2" x14ac:dyDescent="0.25">
      <c r="A243" s="159" t="s">
        <v>281</v>
      </c>
      <c r="B243" s="159">
        <v>5790</v>
      </c>
    </row>
    <row r="244" spans="1:2" x14ac:dyDescent="0.25">
      <c r="A244" s="159" t="s">
        <v>364</v>
      </c>
      <c r="B244" s="159">
        <v>5430</v>
      </c>
    </row>
    <row r="245" spans="1:2" x14ac:dyDescent="0.25">
      <c r="A245" s="159" t="s">
        <v>394</v>
      </c>
      <c r="B245" s="159">
        <v>5919</v>
      </c>
    </row>
    <row r="246" spans="1:2" x14ac:dyDescent="0.25">
      <c r="A246" s="159" t="s">
        <v>43</v>
      </c>
      <c r="B246" s="159">
        <v>5562</v>
      </c>
    </row>
    <row r="247" spans="1:2" x14ac:dyDescent="0.25">
      <c r="A247" s="159" t="s">
        <v>3</v>
      </c>
      <c r="B247" s="159">
        <v>5488</v>
      </c>
    </row>
    <row r="248" spans="1:2" x14ac:dyDescent="0.25">
      <c r="A248" s="159" t="s">
        <v>4</v>
      </c>
      <c r="B248" s="159">
        <v>5489</v>
      </c>
    </row>
    <row r="249" spans="1:2" x14ac:dyDescent="0.25">
      <c r="A249" s="159" t="s">
        <v>240</v>
      </c>
      <c r="B249" s="159">
        <v>5723</v>
      </c>
    </row>
    <row r="250" spans="1:2" x14ac:dyDescent="0.25">
      <c r="A250" s="159" t="s">
        <v>9</v>
      </c>
      <c r="B250" s="159">
        <v>5821</v>
      </c>
    </row>
    <row r="251" spans="1:2" x14ac:dyDescent="0.25">
      <c r="A251" s="159" t="s">
        <v>5</v>
      </c>
      <c r="B251" s="159">
        <v>5490</v>
      </c>
    </row>
    <row r="252" spans="1:2" x14ac:dyDescent="0.25">
      <c r="A252" s="159" t="s">
        <v>365</v>
      </c>
      <c r="B252" s="159">
        <v>5431</v>
      </c>
    </row>
    <row r="253" spans="1:2" x14ac:dyDescent="0.25">
      <c r="A253" s="159" t="s">
        <v>395</v>
      </c>
      <c r="B253" s="159">
        <v>5921</v>
      </c>
    </row>
    <row r="254" spans="1:2" x14ac:dyDescent="0.25">
      <c r="A254" s="159" t="s">
        <v>273</v>
      </c>
      <c r="B254" s="159">
        <v>5922</v>
      </c>
    </row>
    <row r="255" spans="1:2" x14ac:dyDescent="0.25">
      <c r="A255" s="159" t="s">
        <v>443</v>
      </c>
      <c r="B255" s="159">
        <v>5693</v>
      </c>
    </row>
    <row r="256" spans="1:2" x14ac:dyDescent="0.25">
      <c r="A256" s="159" t="s">
        <v>335</v>
      </c>
      <c r="B256" s="159">
        <v>5756</v>
      </c>
    </row>
    <row r="257" spans="1:2" x14ac:dyDescent="0.25">
      <c r="A257" s="159" t="s">
        <v>366</v>
      </c>
      <c r="B257" s="159">
        <v>5432</v>
      </c>
    </row>
    <row r="258" spans="1:2" x14ac:dyDescent="0.25">
      <c r="A258" s="159" t="s">
        <v>432</v>
      </c>
      <c r="B258" s="159">
        <v>5540</v>
      </c>
    </row>
    <row r="259" spans="1:2" x14ac:dyDescent="0.25">
      <c r="A259" s="159" t="s">
        <v>164</v>
      </c>
      <c r="B259" s="159">
        <v>5491</v>
      </c>
    </row>
    <row r="260" spans="1:2" x14ac:dyDescent="0.25">
      <c r="A260" s="159" t="s">
        <v>282</v>
      </c>
      <c r="B260" s="159">
        <v>5792</v>
      </c>
    </row>
    <row r="261" spans="1:2" x14ac:dyDescent="0.25">
      <c r="A261" s="159" t="s">
        <v>51</v>
      </c>
      <c r="B261" s="159">
        <v>5886</v>
      </c>
    </row>
    <row r="262" spans="1:2" x14ac:dyDescent="0.25">
      <c r="A262" s="159" t="s">
        <v>165</v>
      </c>
      <c r="B262" s="159">
        <v>5492</v>
      </c>
    </row>
    <row r="263" spans="1:2" x14ac:dyDescent="0.25">
      <c r="A263" s="159" t="s">
        <v>24</v>
      </c>
      <c r="B263" s="159">
        <v>5859</v>
      </c>
    </row>
    <row r="264" spans="1:2" x14ac:dyDescent="0.25">
      <c r="A264" s="159" t="s">
        <v>162</v>
      </c>
      <c r="B264" s="159">
        <v>5642</v>
      </c>
    </row>
    <row r="265" spans="1:2" x14ac:dyDescent="0.25">
      <c r="A265" s="159" t="s">
        <v>187</v>
      </c>
      <c r="B265" s="159">
        <v>5527</v>
      </c>
    </row>
    <row r="266" spans="1:2" x14ac:dyDescent="0.25">
      <c r="A266" s="159" t="s">
        <v>103</v>
      </c>
      <c r="B266" s="159">
        <v>5678</v>
      </c>
    </row>
    <row r="267" spans="1:2" x14ac:dyDescent="0.25">
      <c r="A267" s="159" t="s">
        <v>285</v>
      </c>
      <c r="B267" s="159">
        <v>5563</v>
      </c>
    </row>
    <row r="268" spans="1:2" x14ac:dyDescent="0.25">
      <c r="A268" s="159" t="s">
        <v>286</v>
      </c>
      <c r="B268" s="159">
        <v>5564</v>
      </c>
    </row>
    <row r="269" spans="1:2" x14ac:dyDescent="0.25">
      <c r="A269" s="159" t="s">
        <v>117</v>
      </c>
      <c r="B269" s="159">
        <v>5408</v>
      </c>
    </row>
    <row r="270" spans="1:2" x14ac:dyDescent="0.25">
      <c r="A270" s="159" t="s">
        <v>69</v>
      </c>
      <c r="B270" s="159">
        <v>5724</v>
      </c>
    </row>
    <row r="271" spans="1:2" x14ac:dyDescent="0.25">
      <c r="A271" s="159" t="s">
        <v>104</v>
      </c>
      <c r="B271" s="159">
        <v>5680</v>
      </c>
    </row>
    <row r="272" spans="1:2" x14ac:dyDescent="0.25">
      <c r="A272" s="159" t="s">
        <v>118</v>
      </c>
      <c r="B272" s="159">
        <v>5409</v>
      </c>
    </row>
    <row r="273" spans="1:2" x14ac:dyDescent="0.25">
      <c r="A273" s="159" t="s">
        <v>287</v>
      </c>
      <c r="B273" s="159">
        <v>5565</v>
      </c>
    </row>
    <row r="274" spans="1:2" x14ac:dyDescent="0.25">
      <c r="A274" s="159" t="s">
        <v>274</v>
      </c>
      <c r="B274" s="159">
        <v>5923</v>
      </c>
    </row>
    <row r="275" spans="1:2" x14ac:dyDescent="0.25">
      <c r="A275" s="159" t="s">
        <v>336</v>
      </c>
      <c r="B275" s="159">
        <v>5757</v>
      </c>
    </row>
    <row r="276" spans="1:2" x14ac:dyDescent="0.25">
      <c r="A276" s="159" t="s">
        <v>275</v>
      </c>
      <c r="B276" s="159">
        <v>5924</v>
      </c>
    </row>
    <row r="277" spans="1:2" x14ac:dyDescent="0.25">
      <c r="A277" s="159" t="s">
        <v>130</v>
      </c>
      <c r="B277" s="159">
        <v>5410</v>
      </c>
    </row>
    <row r="278" spans="1:2" x14ac:dyDescent="0.25">
      <c r="A278" s="159" t="s">
        <v>131</v>
      </c>
      <c r="B278" s="159">
        <v>5411</v>
      </c>
    </row>
    <row r="279" spans="1:2" x14ac:dyDescent="0.25">
      <c r="A279" s="159" t="s">
        <v>166</v>
      </c>
      <c r="B279" s="159">
        <v>5493</v>
      </c>
    </row>
    <row r="280" spans="1:2" x14ac:dyDescent="0.25">
      <c r="A280" s="159" t="s">
        <v>435</v>
      </c>
      <c r="B280" s="159">
        <v>5805</v>
      </c>
    </row>
    <row r="281" spans="1:2" x14ac:dyDescent="0.25">
      <c r="A281" s="159" t="s">
        <v>399</v>
      </c>
      <c r="B281" s="159">
        <v>5925</v>
      </c>
    </row>
    <row r="282" spans="1:2" x14ac:dyDescent="0.25">
      <c r="A282" s="159" t="s">
        <v>188</v>
      </c>
      <c r="B282" s="159">
        <v>5529</v>
      </c>
    </row>
    <row r="283" spans="1:2" x14ac:dyDescent="0.25">
      <c r="A283" s="159" t="s">
        <v>189</v>
      </c>
      <c r="B283" s="159">
        <v>5530</v>
      </c>
    </row>
    <row r="284" spans="1:2" x14ac:dyDescent="0.25">
      <c r="A284" s="159" t="s">
        <v>167</v>
      </c>
      <c r="B284" s="159">
        <v>5494</v>
      </c>
    </row>
    <row r="285" spans="1:2" x14ac:dyDescent="0.25">
      <c r="A285" s="159" t="s">
        <v>122</v>
      </c>
      <c r="B285" s="159">
        <v>5588</v>
      </c>
    </row>
    <row r="286" spans="1:2" x14ac:dyDescent="0.25">
      <c r="A286" s="159" t="s">
        <v>10</v>
      </c>
      <c r="B286" s="159">
        <v>5822</v>
      </c>
    </row>
    <row r="287" spans="1:2" x14ac:dyDescent="0.25">
      <c r="A287" s="159" t="s">
        <v>168</v>
      </c>
      <c r="B287" s="159">
        <v>5495</v>
      </c>
    </row>
    <row r="288" spans="1:2" x14ac:dyDescent="0.25">
      <c r="A288" s="159" t="s">
        <v>169</v>
      </c>
      <c r="B288" s="159">
        <v>5496</v>
      </c>
    </row>
    <row r="289" spans="1:2" x14ac:dyDescent="0.25">
      <c r="A289" s="159" t="s">
        <v>190</v>
      </c>
      <c r="B289" s="159">
        <v>5531</v>
      </c>
    </row>
    <row r="290" spans="1:2" x14ac:dyDescent="0.25">
      <c r="A290" s="159" t="s">
        <v>25</v>
      </c>
      <c r="B290" s="159">
        <v>5860</v>
      </c>
    </row>
    <row r="291" spans="1:2" x14ac:dyDescent="0.25">
      <c r="A291" s="159" t="s">
        <v>191</v>
      </c>
      <c r="B291" s="159">
        <v>5533</v>
      </c>
    </row>
    <row r="292" spans="1:2" x14ac:dyDescent="0.25">
      <c r="A292" s="159" t="s">
        <v>170</v>
      </c>
      <c r="B292" s="159">
        <v>5497</v>
      </c>
    </row>
    <row r="293" spans="1:2" x14ac:dyDescent="0.25">
      <c r="A293" s="159" t="s">
        <v>400</v>
      </c>
      <c r="B293" s="159">
        <v>5926</v>
      </c>
    </row>
    <row r="294" spans="1:2" x14ac:dyDescent="0.25">
      <c r="A294" s="159" t="s">
        <v>70</v>
      </c>
      <c r="B294" s="159">
        <v>5725</v>
      </c>
    </row>
    <row r="295" spans="1:2" x14ac:dyDescent="0.25">
      <c r="A295" s="159" t="s">
        <v>218</v>
      </c>
      <c r="B295" s="159">
        <v>5759</v>
      </c>
    </row>
    <row r="296" spans="1:2" x14ac:dyDescent="0.25">
      <c r="A296" s="159" t="s">
        <v>163</v>
      </c>
      <c r="B296" s="159">
        <v>5643</v>
      </c>
    </row>
    <row r="297" spans="1:2" x14ac:dyDescent="0.25">
      <c r="A297" s="159" t="s">
        <v>105</v>
      </c>
      <c r="B297" s="159">
        <v>5683</v>
      </c>
    </row>
    <row r="298" spans="1:2" x14ac:dyDescent="0.25">
      <c r="A298" s="159" t="s">
        <v>123</v>
      </c>
      <c r="B298" s="159">
        <v>5589</v>
      </c>
    </row>
    <row r="299" spans="1:2" x14ac:dyDescent="0.25">
      <c r="A299" s="159" t="s">
        <v>288</v>
      </c>
      <c r="B299" s="159">
        <v>5566</v>
      </c>
    </row>
    <row r="300" spans="1:2" x14ac:dyDescent="0.25">
      <c r="A300" s="159" t="s">
        <v>300</v>
      </c>
      <c r="B300" s="159">
        <v>5607</v>
      </c>
    </row>
    <row r="301" spans="1:2" x14ac:dyDescent="0.25">
      <c r="A301" s="159" t="s">
        <v>124</v>
      </c>
      <c r="B301" s="159">
        <v>5590</v>
      </c>
    </row>
    <row r="302" spans="1:2" x14ac:dyDescent="0.25">
      <c r="A302" s="159" t="s">
        <v>219</v>
      </c>
      <c r="B302" s="159">
        <v>5760</v>
      </c>
    </row>
    <row r="303" spans="1:2" x14ac:dyDescent="0.25">
      <c r="A303" s="159" t="s">
        <v>396</v>
      </c>
      <c r="B303" s="159">
        <v>5591</v>
      </c>
    </row>
    <row r="304" spans="1:2" x14ac:dyDescent="0.25">
      <c r="A304" s="159" t="s">
        <v>132</v>
      </c>
      <c r="B304" s="159">
        <v>5412</v>
      </c>
    </row>
    <row r="305" spans="1:2" x14ac:dyDescent="0.25">
      <c r="A305" s="159" t="s">
        <v>312</v>
      </c>
      <c r="B305" s="159">
        <v>5644</v>
      </c>
    </row>
    <row r="306" spans="1:2" x14ac:dyDescent="0.25">
      <c r="A306" s="159" t="s">
        <v>128</v>
      </c>
      <c r="B306" s="159">
        <v>5609</v>
      </c>
    </row>
    <row r="307" spans="1:2" x14ac:dyDescent="0.25">
      <c r="A307" s="159" t="s">
        <v>133</v>
      </c>
      <c r="B307" s="159">
        <v>5413</v>
      </c>
    </row>
    <row r="308" spans="1:2" x14ac:dyDescent="0.25">
      <c r="A308" s="159" t="s">
        <v>26</v>
      </c>
      <c r="B308" s="159">
        <v>5861</v>
      </c>
    </row>
    <row r="309" spans="1:2" x14ac:dyDescent="0.25">
      <c r="A309" s="159" t="s">
        <v>135</v>
      </c>
      <c r="B309" s="159">
        <v>5761</v>
      </c>
    </row>
    <row r="310" spans="1:2" x14ac:dyDescent="0.25">
      <c r="A310" s="159" t="s">
        <v>216</v>
      </c>
      <c r="B310" s="159">
        <v>5592</v>
      </c>
    </row>
    <row r="311" spans="1:2" x14ac:dyDescent="0.25">
      <c r="A311" s="159" t="s">
        <v>313</v>
      </c>
      <c r="B311" s="159">
        <v>5645</v>
      </c>
    </row>
    <row r="312" spans="1:2" x14ac:dyDescent="0.25">
      <c r="A312" s="159" t="s">
        <v>283</v>
      </c>
      <c r="B312" s="159">
        <v>5798</v>
      </c>
    </row>
    <row r="313" spans="1:2" x14ac:dyDescent="0.25">
      <c r="A313" s="159" t="s">
        <v>106</v>
      </c>
      <c r="B313" s="159">
        <v>5684</v>
      </c>
    </row>
    <row r="314" spans="1:2" x14ac:dyDescent="0.25">
      <c r="A314" s="159" t="s">
        <v>14</v>
      </c>
      <c r="B314" s="159">
        <v>5842</v>
      </c>
    </row>
    <row r="315" spans="1:2" x14ac:dyDescent="0.25">
      <c r="A315" s="159" t="s">
        <v>15</v>
      </c>
      <c r="B315" s="159">
        <v>5843</v>
      </c>
    </row>
    <row r="316" spans="1:2" x14ac:dyDescent="0.25">
      <c r="A316" s="159" t="s">
        <v>401</v>
      </c>
      <c r="B316" s="159">
        <v>5928</v>
      </c>
    </row>
    <row r="317" spans="1:2" x14ac:dyDescent="0.25">
      <c r="A317" s="159" t="s">
        <v>192</v>
      </c>
      <c r="B317" s="159">
        <v>5534</v>
      </c>
    </row>
    <row r="318" spans="1:2" x14ac:dyDescent="0.25">
      <c r="A318" s="159" t="s">
        <v>30</v>
      </c>
      <c r="B318" s="159">
        <v>5535</v>
      </c>
    </row>
    <row r="319" spans="1:2" x14ac:dyDescent="0.25">
      <c r="A319" s="159" t="s">
        <v>320</v>
      </c>
      <c r="B319" s="159">
        <v>5727</v>
      </c>
    </row>
    <row r="320" spans="1:2" x14ac:dyDescent="0.25">
      <c r="A320" s="159" t="s">
        <v>119</v>
      </c>
      <c r="B320" s="159">
        <v>5568</v>
      </c>
    </row>
    <row r="321" spans="1:2" x14ac:dyDescent="0.25">
      <c r="A321" s="159" t="s">
        <v>367</v>
      </c>
      <c r="B321" s="159">
        <v>5434</v>
      </c>
    </row>
    <row r="322" spans="1:2" x14ac:dyDescent="0.25">
      <c r="A322" s="159" t="s">
        <v>518</v>
      </c>
      <c r="B322" s="159">
        <v>5888</v>
      </c>
    </row>
    <row r="323" spans="1:2" x14ac:dyDescent="0.25">
      <c r="A323" s="159" t="s">
        <v>344</v>
      </c>
      <c r="B323" s="159">
        <v>5435</v>
      </c>
    </row>
    <row r="324" spans="1:2" x14ac:dyDescent="0.25">
      <c r="A324" s="159" t="s">
        <v>345</v>
      </c>
      <c r="B324" s="159">
        <v>5436</v>
      </c>
    </row>
    <row r="325" spans="1:2" x14ac:dyDescent="0.25">
      <c r="A325" s="159" t="s">
        <v>314</v>
      </c>
      <c r="B325" s="159">
        <v>5646</v>
      </c>
    </row>
    <row r="326" spans="1:2" x14ac:dyDescent="0.25">
      <c r="A326" s="159" t="s">
        <v>315</v>
      </c>
      <c r="B326" s="159">
        <v>5648</v>
      </c>
    </row>
    <row r="327" spans="1:2" x14ac:dyDescent="0.25">
      <c r="A327" s="159" t="s">
        <v>346</v>
      </c>
      <c r="B327" s="159">
        <v>5437</v>
      </c>
    </row>
    <row r="328" spans="1:2" x14ac:dyDescent="0.25">
      <c r="A328" s="159" t="s">
        <v>297</v>
      </c>
      <c r="B328" s="159">
        <v>5611</v>
      </c>
    </row>
    <row r="329" spans="1:2" x14ac:dyDescent="0.25">
      <c r="A329" s="159" t="s">
        <v>172</v>
      </c>
      <c r="B329" s="159">
        <v>5499</v>
      </c>
    </row>
    <row r="330" spans="1:2" x14ac:dyDescent="0.25">
      <c r="A330" s="159" t="s">
        <v>136</v>
      </c>
      <c r="B330" s="159">
        <v>5762</v>
      </c>
    </row>
    <row r="331" spans="1:2" x14ac:dyDescent="0.25">
      <c r="A331" s="159" t="s">
        <v>284</v>
      </c>
      <c r="B331" s="159">
        <v>5799</v>
      </c>
    </row>
    <row r="332" spans="1:2" x14ac:dyDescent="0.25">
      <c r="A332" s="159" t="s">
        <v>173</v>
      </c>
      <c r="B332" s="159">
        <v>5500</v>
      </c>
    </row>
    <row r="333" spans="1:2" x14ac:dyDescent="0.25">
      <c r="A333" s="159" t="s">
        <v>321</v>
      </c>
      <c r="B333" s="159">
        <v>5728</v>
      </c>
    </row>
    <row r="334" spans="1:2" x14ac:dyDescent="0.25">
      <c r="A334" s="159" t="s">
        <v>129</v>
      </c>
      <c r="B334" s="159">
        <v>5610</v>
      </c>
    </row>
    <row r="335" spans="1:2" x14ac:dyDescent="0.25">
      <c r="A335" s="159" t="s">
        <v>402</v>
      </c>
      <c r="B335" s="159">
        <v>5929</v>
      </c>
    </row>
    <row r="336" spans="1:2" x14ac:dyDescent="0.25">
      <c r="A336" s="159" t="s">
        <v>174</v>
      </c>
      <c r="B336" s="159">
        <v>5501</v>
      </c>
    </row>
    <row r="337" spans="1:2" x14ac:dyDescent="0.25">
      <c r="A337" s="159" t="s">
        <v>403</v>
      </c>
      <c r="B337" s="159">
        <v>5930</v>
      </c>
    </row>
    <row r="338" spans="1:2" x14ac:dyDescent="0.25">
      <c r="A338" s="159" t="s">
        <v>107</v>
      </c>
      <c r="B338" s="159">
        <v>5688</v>
      </c>
    </row>
    <row r="339" spans="1:2" x14ac:dyDescent="0.25">
      <c r="A339" s="159" t="s">
        <v>322</v>
      </c>
      <c r="B339" s="159">
        <v>5729</v>
      </c>
    </row>
    <row r="340" spans="1:2" x14ac:dyDescent="0.25">
      <c r="A340" s="159" t="s">
        <v>27</v>
      </c>
      <c r="B340" s="159">
        <v>5862</v>
      </c>
    </row>
    <row r="341" spans="1:2" x14ac:dyDescent="0.25">
      <c r="A341" s="159" t="s">
        <v>429</v>
      </c>
      <c r="B341" s="159">
        <v>5571</v>
      </c>
    </row>
    <row r="342" spans="1:2" x14ac:dyDescent="0.25">
      <c r="A342" s="159" t="s">
        <v>316</v>
      </c>
      <c r="B342" s="159">
        <v>5649</v>
      </c>
    </row>
    <row r="343" spans="1:2" x14ac:dyDescent="0.25">
      <c r="A343" s="159" t="s">
        <v>323</v>
      </c>
      <c r="B343" s="159">
        <v>5730</v>
      </c>
    </row>
    <row r="344" spans="1:2" x14ac:dyDescent="0.25">
      <c r="A344" s="159" t="s">
        <v>11</v>
      </c>
      <c r="B344" s="159">
        <v>5827</v>
      </c>
    </row>
    <row r="345" spans="1:2" x14ac:dyDescent="0.25">
      <c r="A345" s="159" t="s">
        <v>404</v>
      </c>
      <c r="B345" s="159">
        <v>5931</v>
      </c>
    </row>
    <row r="346" spans="1:2" x14ac:dyDescent="0.25">
      <c r="A346" s="159" t="s">
        <v>517</v>
      </c>
      <c r="B346" s="159">
        <v>5828</v>
      </c>
    </row>
    <row r="347" spans="1:2" x14ac:dyDescent="0.25">
      <c r="A347" s="159" t="s">
        <v>276</v>
      </c>
      <c r="B347" s="159">
        <v>5932</v>
      </c>
    </row>
    <row r="348" spans="1:2" x14ac:dyDescent="0.25">
      <c r="A348" s="159" t="s">
        <v>434</v>
      </c>
      <c r="B348" s="159">
        <v>5831</v>
      </c>
    </row>
    <row r="349" spans="1:2" x14ac:dyDescent="0.25">
      <c r="A349" s="159" t="s">
        <v>397</v>
      </c>
      <c r="B349" s="159">
        <v>5933</v>
      </c>
    </row>
    <row r="350" spans="1:2" x14ac:dyDescent="0.25">
      <c r="A350" s="159" t="s">
        <v>137</v>
      </c>
      <c r="B350" s="159">
        <v>5763</v>
      </c>
    </row>
    <row r="351" spans="1:2" x14ac:dyDescent="0.25">
      <c r="A351" s="159" t="s">
        <v>398</v>
      </c>
      <c r="B351" s="159">
        <v>5934</v>
      </c>
    </row>
    <row r="352" spans="1:2" x14ac:dyDescent="0.25">
      <c r="A352" s="159" t="s">
        <v>337</v>
      </c>
      <c r="B352" s="159">
        <v>5764</v>
      </c>
    </row>
    <row r="353" spans="1:2" x14ac:dyDescent="0.25">
      <c r="A353" s="159" t="s">
        <v>338</v>
      </c>
      <c r="B353" s="159">
        <v>5765</v>
      </c>
    </row>
    <row r="354" spans="1:2" x14ac:dyDescent="0.25">
      <c r="A354" s="159" t="s">
        <v>317</v>
      </c>
      <c r="B354" s="159">
        <v>5650</v>
      </c>
    </row>
    <row r="355" spans="1:2" x14ac:dyDescent="0.25">
      <c r="A355" s="159" t="s">
        <v>53</v>
      </c>
      <c r="B355" s="159">
        <v>5890</v>
      </c>
    </row>
    <row r="356" spans="1:2" x14ac:dyDescent="0.25">
      <c r="A356" s="159" t="s">
        <v>54</v>
      </c>
      <c r="B356" s="159">
        <v>5891</v>
      </c>
    </row>
    <row r="357" spans="1:2" x14ac:dyDescent="0.25">
      <c r="A357" s="159" t="s">
        <v>325</v>
      </c>
      <c r="B357" s="159">
        <v>5732</v>
      </c>
    </row>
    <row r="358" spans="1:2" x14ac:dyDescent="0.25">
      <c r="A358" s="159" t="s">
        <v>299</v>
      </c>
      <c r="B358" s="159">
        <v>5935</v>
      </c>
    </row>
    <row r="359" spans="1:2" x14ac:dyDescent="0.25">
      <c r="A359" s="159" t="s">
        <v>108</v>
      </c>
      <c r="B359" s="159">
        <v>5690</v>
      </c>
    </row>
    <row r="360" spans="1:2" x14ac:dyDescent="0.25">
      <c r="A360" s="159" t="s">
        <v>31</v>
      </c>
      <c r="B360" s="159">
        <v>5537</v>
      </c>
    </row>
    <row r="361" spans="1:2" x14ac:dyDescent="0.25">
      <c r="A361" s="159" t="s">
        <v>318</v>
      </c>
      <c r="B361" s="159">
        <v>5651</v>
      </c>
    </row>
    <row r="362" spans="1:2" x14ac:dyDescent="0.25">
      <c r="A362" s="159" t="s">
        <v>198</v>
      </c>
      <c r="B362" s="159">
        <v>5652</v>
      </c>
    </row>
    <row r="363" spans="1:2" x14ac:dyDescent="0.25">
      <c r="A363" s="159" t="s">
        <v>12</v>
      </c>
      <c r="B363" s="159">
        <v>5830</v>
      </c>
    </row>
    <row r="364" spans="1:2" x14ac:dyDescent="0.25">
      <c r="A364" s="159" t="s">
        <v>134</v>
      </c>
      <c r="B364" s="159">
        <v>5414</v>
      </c>
    </row>
    <row r="365" spans="1:2" x14ac:dyDescent="0.25">
      <c r="A365" s="159" t="s">
        <v>28</v>
      </c>
      <c r="B365" s="159">
        <v>5863</v>
      </c>
    </row>
    <row r="366" spans="1:2" x14ac:dyDescent="0.25">
      <c r="A366" s="159" t="s">
        <v>32</v>
      </c>
      <c r="B366" s="159">
        <v>5539</v>
      </c>
    </row>
    <row r="367" spans="1:2" x14ac:dyDescent="0.25">
      <c r="A367" s="159" t="s">
        <v>109</v>
      </c>
      <c r="B367" s="159">
        <v>5692</v>
      </c>
    </row>
    <row r="368" spans="1:2" x14ac:dyDescent="0.25">
      <c r="A368" s="159" t="s">
        <v>175</v>
      </c>
      <c r="B368" s="159">
        <v>5503</v>
      </c>
    </row>
    <row r="369" spans="1:2" x14ac:dyDescent="0.25">
      <c r="A369" s="159" t="s">
        <v>199</v>
      </c>
      <c r="B369" s="159">
        <v>5653</v>
      </c>
    </row>
    <row r="370" spans="1:2" x14ac:dyDescent="0.25">
      <c r="A370" s="159" t="s">
        <v>277</v>
      </c>
      <c r="B370" s="159">
        <v>5937</v>
      </c>
    </row>
    <row r="371" spans="1:2" x14ac:dyDescent="0.25">
      <c r="A371" s="159" t="s">
        <v>339</v>
      </c>
      <c r="B371" s="159">
        <v>5766</v>
      </c>
    </row>
    <row r="372" spans="1:2" x14ac:dyDescent="0.25">
      <c r="A372" s="159" t="s">
        <v>386</v>
      </c>
      <c r="B372" s="159">
        <v>5803</v>
      </c>
    </row>
    <row r="373" spans="1:2" x14ac:dyDescent="0.25">
      <c r="A373" s="159" t="s">
        <v>200</v>
      </c>
      <c r="B373" s="159">
        <v>5654</v>
      </c>
    </row>
    <row r="374" spans="1:2" x14ac:dyDescent="0.25">
      <c r="A374" s="159" t="s">
        <v>430</v>
      </c>
      <c r="B374" s="159">
        <v>5464</v>
      </c>
    </row>
    <row r="375" spans="1:2" x14ac:dyDescent="0.25">
      <c r="A375" s="159" t="s">
        <v>201</v>
      </c>
      <c r="B375" s="159">
        <v>5655</v>
      </c>
    </row>
    <row r="376" spans="1:2" x14ac:dyDescent="0.25">
      <c r="A376" s="159" t="s">
        <v>150</v>
      </c>
      <c r="B376" s="159">
        <v>5938</v>
      </c>
    </row>
    <row r="377" spans="1:2" x14ac:dyDescent="0.25">
      <c r="A377" s="159" t="s">
        <v>149</v>
      </c>
      <c r="B377" s="159">
        <v>5939</v>
      </c>
    </row>
    <row r="378" spans="1:2" x14ac:dyDescent="0.25">
      <c r="A378" s="159" t="s">
        <v>72</v>
      </c>
      <c r="B378" s="159">
        <v>5415</v>
      </c>
    </row>
    <row r="379" spans="1:2" x14ac:dyDescent="0.25">
      <c r="B379" s="161"/>
    </row>
    <row r="380" spans="1:2" x14ac:dyDescent="0.25">
      <c r="B380" s="161"/>
    </row>
    <row r="381" spans="1:2" x14ac:dyDescent="0.25">
      <c r="B381" s="161"/>
    </row>
    <row r="382" spans="1:2" x14ac:dyDescent="0.25">
      <c r="B382" s="161"/>
    </row>
    <row r="383" spans="1:2" x14ac:dyDescent="0.25">
      <c r="B383" s="161"/>
    </row>
    <row r="384" spans="1:2" x14ac:dyDescent="0.25">
      <c r="B384" s="161"/>
    </row>
    <row r="385" spans="2:2" x14ac:dyDescent="0.25">
      <c r="B385" s="161"/>
    </row>
    <row r="386" spans="2:2" x14ac:dyDescent="0.25">
      <c r="B386" s="161"/>
    </row>
    <row r="387" spans="2:2" x14ac:dyDescent="0.25">
      <c r="B387" s="161"/>
    </row>
    <row r="388" spans="2:2" x14ac:dyDescent="0.25">
      <c r="B388" s="161"/>
    </row>
    <row r="389" spans="2:2" x14ac:dyDescent="0.25">
      <c r="B389" s="161"/>
    </row>
    <row r="390" spans="2:2" x14ac:dyDescent="0.25">
      <c r="B390" s="161"/>
    </row>
    <row r="391" spans="2:2" x14ac:dyDescent="0.25">
      <c r="B391" s="161"/>
    </row>
    <row r="392" spans="2:2" x14ac:dyDescent="0.25">
      <c r="B392" s="161"/>
    </row>
    <row r="393" spans="2:2" x14ac:dyDescent="0.25">
      <c r="B393" s="161"/>
    </row>
    <row r="394" spans="2:2" x14ac:dyDescent="0.25">
      <c r="B394" s="161"/>
    </row>
    <row r="395" spans="2:2" x14ac:dyDescent="0.25">
      <c r="B395" s="161"/>
    </row>
    <row r="396" spans="2:2" x14ac:dyDescent="0.25">
      <c r="B396" s="161"/>
    </row>
    <row r="397" spans="2:2" x14ac:dyDescent="0.25">
      <c r="B397" s="161"/>
    </row>
    <row r="398" spans="2:2" x14ac:dyDescent="0.25">
      <c r="B398" s="161"/>
    </row>
    <row r="399" spans="2:2" x14ac:dyDescent="0.25">
      <c r="B399" s="161"/>
    </row>
    <row r="400" spans="2:2" x14ac:dyDescent="0.25">
      <c r="B400" s="161"/>
    </row>
    <row r="401" spans="2:2" x14ac:dyDescent="0.25">
      <c r="B401" s="161"/>
    </row>
    <row r="402" spans="2:2" x14ac:dyDescent="0.25">
      <c r="B402" s="161"/>
    </row>
    <row r="403" spans="2:2" x14ac:dyDescent="0.25">
      <c r="B403" s="161"/>
    </row>
    <row r="404" spans="2:2" x14ac:dyDescent="0.25">
      <c r="B404" s="161"/>
    </row>
    <row r="405" spans="2:2" x14ac:dyDescent="0.25">
      <c r="B405" s="161"/>
    </row>
    <row r="406" spans="2:2" x14ac:dyDescent="0.25">
      <c r="B406" s="161"/>
    </row>
    <row r="407" spans="2:2" x14ac:dyDescent="0.25">
      <c r="B407" s="161"/>
    </row>
    <row r="408" spans="2:2" x14ac:dyDescent="0.25">
      <c r="B408" s="161"/>
    </row>
    <row r="409" spans="2:2" x14ac:dyDescent="0.25">
      <c r="B409" s="161"/>
    </row>
    <row r="410" spans="2:2" x14ac:dyDescent="0.25">
      <c r="B410" s="161"/>
    </row>
    <row r="411" spans="2:2" x14ac:dyDescent="0.25">
      <c r="B411" s="161"/>
    </row>
    <row r="412" spans="2:2" x14ac:dyDescent="0.25">
      <c r="B412" s="161"/>
    </row>
    <row r="413" spans="2:2" x14ac:dyDescent="0.25">
      <c r="B413" s="161"/>
    </row>
    <row r="414" spans="2:2" x14ac:dyDescent="0.25">
      <c r="B414" s="161"/>
    </row>
    <row r="415" spans="2:2" x14ac:dyDescent="0.25">
      <c r="B415" s="161"/>
    </row>
    <row r="416" spans="2:2" x14ac:dyDescent="0.25">
      <c r="B416" s="161"/>
    </row>
    <row r="417" spans="2:2" x14ac:dyDescent="0.25">
      <c r="B417" s="161"/>
    </row>
    <row r="418" spans="2:2" x14ac:dyDescent="0.25">
      <c r="B418" s="161"/>
    </row>
    <row r="419" spans="2:2" x14ac:dyDescent="0.25">
      <c r="B419" s="161"/>
    </row>
    <row r="420" spans="2:2" x14ac:dyDescent="0.25">
      <c r="B420" s="161"/>
    </row>
    <row r="421" spans="2:2" x14ac:dyDescent="0.25">
      <c r="B421" s="161"/>
    </row>
    <row r="422" spans="2:2" x14ac:dyDescent="0.25">
      <c r="B422" s="161"/>
    </row>
    <row r="423" spans="2:2" x14ac:dyDescent="0.25">
      <c r="B423" s="161"/>
    </row>
    <row r="424" spans="2:2" x14ac:dyDescent="0.25">
      <c r="B424" s="161"/>
    </row>
    <row r="425" spans="2:2" x14ac:dyDescent="0.25">
      <c r="B425" s="161"/>
    </row>
    <row r="426" spans="2:2" x14ac:dyDescent="0.25">
      <c r="B426" s="161"/>
    </row>
    <row r="427" spans="2:2" x14ac:dyDescent="0.25">
      <c r="B427" s="161"/>
    </row>
    <row r="428" spans="2:2" x14ac:dyDescent="0.25">
      <c r="B428" s="161"/>
    </row>
    <row r="429" spans="2:2" x14ac:dyDescent="0.25">
      <c r="B429" s="161"/>
    </row>
    <row r="430" spans="2:2" x14ac:dyDescent="0.25">
      <c r="B430" s="161"/>
    </row>
    <row r="431" spans="2:2" x14ac:dyDescent="0.25">
      <c r="B431" s="161"/>
    </row>
    <row r="432" spans="2:2" x14ac:dyDescent="0.25">
      <c r="B432" s="161"/>
    </row>
    <row r="433" spans="2:2" x14ac:dyDescent="0.25">
      <c r="B433" s="161"/>
    </row>
    <row r="434" spans="2:2" x14ac:dyDescent="0.25">
      <c r="B434" s="161"/>
    </row>
    <row r="435" spans="2:2" x14ac:dyDescent="0.25">
      <c r="B435" s="161"/>
    </row>
    <row r="436" spans="2:2" x14ac:dyDescent="0.25">
      <c r="B436" s="161"/>
    </row>
    <row r="437" spans="2:2" x14ac:dyDescent="0.25">
      <c r="B437" s="161"/>
    </row>
    <row r="438" spans="2:2" x14ac:dyDescent="0.25">
      <c r="B438" s="161"/>
    </row>
    <row r="439" spans="2:2" x14ac:dyDescent="0.25">
      <c r="B439" s="161"/>
    </row>
    <row r="440" spans="2:2" x14ac:dyDescent="0.25">
      <c r="B440" s="161"/>
    </row>
    <row r="441" spans="2:2" x14ac:dyDescent="0.25">
      <c r="B441" s="161"/>
    </row>
    <row r="442" spans="2:2" x14ac:dyDescent="0.25">
      <c r="B442" s="161"/>
    </row>
    <row r="443" spans="2:2" x14ac:dyDescent="0.25">
      <c r="B443" s="161"/>
    </row>
    <row r="444" spans="2:2" x14ac:dyDescent="0.25">
      <c r="B444" s="161"/>
    </row>
    <row r="445" spans="2:2" x14ac:dyDescent="0.25">
      <c r="B445" s="161"/>
    </row>
    <row r="446" spans="2:2" x14ac:dyDescent="0.25">
      <c r="B446" s="161"/>
    </row>
    <row r="447" spans="2:2" x14ac:dyDescent="0.25">
      <c r="B447" s="161"/>
    </row>
    <row r="448" spans="2:2" x14ac:dyDescent="0.25">
      <c r="B448" s="161"/>
    </row>
    <row r="449" spans="2:2" x14ac:dyDescent="0.25">
      <c r="B449" s="161"/>
    </row>
    <row r="450" spans="2:2" x14ac:dyDescent="0.25">
      <c r="B450" s="161"/>
    </row>
    <row r="451" spans="2:2" x14ac:dyDescent="0.25">
      <c r="B451" s="161"/>
    </row>
    <row r="452" spans="2:2" x14ac:dyDescent="0.25">
      <c r="B452" s="161"/>
    </row>
    <row r="453" spans="2:2" x14ac:dyDescent="0.25">
      <c r="B453" s="161"/>
    </row>
    <row r="454" spans="2:2" x14ac:dyDescent="0.25">
      <c r="B454" s="161"/>
    </row>
    <row r="455" spans="2:2" x14ac:dyDescent="0.25">
      <c r="B455" s="161"/>
    </row>
    <row r="456" spans="2:2" x14ac:dyDescent="0.25">
      <c r="B456" s="161"/>
    </row>
    <row r="457" spans="2:2" x14ac:dyDescent="0.25">
      <c r="B457" s="161"/>
    </row>
    <row r="458" spans="2:2" x14ac:dyDescent="0.25">
      <c r="B458" s="161"/>
    </row>
    <row r="459" spans="2:2" x14ac:dyDescent="0.25">
      <c r="B459" s="161"/>
    </row>
    <row r="460" spans="2:2" x14ac:dyDescent="0.25">
      <c r="B460" s="161"/>
    </row>
    <row r="461" spans="2:2" x14ac:dyDescent="0.25">
      <c r="B461" s="161"/>
    </row>
    <row r="462" spans="2:2" x14ac:dyDescent="0.25">
      <c r="B462" s="161"/>
    </row>
    <row r="463" spans="2:2" x14ac:dyDescent="0.25">
      <c r="B463" s="161"/>
    </row>
    <row r="464" spans="2:2" x14ac:dyDescent="0.25">
      <c r="B464" s="161"/>
    </row>
    <row r="465" spans="2:2" x14ac:dyDescent="0.25">
      <c r="B465" s="161"/>
    </row>
    <row r="466" spans="2:2" x14ac:dyDescent="0.25">
      <c r="B466" s="161"/>
    </row>
    <row r="467" spans="2:2" x14ac:dyDescent="0.25">
      <c r="B467" s="161"/>
    </row>
    <row r="468" spans="2:2" x14ac:dyDescent="0.25">
      <c r="B468" s="161"/>
    </row>
    <row r="469" spans="2:2" x14ac:dyDescent="0.25">
      <c r="B469" s="161"/>
    </row>
    <row r="470" spans="2:2" x14ac:dyDescent="0.25">
      <c r="B470" s="161"/>
    </row>
    <row r="471" spans="2:2" x14ac:dyDescent="0.25">
      <c r="B471" s="161"/>
    </row>
    <row r="472" spans="2:2" x14ac:dyDescent="0.25">
      <c r="B472" s="161"/>
    </row>
    <row r="473" spans="2:2" x14ac:dyDescent="0.25">
      <c r="B473" s="161"/>
    </row>
    <row r="474" spans="2:2" x14ac:dyDescent="0.25">
      <c r="B474" s="161"/>
    </row>
    <row r="475" spans="2:2" x14ac:dyDescent="0.25">
      <c r="B475" s="161"/>
    </row>
    <row r="476" spans="2:2" x14ac:dyDescent="0.25">
      <c r="B476" s="161"/>
    </row>
    <row r="477" spans="2:2" x14ac:dyDescent="0.25">
      <c r="B477" s="161"/>
    </row>
    <row r="478" spans="2:2" x14ac:dyDescent="0.25">
      <c r="B478" s="161"/>
    </row>
    <row r="479" spans="2:2" x14ac:dyDescent="0.25">
      <c r="B479" s="161"/>
    </row>
    <row r="480" spans="2:2" x14ac:dyDescent="0.25">
      <c r="B480" s="161"/>
    </row>
    <row r="481" spans="2:2" x14ac:dyDescent="0.25">
      <c r="B481" s="161"/>
    </row>
    <row r="482" spans="2:2" x14ac:dyDescent="0.25">
      <c r="B482" s="161"/>
    </row>
    <row r="483" spans="2:2" x14ac:dyDescent="0.25">
      <c r="B483" s="161"/>
    </row>
    <row r="484" spans="2:2" x14ac:dyDescent="0.25">
      <c r="B484" s="161"/>
    </row>
    <row r="485" spans="2:2" x14ac:dyDescent="0.25">
      <c r="B485" s="161"/>
    </row>
    <row r="486" spans="2:2" x14ac:dyDescent="0.25">
      <c r="B486" s="161"/>
    </row>
    <row r="487" spans="2:2" x14ac:dyDescent="0.25">
      <c r="B487" s="161"/>
    </row>
    <row r="488" spans="2:2" x14ac:dyDescent="0.25">
      <c r="B488" s="161"/>
    </row>
    <row r="489" spans="2:2" x14ac:dyDescent="0.25">
      <c r="B489" s="161"/>
    </row>
    <row r="490" spans="2:2" x14ac:dyDescent="0.25">
      <c r="B490" s="161"/>
    </row>
    <row r="491" spans="2:2" x14ac:dyDescent="0.25">
      <c r="B491" s="161"/>
    </row>
    <row r="492" spans="2:2" x14ac:dyDescent="0.25">
      <c r="B492" s="161"/>
    </row>
    <row r="493" spans="2:2" x14ac:dyDescent="0.25">
      <c r="B493" s="161"/>
    </row>
    <row r="494" spans="2:2" x14ac:dyDescent="0.25">
      <c r="B494" s="161"/>
    </row>
    <row r="495" spans="2:2" x14ac:dyDescent="0.25">
      <c r="B495" s="161"/>
    </row>
    <row r="496" spans="2:2" x14ac:dyDescent="0.25">
      <c r="B496" s="161"/>
    </row>
    <row r="497" spans="2:2" x14ac:dyDescent="0.25">
      <c r="B497" s="161"/>
    </row>
    <row r="498" spans="2:2" x14ac:dyDescent="0.25">
      <c r="B498" s="161"/>
    </row>
    <row r="499" spans="2:2" x14ac:dyDescent="0.25">
      <c r="B499" s="161"/>
    </row>
    <row r="500" spans="2:2" x14ac:dyDescent="0.25">
      <c r="B500" s="161"/>
    </row>
    <row r="501" spans="2:2" x14ac:dyDescent="0.25">
      <c r="B501" s="161"/>
    </row>
    <row r="502" spans="2:2" x14ac:dyDescent="0.25">
      <c r="B502" s="161"/>
    </row>
    <row r="503" spans="2:2" x14ac:dyDescent="0.25">
      <c r="B503" s="161"/>
    </row>
    <row r="504" spans="2:2" x14ac:dyDescent="0.25">
      <c r="B504" s="161"/>
    </row>
    <row r="505" spans="2:2" x14ac:dyDescent="0.25">
      <c r="B505" s="161"/>
    </row>
    <row r="506" spans="2:2" x14ac:dyDescent="0.25">
      <c r="B506" s="161"/>
    </row>
    <row r="507" spans="2:2" x14ac:dyDescent="0.25">
      <c r="B507" s="161"/>
    </row>
    <row r="508" spans="2:2" x14ac:dyDescent="0.25">
      <c r="B508" s="161"/>
    </row>
    <row r="509" spans="2:2" x14ac:dyDescent="0.25">
      <c r="B509" s="161"/>
    </row>
    <row r="510" spans="2:2" x14ac:dyDescent="0.25">
      <c r="B510" s="161"/>
    </row>
    <row r="511" spans="2:2" x14ac:dyDescent="0.25">
      <c r="B511" s="161"/>
    </row>
    <row r="512" spans="2:2" x14ac:dyDescent="0.25">
      <c r="B512" s="161"/>
    </row>
    <row r="513" spans="2:2" x14ac:dyDescent="0.25">
      <c r="B513" s="161"/>
    </row>
    <row r="514" spans="2:2" x14ac:dyDescent="0.25">
      <c r="B514" s="161"/>
    </row>
    <row r="515" spans="2:2" x14ac:dyDescent="0.25">
      <c r="B515" s="161"/>
    </row>
    <row r="516" spans="2:2" x14ac:dyDescent="0.25">
      <c r="B516" s="161"/>
    </row>
    <row r="517" spans="2:2" x14ac:dyDescent="0.25">
      <c r="B517" s="161"/>
    </row>
    <row r="518" spans="2:2" x14ac:dyDescent="0.25">
      <c r="B518" s="161"/>
    </row>
    <row r="519" spans="2:2" x14ac:dyDescent="0.25">
      <c r="B519" s="161"/>
    </row>
    <row r="520" spans="2:2" x14ac:dyDescent="0.25">
      <c r="B520" s="161"/>
    </row>
    <row r="521" spans="2:2" x14ac:dyDescent="0.25">
      <c r="B521" s="161"/>
    </row>
    <row r="522" spans="2:2" x14ac:dyDescent="0.25">
      <c r="B522" s="161"/>
    </row>
    <row r="523" spans="2:2" x14ac:dyDescent="0.25">
      <c r="B523" s="161"/>
    </row>
    <row r="524" spans="2:2" x14ac:dyDescent="0.25">
      <c r="B524" s="161"/>
    </row>
    <row r="525" spans="2:2" x14ac:dyDescent="0.25">
      <c r="B525" s="161"/>
    </row>
    <row r="526" spans="2:2" x14ac:dyDescent="0.25">
      <c r="B526" s="161"/>
    </row>
    <row r="527" spans="2:2" x14ac:dyDescent="0.25">
      <c r="B527" s="161"/>
    </row>
    <row r="528" spans="2:2" x14ac:dyDescent="0.25">
      <c r="B528" s="161"/>
    </row>
    <row r="529" spans="2:2" x14ac:dyDescent="0.25">
      <c r="B529" s="161"/>
    </row>
    <row r="530" spans="2:2" x14ac:dyDescent="0.25">
      <c r="B530" s="161"/>
    </row>
    <row r="531" spans="2:2" x14ac:dyDescent="0.25">
      <c r="B531" s="161"/>
    </row>
    <row r="532" spans="2:2" x14ac:dyDescent="0.25">
      <c r="B532" s="161"/>
    </row>
    <row r="533" spans="2:2" x14ac:dyDescent="0.25">
      <c r="B533" s="161"/>
    </row>
    <row r="534" spans="2:2" x14ac:dyDescent="0.25">
      <c r="B534" s="161"/>
    </row>
    <row r="535" spans="2:2" x14ac:dyDescent="0.25">
      <c r="B535" s="161"/>
    </row>
    <row r="536" spans="2:2" x14ac:dyDescent="0.25">
      <c r="B536" s="161"/>
    </row>
    <row r="537" spans="2:2" x14ac:dyDescent="0.25">
      <c r="B537" s="161"/>
    </row>
    <row r="538" spans="2:2" x14ac:dyDescent="0.25">
      <c r="B538" s="161"/>
    </row>
    <row r="539" spans="2:2" x14ac:dyDescent="0.25">
      <c r="B539" s="161"/>
    </row>
    <row r="540" spans="2:2" x14ac:dyDescent="0.25">
      <c r="B540" s="161"/>
    </row>
    <row r="541" spans="2:2" x14ac:dyDescent="0.25">
      <c r="B541" s="161"/>
    </row>
    <row r="542" spans="2:2" x14ac:dyDescent="0.25">
      <c r="B542" s="161"/>
    </row>
    <row r="543" spans="2:2" x14ac:dyDescent="0.25">
      <c r="B543" s="161"/>
    </row>
    <row r="544" spans="2:2" x14ac:dyDescent="0.25">
      <c r="B544" s="161"/>
    </row>
    <row r="545" spans="2:2" x14ac:dyDescent="0.25">
      <c r="B545" s="161"/>
    </row>
  </sheetData>
  <protectedRanges>
    <protectedRange sqref="B26:H26" name="Plage2"/>
    <protectedRange sqref="A379:A408 B11:B12 B28 B32 B36:B37 B41:B42 G41 B66:B67 B20:B21 D20:F20 B47:F49 B16:F17 B46 G47:H48" name="Plage1"/>
    <protectedRange sqref="A70:A378" name="Plage1_3"/>
    <protectedRange sqref="B70:B378" name="Plage1_4"/>
    <protectedRange sqref="B5:B8" name="Plage1_1"/>
    <protectedRange sqref="B57:B58" name="Plage1_2"/>
    <protectedRange sqref="B59" name="Plage1_5"/>
  </protectedRanges>
  <sortState ref="A70:B378">
    <sortCondition ref="A70:A378"/>
  </sortState>
  <phoneticPr fontId="19" type="noConversion"/>
  <printOptions horizontalCentered="1"/>
  <pageMargins left="0" right="0" top="0" bottom="0" header="0.51181102362204722" footer="0.51181102362204722"/>
  <pageSetup paperSize="9" orientation="landscape"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rgb="FF00B050"/>
  </sheetPr>
  <dimension ref="A1:I344"/>
  <sheetViews>
    <sheetView zoomScaleNormal="100" workbookViewId="0"/>
  </sheetViews>
  <sheetFormatPr baseColWidth="10" defaultColWidth="11" defaultRowHeight="15" x14ac:dyDescent="0.25"/>
  <cols>
    <col min="1" max="1" width="9.375" style="13" customWidth="1"/>
    <col min="2" max="2" width="22.25" style="13" customWidth="1"/>
    <col min="3" max="3" width="13.375" style="13" customWidth="1"/>
    <col min="4" max="4" width="11.125" style="13" bestFit="1" customWidth="1"/>
    <col min="5" max="5" width="13" style="13" customWidth="1"/>
    <col min="6" max="7" width="12.375" style="13" customWidth="1"/>
    <col min="8" max="9" width="13" style="13" bestFit="1" customWidth="1"/>
    <col min="10" max="10" width="3.5" style="13" customWidth="1"/>
    <col min="11" max="16384" width="11" style="13"/>
  </cols>
  <sheetData>
    <row r="1" spans="1:9" ht="21" x14ac:dyDescent="0.25">
      <c r="A1" s="51" t="s">
        <v>328</v>
      </c>
      <c r="B1" s="42"/>
      <c r="C1" s="68"/>
      <c r="D1" s="68"/>
      <c r="E1" s="68"/>
      <c r="F1" s="68"/>
      <c r="G1" s="68"/>
      <c r="H1" s="68"/>
      <c r="I1" s="68"/>
    </row>
    <row r="3" spans="1:9" x14ac:dyDescent="0.25">
      <c r="A3" s="121" t="s">
        <v>47</v>
      </c>
      <c r="B3" s="122"/>
      <c r="C3" s="123" t="s">
        <v>455</v>
      </c>
      <c r="D3" s="123" t="s">
        <v>409</v>
      </c>
      <c r="E3" s="68"/>
      <c r="F3" s="68"/>
      <c r="G3" s="68"/>
      <c r="H3" s="68"/>
      <c r="I3" s="68"/>
    </row>
    <row r="4" spans="1:9" x14ac:dyDescent="0.25">
      <c r="A4" s="75" t="s">
        <v>94</v>
      </c>
      <c r="B4" s="76"/>
      <c r="C4" s="11">
        <f>E325</f>
        <v>727483734.76595604</v>
      </c>
      <c r="D4" s="35"/>
      <c r="E4" s="68"/>
      <c r="F4" s="68"/>
      <c r="G4" s="68"/>
      <c r="H4" s="68"/>
      <c r="I4" s="68"/>
    </row>
    <row r="5" spans="1:9" x14ac:dyDescent="0.25">
      <c r="A5" s="81" t="s">
        <v>424</v>
      </c>
      <c r="B5" s="45"/>
      <c r="C5" s="10">
        <v>0</v>
      </c>
      <c r="D5" s="33">
        <f>C5/$C$325</f>
        <v>0</v>
      </c>
      <c r="E5" s="68"/>
      <c r="F5" s="68"/>
      <c r="G5" s="68"/>
      <c r="H5" s="68"/>
      <c r="I5" s="68"/>
    </row>
    <row r="6" spans="1:9" x14ac:dyDescent="0.25">
      <c r="A6" s="81" t="s">
        <v>423</v>
      </c>
      <c r="B6" s="45"/>
      <c r="C6" s="10">
        <f>Paramètres!B36</f>
        <v>-9422976.7063593771</v>
      </c>
      <c r="D6" s="268">
        <f>C6/$C$325</f>
        <v>-0.26271602643187009</v>
      </c>
      <c r="E6" s="68"/>
      <c r="F6" s="68"/>
      <c r="G6" s="68"/>
      <c r="H6" s="68"/>
      <c r="I6" s="68"/>
    </row>
    <row r="7" spans="1:9" x14ac:dyDescent="0.25">
      <c r="A7" s="81" t="s">
        <v>95</v>
      </c>
      <c r="B7" s="45"/>
      <c r="C7" s="10">
        <f>'I) Dépenses thématiques'!O314</f>
        <v>-161403914.92109314</v>
      </c>
      <c r="D7" s="268">
        <f>C7/$C$325</f>
        <v>-4.5000000000000027</v>
      </c>
      <c r="E7" s="68"/>
      <c r="F7" s="68"/>
      <c r="G7" s="68"/>
      <c r="H7" s="68"/>
      <c r="I7" s="68"/>
    </row>
    <row r="8" spans="1:9" x14ac:dyDescent="0.25">
      <c r="A8" s="83" t="s">
        <v>278</v>
      </c>
      <c r="B8" s="111"/>
      <c r="C8" s="18">
        <f>Paramètres!B37</f>
        <v>-450000</v>
      </c>
      <c r="D8" s="268">
        <f>C8/$C$325</f>
        <v>-1.2546164081521687E-2</v>
      </c>
      <c r="E8" s="68"/>
      <c r="F8" s="68"/>
      <c r="G8" s="68"/>
      <c r="H8" s="68"/>
      <c r="I8" s="68"/>
    </row>
    <row r="9" spans="1:9" x14ac:dyDescent="0.25">
      <c r="A9" s="83" t="s">
        <v>357</v>
      </c>
      <c r="B9" s="111"/>
      <c r="C9" s="18">
        <f>SUM(C5:C8)</f>
        <v>-171276891.62745252</v>
      </c>
      <c r="D9" s="98">
        <f>SUM(D5:D8)</f>
        <v>-4.775262190513395</v>
      </c>
      <c r="E9" s="68"/>
      <c r="F9" s="68"/>
      <c r="G9" s="68"/>
      <c r="H9" s="68"/>
      <c r="I9" s="68"/>
    </row>
    <row r="10" spans="1:9" x14ac:dyDescent="0.25">
      <c r="A10" s="75" t="s">
        <v>427</v>
      </c>
      <c r="B10" s="76"/>
      <c r="C10" s="18">
        <f>-SUM(C4:C8)</f>
        <v>-556206843.13850355</v>
      </c>
      <c r="D10" s="98">
        <f>C10/$C$325</f>
        <v>-15.507249593957468</v>
      </c>
      <c r="E10" s="68"/>
      <c r="F10" s="68"/>
      <c r="G10" s="68"/>
      <c r="H10" s="68"/>
      <c r="I10" s="68"/>
    </row>
    <row r="11" spans="1:9" x14ac:dyDescent="0.25">
      <c r="A11" s="75" t="s">
        <v>356</v>
      </c>
      <c r="B11" s="77"/>
      <c r="C11" s="438">
        <f>C9+C10</f>
        <v>-727483734.76595604</v>
      </c>
      <c r="D11" s="98">
        <f>D10+D9</f>
        <v>-20.282511784470863</v>
      </c>
      <c r="E11" s="68"/>
      <c r="F11" s="68"/>
      <c r="G11" s="68"/>
      <c r="H11" s="68"/>
      <c r="I11" s="68"/>
    </row>
    <row r="14" spans="1:9" ht="60" customHeight="1" x14ac:dyDescent="0.25">
      <c r="A14" s="501" t="s">
        <v>46</v>
      </c>
      <c r="B14" s="501" t="s">
        <v>96</v>
      </c>
      <c r="C14" s="524" t="s">
        <v>547</v>
      </c>
      <c r="D14" s="524" t="s">
        <v>304</v>
      </c>
      <c r="E14" s="64" t="s">
        <v>94</v>
      </c>
      <c r="F14" s="64" t="s">
        <v>355</v>
      </c>
      <c r="G14" s="64" t="s">
        <v>426</v>
      </c>
      <c r="H14" s="64" t="s">
        <v>296</v>
      </c>
      <c r="I14" s="446" t="s">
        <v>408</v>
      </c>
    </row>
    <row r="15" spans="1:9" x14ac:dyDescent="0.25">
      <c r="A15" s="502"/>
      <c r="B15" s="502"/>
      <c r="C15" s="524"/>
      <c r="D15" s="524"/>
      <c r="E15" s="388">
        <f>-D9+F15+G15</f>
        <v>20.282511784470891</v>
      </c>
      <c r="F15" s="389">
        <f>F325/C325</f>
        <v>11.821244968551552</v>
      </c>
      <c r="G15" s="389">
        <f>G325/C325</f>
        <v>3.6860046254059409</v>
      </c>
      <c r="H15" s="389"/>
      <c r="I15" s="117"/>
    </row>
    <row r="16" spans="1:9" x14ac:dyDescent="0.25">
      <c r="A16" s="46">
        <f>'A) Base RI'!A7</f>
        <v>5401</v>
      </c>
      <c r="B16" s="299" t="str">
        <f>'A) Base RI'!B7</f>
        <v>Aigle</v>
      </c>
      <c r="C16" s="31">
        <f>'D) Ecrêtage'!C5</f>
        <v>264997.06649252231</v>
      </c>
      <c r="D16" s="14">
        <f>'A) Base RI'!V7</f>
        <v>10134</v>
      </c>
      <c r="E16" s="10">
        <f>C16*E$15</f>
        <v>5374806.1239847997</v>
      </c>
      <c r="F16" s="14">
        <f>'F) Population'!K8</f>
        <v>5183679.7786720321</v>
      </c>
      <c r="G16" s="10">
        <f>'G) Solidarité'!I5</f>
        <v>3428985.2581145931</v>
      </c>
      <c r="H16" s="14">
        <f>F16+G16</f>
        <v>8612665.0367866252</v>
      </c>
      <c r="I16" s="55">
        <f>E16-H16</f>
        <v>-3237858.9128018254</v>
      </c>
    </row>
    <row r="17" spans="1:9" x14ac:dyDescent="0.25">
      <c r="A17" s="49">
        <f>'A) Base RI'!A8</f>
        <v>5402</v>
      </c>
      <c r="B17" s="32" t="str">
        <f>'A) Base RI'!B8</f>
        <v>Bex</v>
      </c>
      <c r="C17" s="31">
        <f>'D) Ecrêtage'!C6</f>
        <v>167576.20795633722</v>
      </c>
      <c r="D17" s="14">
        <f>'A) Base RI'!V8</f>
        <v>7757</v>
      </c>
      <c r="E17" s="10">
        <f t="shared" ref="E17:E80" si="0">C17*E$15</f>
        <v>3398866.4126713546</v>
      </c>
      <c r="F17" s="14">
        <f>'F) Population'!K9</f>
        <v>3475699.7987927562</v>
      </c>
      <c r="G17" s="10">
        <f>'G) Solidarité'!I6</f>
        <v>3610811.1847851765</v>
      </c>
      <c r="H17" s="14">
        <f t="shared" ref="H17:H80" si="1">F17+G17</f>
        <v>7086510.9835779332</v>
      </c>
      <c r="I17" s="55">
        <f t="shared" ref="I17:I80" si="2">E17-H17</f>
        <v>-3687644.5709065786</v>
      </c>
    </row>
    <row r="18" spans="1:9" x14ac:dyDescent="0.25">
      <c r="A18" s="49">
        <f>'A) Base RI'!A9</f>
        <v>5403</v>
      </c>
      <c r="B18" s="32" t="str">
        <f>'A) Base RI'!B9</f>
        <v>Chessel</v>
      </c>
      <c r="C18" s="31">
        <f>'D) Ecrêtage'!C7</f>
        <v>10084.656029543799</v>
      </c>
      <c r="D18" s="14">
        <f>'A) Base RI'!V9</f>
        <v>426</v>
      </c>
      <c r="E18" s="10">
        <f t="shared" si="0"/>
        <v>204542.15476155753</v>
      </c>
      <c r="F18" s="14">
        <f>'F) Population'!K10</f>
        <v>53196.428571428565</v>
      </c>
      <c r="G18" s="10">
        <f>'G) Solidarité'!I7</f>
        <v>196212.19009627859</v>
      </c>
      <c r="H18" s="14">
        <f t="shared" si="1"/>
        <v>249408.61866770714</v>
      </c>
      <c r="I18" s="55">
        <f t="shared" si="2"/>
        <v>-44866.463906149613</v>
      </c>
    </row>
    <row r="19" spans="1:9" x14ac:dyDescent="0.25">
      <c r="A19" s="49">
        <f>'A) Base RI'!A10</f>
        <v>5404</v>
      </c>
      <c r="B19" s="32" t="str">
        <f>'A) Base RI'!B10</f>
        <v>Corbeyrier</v>
      </c>
      <c r="C19" s="31">
        <f>'D) Ecrêtage'!C8</f>
        <v>11886.055583598994</v>
      </c>
      <c r="D19" s="14">
        <f>'A) Base RI'!V10</f>
        <v>438</v>
      </c>
      <c r="E19" s="10">
        <f t="shared" si="0"/>
        <v>241079.06244522263</v>
      </c>
      <c r="F19" s="14">
        <f>'F) Population'!K11</f>
        <v>54694.919517102608</v>
      </c>
      <c r="G19" s="10">
        <f>'G) Solidarité'!I8</f>
        <v>150954.82835568444</v>
      </c>
      <c r="H19" s="14">
        <f t="shared" si="1"/>
        <v>205649.74787278706</v>
      </c>
      <c r="I19" s="55">
        <f t="shared" si="2"/>
        <v>35429.314572435571</v>
      </c>
    </row>
    <row r="20" spans="1:9" x14ac:dyDescent="0.25">
      <c r="A20" s="49">
        <f>'A) Base RI'!A11</f>
        <v>5405</v>
      </c>
      <c r="B20" s="32" t="str">
        <f>'A) Base RI'!B11</f>
        <v>Gryon</v>
      </c>
      <c r="C20" s="31">
        <f>'D) Ecrêtage'!C9</f>
        <v>67043.99833693559</v>
      </c>
      <c r="D20" s="14">
        <f>'A) Base RI'!V11</f>
        <v>1332</v>
      </c>
      <c r="E20" s="10">
        <f t="shared" si="0"/>
        <v>1359820.686346943</v>
      </c>
      <c r="F20" s="14">
        <f>'F) Population'!K12</f>
        <v>240957.34406438627</v>
      </c>
      <c r="G20" s="10">
        <f>'G) Solidarité'!I9</f>
        <v>0</v>
      </c>
      <c r="H20" s="14">
        <f t="shared" si="1"/>
        <v>240957.34406438627</v>
      </c>
      <c r="I20" s="55">
        <f t="shared" si="2"/>
        <v>1118863.3422825567</v>
      </c>
    </row>
    <row r="21" spans="1:9" x14ac:dyDescent="0.25">
      <c r="A21" s="49">
        <f>'A) Base RI'!A12</f>
        <v>5406</v>
      </c>
      <c r="B21" s="32" t="str">
        <f>'A) Base RI'!B12</f>
        <v>Lavey-Morcles</v>
      </c>
      <c r="C21" s="31">
        <f>'D) Ecrêtage'!C10</f>
        <v>21182.431428934582</v>
      </c>
      <c r="D21" s="14">
        <f>'A) Base RI'!V12</f>
        <v>946</v>
      </c>
      <c r="E21" s="10">
        <f t="shared" si="0"/>
        <v>429632.91508111224</v>
      </c>
      <c r="F21" s="14">
        <f>'F) Population'!K13</f>
        <v>118131.0362173038</v>
      </c>
      <c r="G21" s="10">
        <f>'G) Solidarité'!I10</f>
        <v>425404.88312305172</v>
      </c>
      <c r="H21" s="14">
        <f t="shared" si="1"/>
        <v>543535.91934035555</v>
      </c>
      <c r="I21" s="55">
        <f t="shared" si="2"/>
        <v>-113903.00425924332</v>
      </c>
    </row>
    <row r="22" spans="1:9" x14ac:dyDescent="0.25">
      <c r="A22" s="49">
        <f>'A) Base RI'!A13</f>
        <v>5407</v>
      </c>
      <c r="B22" s="32" t="str">
        <f>'A) Base RI'!B13</f>
        <v>Leysin</v>
      </c>
      <c r="C22" s="31">
        <f>'D) Ecrêtage'!C11</f>
        <v>87800.052646256067</v>
      </c>
      <c r="D22" s="14">
        <f>'A) Base RI'!V13</f>
        <v>3939</v>
      </c>
      <c r="E22" s="10">
        <f t="shared" si="0"/>
        <v>1780805.6024748534</v>
      </c>
      <c r="F22" s="14">
        <f>'F) Population'!K14</f>
        <v>1293197.6861167001</v>
      </c>
      <c r="G22" s="10">
        <f>'G) Solidarité'!I11</f>
        <v>2147499.4476356944</v>
      </c>
      <c r="H22" s="14">
        <f t="shared" si="1"/>
        <v>3440697.1337523945</v>
      </c>
      <c r="I22" s="55">
        <f t="shared" si="2"/>
        <v>-1659891.5312775411</v>
      </c>
    </row>
    <row r="23" spans="1:9" x14ac:dyDescent="0.25">
      <c r="A23" s="49">
        <f>'A) Base RI'!A14</f>
        <v>5408</v>
      </c>
      <c r="B23" s="32" t="str">
        <f>'A) Base RI'!B14</f>
        <v>Noville</v>
      </c>
      <c r="C23" s="31">
        <f>'D) Ecrêtage'!C12</f>
        <v>34485.089397525851</v>
      </c>
      <c r="D23" s="14">
        <f>'A) Base RI'!V14</f>
        <v>1113</v>
      </c>
      <c r="E23" s="10">
        <f t="shared" si="0"/>
        <v>699444.23209385027</v>
      </c>
      <c r="F23" s="14">
        <f>'F) Population'!K15</f>
        <v>164384.45674044263</v>
      </c>
      <c r="G23" s="10">
        <f>'G) Solidarité'!I12</f>
        <v>377492.26079197624</v>
      </c>
      <c r="H23" s="14">
        <f t="shared" si="1"/>
        <v>541876.7175324189</v>
      </c>
      <c r="I23" s="55">
        <f t="shared" si="2"/>
        <v>157567.51456143137</v>
      </c>
    </row>
    <row r="24" spans="1:9" x14ac:dyDescent="0.25">
      <c r="A24" s="49">
        <f>'A) Base RI'!A15</f>
        <v>5409</v>
      </c>
      <c r="B24" s="32" t="str">
        <f>'A) Base RI'!B15</f>
        <v>Ollon</v>
      </c>
      <c r="C24" s="31">
        <f>'D) Ecrêtage'!C13</f>
        <v>364239.90242657869</v>
      </c>
      <c r="D24" s="14">
        <f>'A) Base RI'!V15</f>
        <v>7461</v>
      </c>
      <c r="E24" s="10">
        <f t="shared" si="0"/>
        <v>7387700.1133416099</v>
      </c>
      <c r="F24" s="14">
        <f>'F) Population'!K16</f>
        <v>3298278.4708249494</v>
      </c>
      <c r="G24" s="10">
        <f>'G) Solidarité'!I13</f>
        <v>0</v>
      </c>
      <c r="H24" s="14">
        <f t="shared" si="1"/>
        <v>3298278.4708249494</v>
      </c>
      <c r="I24" s="55">
        <f t="shared" si="2"/>
        <v>4089421.6425166605</v>
      </c>
    </row>
    <row r="25" spans="1:9" x14ac:dyDescent="0.25">
      <c r="A25" s="49">
        <f>'A) Base RI'!A16</f>
        <v>5410</v>
      </c>
      <c r="B25" s="32" t="str">
        <f>'A) Base RI'!B16</f>
        <v>Ormont-Dessous</v>
      </c>
      <c r="C25" s="31">
        <f>'D) Ecrêtage'!C14</f>
        <v>43203.907731880769</v>
      </c>
      <c r="D25" s="14">
        <f>'A) Base RI'!V16</f>
        <v>1121</v>
      </c>
      <c r="E25" s="10">
        <f t="shared" si="0"/>
        <v>876283.76770706475</v>
      </c>
      <c r="F25" s="14">
        <f>'F) Population'!K17</f>
        <v>167181.63983903418</v>
      </c>
      <c r="G25" s="10">
        <f>'G) Solidarité'!I14</f>
        <v>172636.01007858739</v>
      </c>
      <c r="H25" s="14">
        <f t="shared" si="1"/>
        <v>339817.64991762157</v>
      </c>
      <c r="I25" s="55">
        <f t="shared" si="2"/>
        <v>536466.11778944312</v>
      </c>
    </row>
    <row r="26" spans="1:9" x14ac:dyDescent="0.25">
      <c r="A26" s="49">
        <f>'A) Base RI'!A17</f>
        <v>5411</v>
      </c>
      <c r="B26" s="32" t="str">
        <f>'A) Base RI'!B17</f>
        <v>Ormont-Dessus</v>
      </c>
      <c r="C26" s="31">
        <f>'D) Ecrêtage'!C15</f>
        <v>72610.798338858935</v>
      </c>
      <c r="D26" s="14">
        <f>'A) Base RI'!V17</f>
        <v>1446</v>
      </c>
      <c r="E26" s="10">
        <f t="shared" si="0"/>
        <v>1472729.3729877458</v>
      </c>
      <c r="F26" s="14">
        <f>'F) Population'!K18</f>
        <v>280817.20321931585</v>
      </c>
      <c r="G26" s="10">
        <f>'G) Solidarité'!I15</f>
        <v>0</v>
      </c>
      <c r="H26" s="14">
        <f t="shared" si="1"/>
        <v>280817.20321931585</v>
      </c>
      <c r="I26" s="55">
        <f t="shared" si="2"/>
        <v>1191912.1697684298</v>
      </c>
    </row>
    <row r="27" spans="1:9" x14ac:dyDescent="0.25">
      <c r="A27" s="49">
        <f>'A) Base RI'!A18</f>
        <v>5412</v>
      </c>
      <c r="B27" s="32" t="str">
        <f>'A) Base RI'!B18</f>
        <v>Rennaz</v>
      </c>
      <c r="C27" s="31">
        <f>'D) Ecrêtage'!C16</f>
        <v>26466.15780602719</v>
      </c>
      <c r="D27" s="14">
        <f>'A) Base RI'!V18</f>
        <v>826</v>
      </c>
      <c r="E27" s="10">
        <f t="shared" si="0"/>
        <v>536800.15759041277</v>
      </c>
      <c r="F27" s="14">
        <f>'F) Population'!K19</f>
        <v>103146.12676056336</v>
      </c>
      <c r="G27" s="10">
        <f>'G) Solidarité'!I16</f>
        <v>191313.87077015263</v>
      </c>
      <c r="H27" s="14">
        <f t="shared" si="1"/>
        <v>294459.99753071601</v>
      </c>
      <c r="I27" s="55">
        <f t="shared" si="2"/>
        <v>242340.16005969676</v>
      </c>
    </row>
    <row r="28" spans="1:9" x14ac:dyDescent="0.25">
      <c r="A28" s="49">
        <f>'A) Base RI'!A19</f>
        <v>5413</v>
      </c>
      <c r="B28" s="32" t="str">
        <f>'A) Base RI'!B19</f>
        <v>Roche</v>
      </c>
      <c r="C28" s="31">
        <f>'D) Ecrêtage'!C17</f>
        <v>37990.385509658925</v>
      </c>
      <c r="D28" s="14">
        <f>'A) Base RI'!V19</f>
        <v>1775</v>
      </c>
      <c r="E28" s="10">
        <f t="shared" si="0"/>
        <v>770540.44179624936</v>
      </c>
      <c r="F28" s="14">
        <f>'F) Population'!K20</f>
        <v>395851.35814889334</v>
      </c>
      <c r="G28" s="10">
        <f>'G) Solidarité'!I17</f>
        <v>764431.06849406334</v>
      </c>
      <c r="H28" s="14">
        <f t="shared" si="1"/>
        <v>1160282.4266429567</v>
      </c>
      <c r="I28" s="55">
        <f t="shared" si="2"/>
        <v>-389741.98484670732</v>
      </c>
    </row>
    <row r="29" spans="1:9" x14ac:dyDescent="0.25">
      <c r="A29" s="49">
        <f>'A) Base RI'!A20</f>
        <v>5414</v>
      </c>
      <c r="B29" s="32" t="str">
        <f>'A) Base RI'!B20</f>
        <v>Villeneuve</v>
      </c>
      <c r="C29" s="31">
        <f>'D) Ecrêtage'!C18</f>
        <v>165545.36815921174</v>
      </c>
      <c r="D29" s="14">
        <f>'A) Base RI'!V20</f>
        <v>5771</v>
      </c>
      <c r="E29" s="10">
        <f t="shared" si="0"/>
        <v>3357675.8805537843</v>
      </c>
      <c r="F29" s="14">
        <f>'F) Population'!K21</f>
        <v>2285298.5915492955</v>
      </c>
      <c r="G29" s="10">
        <f>'G) Solidarité'!I18</f>
        <v>1763334.5862805662</v>
      </c>
      <c r="H29" s="14">
        <f t="shared" si="1"/>
        <v>4048633.1778298616</v>
      </c>
      <c r="I29" s="55">
        <f t="shared" si="2"/>
        <v>-690957.29727607733</v>
      </c>
    </row>
    <row r="30" spans="1:9" x14ac:dyDescent="0.25">
      <c r="A30" s="49">
        <f>'A) Base RI'!A21</f>
        <v>5415</v>
      </c>
      <c r="B30" s="32" t="str">
        <f>'A) Base RI'!B21</f>
        <v>Yvorne</v>
      </c>
      <c r="C30" s="31">
        <f>'D) Ecrêtage'!C19</f>
        <v>33364.537599401883</v>
      </c>
      <c r="D30" s="14">
        <f>'A) Base RI'!V21</f>
        <v>1066</v>
      </c>
      <c r="E30" s="10">
        <f t="shared" si="0"/>
        <v>676716.62704329088</v>
      </c>
      <c r="F30" s="14">
        <f>'F) Population'!K22</f>
        <v>147951.0060362173</v>
      </c>
      <c r="G30" s="10">
        <f>'G) Solidarité'!I19</f>
        <v>293121.75438587856</v>
      </c>
      <c r="H30" s="14">
        <f t="shared" si="1"/>
        <v>441072.76042209589</v>
      </c>
      <c r="I30" s="55">
        <f t="shared" si="2"/>
        <v>235643.86662119499</v>
      </c>
    </row>
    <row r="31" spans="1:9" x14ac:dyDescent="0.25">
      <c r="A31" s="49">
        <f>'A) Base RI'!A22</f>
        <v>5421</v>
      </c>
      <c r="B31" s="32" t="str">
        <f>'A) Base RI'!B22</f>
        <v>Apples</v>
      </c>
      <c r="C31" s="31">
        <f>'D) Ecrêtage'!C20</f>
        <v>66975.284470984901</v>
      </c>
      <c r="D31" s="14">
        <f>'A) Base RI'!V22</f>
        <v>1469</v>
      </c>
      <c r="E31" s="10">
        <f t="shared" si="0"/>
        <v>1358426.9965510415</v>
      </c>
      <c r="F31" s="14">
        <f>'F) Population'!K23</f>
        <v>288859.10462776653</v>
      </c>
      <c r="G31" s="10">
        <f>'G) Solidarité'!I20</f>
        <v>0</v>
      </c>
      <c r="H31" s="14">
        <f t="shared" si="1"/>
        <v>288859.10462776653</v>
      </c>
      <c r="I31" s="55">
        <f t="shared" si="2"/>
        <v>1069567.8919232748</v>
      </c>
    </row>
    <row r="32" spans="1:9" x14ac:dyDescent="0.25">
      <c r="A32" s="49">
        <f>'A) Base RI'!A23</f>
        <v>5422</v>
      </c>
      <c r="B32" s="32" t="str">
        <f>'A) Base RI'!B23</f>
        <v>Aubonne</v>
      </c>
      <c r="C32" s="31">
        <f>'D) Ecrêtage'!C21</f>
        <v>225566.61726643931</v>
      </c>
      <c r="D32" s="14">
        <f>'A) Base RI'!V23</f>
        <v>3242</v>
      </c>
      <c r="E32" s="10">
        <f t="shared" si="0"/>
        <v>4575057.5728897909</v>
      </c>
      <c r="F32" s="14">
        <f>'F) Population'!K24</f>
        <v>945048.28973843041</v>
      </c>
      <c r="G32" s="10">
        <f>'G) Solidarité'!I21</f>
        <v>0</v>
      </c>
      <c r="H32" s="14">
        <f t="shared" si="1"/>
        <v>945048.28973843041</v>
      </c>
      <c r="I32" s="55">
        <f t="shared" si="2"/>
        <v>3630009.2831513602</v>
      </c>
    </row>
    <row r="33" spans="1:9" x14ac:dyDescent="0.25">
      <c r="A33" s="49">
        <f>'A) Base RI'!A24</f>
        <v>5423</v>
      </c>
      <c r="B33" s="32" t="str">
        <f>'A) Base RI'!B24</f>
        <v>Ballens</v>
      </c>
      <c r="C33" s="31">
        <f>'D) Ecrêtage'!C22</f>
        <v>13546.834391748147</v>
      </c>
      <c r="D33" s="14">
        <f>'A) Base RI'!V24</f>
        <v>536</v>
      </c>
      <c r="E33" s="10">
        <f t="shared" si="0"/>
        <v>274763.82819290733</v>
      </c>
      <c r="F33" s="14">
        <f>'F) Population'!K25</f>
        <v>66932.595573440631</v>
      </c>
      <c r="G33" s="10">
        <f>'G) Solidarité'!I22</f>
        <v>222065.33876353531</v>
      </c>
      <c r="H33" s="14">
        <f t="shared" si="1"/>
        <v>288997.93433697592</v>
      </c>
      <c r="I33" s="55">
        <f t="shared" si="2"/>
        <v>-14234.106144068588</v>
      </c>
    </row>
    <row r="34" spans="1:9" x14ac:dyDescent="0.25">
      <c r="A34" s="49">
        <f>'A) Base RI'!A25</f>
        <v>5424</v>
      </c>
      <c r="B34" s="32" t="str">
        <f>'A) Base RI'!B25</f>
        <v>Berolle</v>
      </c>
      <c r="C34" s="31">
        <f>'D) Ecrêtage'!C23</f>
        <v>9307.5930888942275</v>
      </c>
      <c r="D34" s="14">
        <f>'A) Base RI'!V25</f>
        <v>307</v>
      </c>
      <c r="E34" s="10">
        <f t="shared" si="0"/>
        <v>188781.36651055698</v>
      </c>
      <c r="F34" s="14">
        <f>'F) Population'!K26</f>
        <v>38336.393360160961</v>
      </c>
      <c r="G34" s="10">
        <f>'G) Solidarité'!I23</f>
        <v>105003.40065194451</v>
      </c>
      <c r="H34" s="14">
        <f t="shared" si="1"/>
        <v>143339.79401210547</v>
      </c>
      <c r="I34" s="55">
        <f t="shared" si="2"/>
        <v>45441.572498451511</v>
      </c>
    </row>
    <row r="35" spans="1:9" x14ac:dyDescent="0.25">
      <c r="A35" s="49">
        <f>'A) Base RI'!A26</f>
        <v>5425</v>
      </c>
      <c r="B35" s="32" t="str">
        <f>'A) Base RI'!B26</f>
        <v>Bière</v>
      </c>
      <c r="C35" s="31">
        <f>'D) Ecrêtage'!C24</f>
        <v>38506.775780608448</v>
      </c>
      <c r="D35" s="14">
        <f>'A) Base RI'!V26</f>
        <v>1595</v>
      </c>
      <c r="E35" s="10">
        <f t="shared" si="0"/>
        <v>781014.13355216919</v>
      </c>
      <c r="F35" s="14">
        <f>'F) Population'!K27</f>
        <v>332914.7384305835</v>
      </c>
      <c r="G35" s="10">
        <f>'G) Solidarité'!I24</f>
        <v>642785.66577980842</v>
      </c>
      <c r="H35" s="14">
        <f t="shared" si="1"/>
        <v>975700.40421039192</v>
      </c>
      <c r="I35" s="55">
        <f t="shared" si="2"/>
        <v>-194686.27065822273</v>
      </c>
    </row>
    <row r="36" spans="1:9" x14ac:dyDescent="0.25">
      <c r="A36" s="49">
        <f>'A) Base RI'!A27</f>
        <v>5426</v>
      </c>
      <c r="B36" s="32" t="str">
        <f>'A) Base RI'!B27</f>
        <v>Bougy-Villars</v>
      </c>
      <c r="C36" s="31">
        <f>'D) Ecrêtage'!C25</f>
        <v>50656.587213056948</v>
      </c>
      <c r="D36" s="14">
        <f>'A) Base RI'!V27</f>
        <v>490</v>
      </c>
      <c r="E36" s="10">
        <f t="shared" si="0"/>
        <v>1027442.827109905</v>
      </c>
      <c r="F36" s="14">
        <f>'F) Population'!K28</f>
        <v>61188.38028169013</v>
      </c>
      <c r="G36" s="10">
        <f>'G) Solidarité'!I25</f>
        <v>0</v>
      </c>
      <c r="H36" s="14">
        <f t="shared" si="1"/>
        <v>61188.38028169013</v>
      </c>
      <c r="I36" s="55">
        <f t="shared" si="2"/>
        <v>966254.4468282148</v>
      </c>
    </row>
    <row r="37" spans="1:9" x14ac:dyDescent="0.25">
      <c r="A37" s="49">
        <f>'A) Base RI'!A28</f>
        <v>5427</v>
      </c>
      <c r="B37" s="32" t="str">
        <f>'A) Base RI'!B28</f>
        <v>Féchy</v>
      </c>
      <c r="C37" s="31">
        <f>'D) Ecrêtage'!C26</f>
        <v>72785.387066428128</v>
      </c>
      <c r="D37" s="14">
        <f>'A) Base RI'!V28</f>
        <v>860</v>
      </c>
      <c r="E37" s="10">
        <f t="shared" si="0"/>
        <v>1476270.4709121038</v>
      </c>
      <c r="F37" s="14">
        <f>'F) Population'!K29</f>
        <v>107391.85110663982</v>
      </c>
      <c r="G37" s="10">
        <f>'G) Solidarité'!I26</f>
        <v>0</v>
      </c>
      <c r="H37" s="14">
        <f t="shared" si="1"/>
        <v>107391.85110663982</v>
      </c>
      <c r="I37" s="55">
        <f t="shared" si="2"/>
        <v>1368878.6198054641</v>
      </c>
    </row>
    <row r="38" spans="1:9" x14ac:dyDescent="0.25">
      <c r="A38" s="49">
        <f>'A) Base RI'!A29</f>
        <v>5428</v>
      </c>
      <c r="B38" s="32" t="str">
        <f>'A) Base RI'!B29</f>
        <v>Gimel</v>
      </c>
      <c r="C38" s="31">
        <f>'D) Ecrêtage'!C27</f>
        <v>58910.135180018216</v>
      </c>
      <c r="D38" s="14">
        <f>'A) Base RI'!V29</f>
        <v>2186</v>
      </c>
      <c r="E38" s="10">
        <f t="shared" si="0"/>
        <v>1194845.5110134927</v>
      </c>
      <c r="F38" s="14">
        <f>'F) Population'!K30</f>
        <v>539556.63983903406</v>
      </c>
      <c r="G38" s="10">
        <f>'G) Solidarité'!I27</f>
        <v>794396.96551954013</v>
      </c>
      <c r="H38" s="14">
        <f t="shared" si="1"/>
        <v>1333953.6053585741</v>
      </c>
      <c r="I38" s="55">
        <f t="shared" si="2"/>
        <v>-139108.09434508136</v>
      </c>
    </row>
    <row r="39" spans="1:9" x14ac:dyDescent="0.25">
      <c r="A39" s="49">
        <f>'A) Base RI'!A30</f>
        <v>5429</v>
      </c>
      <c r="B39" s="32" t="str">
        <f>'A) Base RI'!B30</f>
        <v>Longirod</v>
      </c>
      <c r="C39" s="31">
        <f>'D) Ecrêtage'!C28</f>
        <v>13766.784256066006</v>
      </c>
      <c r="D39" s="14">
        <f>'A) Base RI'!V30</f>
        <v>478</v>
      </c>
      <c r="E39" s="10">
        <f t="shared" si="0"/>
        <v>279224.9639079271</v>
      </c>
      <c r="F39" s="14">
        <f>'F) Population'!K31</f>
        <v>59689.889336016087</v>
      </c>
      <c r="G39" s="10">
        <f>'G) Solidarité'!I28</f>
        <v>199837.0132421453</v>
      </c>
      <c r="H39" s="14">
        <f t="shared" si="1"/>
        <v>259526.90257816139</v>
      </c>
      <c r="I39" s="55">
        <f t="shared" si="2"/>
        <v>19698.061329765711</v>
      </c>
    </row>
    <row r="40" spans="1:9" x14ac:dyDescent="0.25">
      <c r="A40" s="49">
        <f>'A) Base RI'!A31</f>
        <v>5430</v>
      </c>
      <c r="B40" s="32" t="str">
        <f>'A) Base RI'!B31</f>
        <v>Marchissy</v>
      </c>
      <c r="C40" s="31">
        <f>'D) Ecrêtage'!C29</f>
        <v>13685.946067131534</v>
      </c>
      <c r="D40" s="14">
        <f>'A) Base RI'!V31</f>
        <v>463</v>
      </c>
      <c r="E40" s="10">
        <f t="shared" si="0"/>
        <v>277585.36238822836</v>
      </c>
      <c r="F40" s="14">
        <f>'F) Population'!K32</f>
        <v>57816.775653923534</v>
      </c>
      <c r="G40" s="10">
        <f>'G) Solidarité'!I29</f>
        <v>175410.1452472535</v>
      </c>
      <c r="H40" s="14">
        <f t="shared" si="1"/>
        <v>233226.92090117704</v>
      </c>
      <c r="I40" s="55">
        <f t="shared" si="2"/>
        <v>44358.441487051314</v>
      </c>
    </row>
    <row r="41" spans="1:9" x14ac:dyDescent="0.25">
      <c r="A41" s="49">
        <f>'A) Base RI'!A32</f>
        <v>5431</v>
      </c>
      <c r="B41" s="32" t="str">
        <f>'A) Base RI'!B32</f>
        <v>Mollens</v>
      </c>
      <c r="C41" s="31">
        <f>'D) Ecrêtage'!C30</f>
        <v>8631.0396252458468</v>
      </c>
      <c r="D41" s="14">
        <f>'A) Base RI'!V32</f>
        <v>283</v>
      </c>
      <c r="E41" s="10">
        <f t="shared" si="0"/>
        <v>175059.1629112841</v>
      </c>
      <c r="F41" s="14">
        <f>'F) Population'!K33</f>
        <v>35339.411468812868</v>
      </c>
      <c r="G41" s="10">
        <f>'G) Solidarité'!I30</f>
        <v>88286.981709765983</v>
      </c>
      <c r="H41" s="14">
        <f t="shared" si="1"/>
        <v>123626.39317857884</v>
      </c>
      <c r="I41" s="55">
        <f t="shared" si="2"/>
        <v>51432.769732705259</v>
      </c>
    </row>
    <row r="42" spans="1:9" x14ac:dyDescent="0.25">
      <c r="A42" s="49">
        <f>'A) Base RI'!A33</f>
        <v>5432</v>
      </c>
      <c r="B42" s="32" t="str">
        <f>'A) Base RI'!B33</f>
        <v>Montherod</v>
      </c>
      <c r="C42" s="31">
        <f>'D) Ecrêtage'!C31</f>
        <v>18119.784125682436</v>
      </c>
      <c r="D42" s="14">
        <f>'A) Base RI'!V33</f>
        <v>536</v>
      </c>
      <c r="E42" s="10">
        <f t="shared" si="0"/>
        <v>367514.73506122257</v>
      </c>
      <c r="F42" s="14">
        <f>'F) Population'!K34</f>
        <v>66932.595573440631</v>
      </c>
      <c r="G42" s="10">
        <f>'G) Solidarité'!I31</f>
        <v>142895.7139171802</v>
      </c>
      <c r="H42" s="14">
        <f t="shared" si="1"/>
        <v>209828.30949062083</v>
      </c>
      <c r="I42" s="55">
        <f t="shared" si="2"/>
        <v>157686.42557060174</v>
      </c>
    </row>
    <row r="43" spans="1:9" x14ac:dyDescent="0.25">
      <c r="A43" s="49">
        <f>'A) Base RI'!A34</f>
        <v>5434</v>
      </c>
      <c r="B43" s="32" t="str">
        <f>'A) Base RI'!B34</f>
        <v>Saint-George</v>
      </c>
      <c r="C43" s="31">
        <f>'D) Ecrêtage'!C32</f>
        <v>36673.941124861783</v>
      </c>
      <c r="D43" s="14">
        <f>'A) Base RI'!V34</f>
        <v>1031</v>
      </c>
      <c r="E43" s="10">
        <f t="shared" si="0"/>
        <v>743839.64304800075</v>
      </c>
      <c r="F43" s="14">
        <f>'F) Population'!K35</f>
        <v>135713.32997987926</v>
      </c>
      <c r="G43" s="10">
        <f>'G) Solidarité'!I32</f>
        <v>191250.45907674803</v>
      </c>
      <c r="H43" s="14">
        <f t="shared" si="1"/>
        <v>326963.78905662731</v>
      </c>
      <c r="I43" s="55">
        <f t="shared" si="2"/>
        <v>416875.85399137344</v>
      </c>
    </row>
    <row r="44" spans="1:9" x14ac:dyDescent="0.25">
      <c r="A44" s="49">
        <f>'A) Base RI'!A35</f>
        <v>5435</v>
      </c>
      <c r="B44" s="32" t="str">
        <f>'A) Base RI'!B35</f>
        <v>Saint-Livres</v>
      </c>
      <c r="C44" s="31">
        <f>'D) Ecrêtage'!C33</f>
        <v>24134.317552979472</v>
      </c>
      <c r="D44" s="14">
        <f>'A) Base RI'!V35</f>
        <v>690</v>
      </c>
      <c r="E44" s="10">
        <f t="shared" si="0"/>
        <v>489504.58017846884</v>
      </c>
      <c r="F44" s="14">
        <f>'F) Population'!K36</f>
        <v>86163.229376257528</v>
      </c>
      <c r="G44" s="10">
        <f>'G) Solidarité'!I33</f>
        <v>128644.40748979892</v>
      </c>
      <c r="H44" s="14">
        <f t="shared" si="1"/>
        <v>214807.63686605645</v>
      </c>
      <c r="I44" s="55">
        <f t="shared" si="2"/>
        <v>274696.94331241236</v>
      </c>
    </row>
    <row r="45" spans="1:9" x14ac:dyDescent="0.25">
      <c r="A45" s="49">
        <f>'A) Base RI'!A36</f>
        <v>5436</v>
      </c>
      <c r="B45" s="32" t="str">
        <f>'A) Base RI'!B36</f>
        <v>Saint-Oyens</v>
      </c>
      <c r="C45" s="31">
        <f>'D) Ecrêtage'!C34</f>
        <v>15081.317332619743</v>
      </c>
      <c r="D45" s="14">
        <f>'A) Base RI'!V36</f>
        <v>448</v>
      </c>
      <c r="E45" s="10">
        <f t="shared" si="0"/>
        <v>305886.99652420502</v>
      </c>
      <c r="F45" s="14">
        <f>'F) Population'!K37</f>
        <v>55943.661971830981</v>
      </c>
      <c r="G45" s="10">
        <f>'G) Solidarité'!I34</f>
        <v>130457.90376857488</v>
      </c>
      <c r="H45" s="14">
        <f t="shared" si="1"/>
        <v>186401.56574040587</v>
      </c>
      <c r="I45" s="55">
        <f t="shared" si="2"/>
        <v>119485.43078379915</v>
      </c>
    </row>
    <row r="46" spans="1:9" x14ac:dyDescent="0.25">
      <c r="A46" s="49">
        <f>'A) Base RI'!A37</f>
        <v>5437</v>
      </c>
      <c r="B46" s="32" t="str">
        <f>'A) Base RI'!B37</f>
        <v>Saubraz</v>
      </c>
      <c r="C46" s="31">
        <f>'D) Ecrêtage'!C35</f>
        <v>11367.539443741156</v>
      </c>
      <c r="D46" s="14">
        <f>'A) Base RI'!V37</f>
        <v>418</v>
      </c>
      <c r="E46" s="10">
        <f t="shared" si="0"/>
        <v>230562.25272811769</v>
      </c>
      <c r="F46" s="14">
        <f>'F) Population'!K38</f>
        <v>52197.434607645868</v>
      </c>
      <c r="G46" s="10">
        <f>'G) Solidarité'!I35</f>
        <v>187545.9666583885</v>
      </c>
      <c r="H46" s="14">
        <f t="shared" si="1"/>
        <v>239743.40126603437</v>
      </c>
      <c r="I46" s="55">
        <f t="shared" si="2"/>
        <v>-9181.1485379166843</v>
      </c>
    </row>
    <row r="47" spans="1:9" x14ac:dyDescent="0.25">
      <c r="A47" s="49">
        <f>'A) Base RI'!A38</f>
        <v>5451</v>
      </c>
      <c r="B47" s="32" t="str">
        <f>'A) Base RI'!B38</f>
        <v>Avenches</v>
      </c>
      <c r="C47" s="31">
        <f>'D) Ecrêtage'!C36</f>
        <v>129470.05703979287</v>
      </c>
      <c r="D47" s="14">
        <f>'A) Base RI'!V38</f>
        <v>4282</v>
      </c>
      <c r="E47" s="10">
        <f t="shared" si="0"/>
        <v>2625977.9576457175</v>
      </c>
      <c r="F47" s="14">
        <f>'F) Population'!K39</f>
        <v>1464525.1509054324</v>
      </c>
      <c r="G47" s="10">
        <f>'G) Solidarité'!I36</f>
        <v>1148672.2094617363</v>
      </c>
      <c r="H47" s="14">
        <f t="shared" si="1"/>
        <v>2613197.3603671687</v>
      </c>
      <c r="I47" s="55">
        <f t="shared" si="2"/>
        <v>12780.59727854887</v>
      </c>
    </row>
    <row r="48" spans="1:9" x14ac:dyDescent="0.25">
      <c r="A48" s="49">
        <f>'A) Base RI'!A39</f>
        <v>5456</v>
      </c>
      <c r="B48" s="32" t="str">
        <f>'A) Base RI'!B39</f>
        <v>Cudrefin</v>
      </c>
      <c r="C48" s="31">
        <f>'D) Ecrêtage'!C37</f>
        <v>57775.409957876167</v>
      </c>
      <c r="D48" s="14">
        <f>'A) Base RI'!V39</f>
        <v>1633</v>
      </c>
      <c r="E48" s="10">
        <f t="shared" si="0"/>
        <v>1171830.4333232602</v>
      </c>
      <c r="F48" s="14">
        <f>'F) Population'!K40</f>
        <v>346201.35814889334</v>
      </c>
      <c r="G48" s="10">
        <f>'G) Solidarité'!I37</f>
        <v>213503.04046869511</v>
      </c>
      <c r="H48" s="14">
        <f t="shared" si="1"/>
        <v>559704.39861758845</v>
      </c>
      <c r="I48" s="55">
        <f t="shared" si="2"/>
        <v>612126.03470567171</v>
      </c>
    </row>
    <row r="49" spans="1:9" x14ac:dyDescent="0.25">
      <c r="A49" s="49">
        <f>'A) Base RI'!A40</f>
        <v>5458</v>
      </c>
      <c r="B49" s="32" t="str">
        <f>'A) Base RI'!B40</f>
        <v>Faoug</v>
      </c>
      <c r="C49" s="31">
        <f>'D) Ecrêtage'!C38</f>
        <v>30027.038437033407</v>
      </c>
      <c r="D49" s="14">
        <f>'A) Base RI'!V40</f>
        <v>904</v>
      </c>
      <c r="E49" s="10">
        <f t="shared" si="0"/>
        <v>609023.76095189049</v>
      </c>
      <c r="F49" s="14">
        <f>'F) Population'!K41</f>
        <v>112886.31790744465</v>
      </c>
      <c r="G49" s="10">
        <f>'G) Solidarité'!I38</f>
        <v>170937.68198401126</v>
      </c>
      <c r="H49" s="14">
        <f t="shared" si="1"/>
        <v>283823.99989145593</v>
      </c>
      <c r="I49" s="55">
        <f t="shared" si="2"/>
        <v>325199.76106043457</v>
      </c>
    </row>
    <row r="50" spans="1:9" x14ac:dyDescent="0.25">
      <c r="A50" s="49">
        <f>'A) Base RI'!A41</f>
        <v>5464</v>
      </c>
      <c r="B50" s="32" t="str">
        <f>'A) Base RI'!B41</f>
        <v>Vully-les-Lacs</v>
      </c>
      <c r="C50" s="31">
        <f>'D) Ecrêtage'!C39</f>
        <v>103697.32714902573</v>
      </c>
      <c r="D50" s="14">
        <f>'A) Base RI'!V41</f>
        <v>3163</v>
      </c>
      <c r="E50" s="10">
        <f t="shared" si="0"/>
        <v>2103242.2599182478</v>
      </c>
      <c r="F50" s="14">
        <f>'F) Population'!K42</f>
        <v>905588.02816901391</v>
      </c>
      <c r="G50" s="10">
        <f>'G) Solidarité'!I39</f>
        <v>679827.41448309261</v>
      </c>
      <c r="H50" s="14">
        <f t="shared" si="1"/>
        <v>1585415.4426521065</v>
      </c>
      <c r="I50" s="55">
        <f t="shared" si="2"/>
        <v>517826.8172661413</v>
      </c>
    </row>
    <row r="51" spans="1:9" x14ac:dyDescent="0.25">
      <c r="A51" s="49">
        <f>'A) Base RI'!A42</f>
        <v>5471</v>
      </c>
      <c r="B51" s="32" t="str">
        <f>'A) Base RI'!B42</f>
        <v>Bettens</v>
      </c>
      <c r="C51" s="31">
        <f>'D) Ecrêtage'!C40</f>
        <v>18256.794083184803</v>
      </c>
      <c r="D51" s="14">
        <f>'A) Base RI'!V42</f>
        <v>592</v>
      </c>
      <c r="E51" s="10">
        <f t="shared" si="0"/>
        <v>370293.6411388542</v>
      </c>
      <c r="F51" s="14">
        <f>'F) Population'!K43</f>
        <v>73925.553319919505</v>
      </c>
      <c r="G51" s="10">
        <f>'G) Solidarité'!I40</f>
        <v>161327.66498051718</v>
      </c>
      <c r="H51" s="14">
        <f t="shared" si="1"/>
        <v>235253.21830043668</v>
      </c>
      <c r="I51" s="55">
        <f t="shared" si="2"/>
        <v>135040.42283841752</v>
      </c>
    </row>
    <row r="52" spans="1:9" x14ac:dyDescent="0.25">
      <c r="A52" s="49">
        <f>'A) Base RI'!A43</f>
        <v>5472</v>
      </c>
      <c r="B52" s="32" t="str">
        <f>'A) Base RI'!B43</f>
        <v>Bournens</v>
      </c>
      <c r="C52" s="31">
        <f>'D) Ecrêtage'!C41</f>
        <v>16446.057551579073</v>
      </c>
      <c r="D52" s="14">
        <f>'A) Base RI'!V43</f>
        <v>404</v>
      </c>
      <c r="E52" s="10">
        <f t="shared" si="0"/>
        <v>333567.35609798908</v>
      </c>
      <c r="F52" s="14">
        <f>'F) Population'!K44</f>
        <v>50449.195171026149</v>
      </c>
      <c r="G52" s="10">
        <f>'G) Solidarité'!I41</f>
        <v>38204.227956195282</v>
      </c>
      <c r="H52" s="14">
        <f t="shared" si="1"/>
        <v>88653.423127221438</v>
      </c>
      <c r="I52" s="55">
        <f t="shared" si="2"/>
        <v>244913.93297076764</v>
      </c>
    </row>
    <row r="53" spans="1:9" x14ac:dyDescent="0.25">
      <c r="A53" s="49">
        <f>'A) Base RI'!A44</f>
        <v>5473</v>
      </c>
      <c r="B53" s="32" t="str">
        <f>'A) Base RI'!B44</f>
        <v>Boussens</v>
      </c>
      <c r="C53" s="31">
        <f>'D) Ecrêtage'!C42</f>
        <v>35765.75205607291</v>
      </c>
      <c r="D53" s="14">
        <f>'A) Base RI'!V44</f>
        <v>968</v>
      </c>
      <c r="E53" s="10">
        <f t="shared" si="0"/>
        <v>725419.28755776281</v>
      </c>
      <c r="F53" s="14">
        <f>'F) Population'!K45</f>
        <v>120878.26961770622</v>
      </c>
      <c r="G53" s="10">
        <f>'G) Solidarité'!I42</f>
        <v>144357.96357874287</v>
      </c>
      <c r="H53" s="14">
        <f t="shared" si="1"/>
        <v>265236.23319644912</v>
      </c>
      <c r="I53" s="55">
        <f t="shared" si="2"/>
        <v>460183.0543613137</v>
      </c>
    </row>
    <row r="54" spans="1:9" x14ac:dyDescent="0.25">
      <c r="A54" s="49">
        <f>'A) Base RI'!A45</f>
        <v>5474</v>
      </c>
      <c r="B54" s="32" t="str">
        <f>'A) Base RI'!B45</f>
        <v>La Chaux (Cossonay)</v>
      </c>
      <c r="C54" s="31">
        <f>'D) Ecrêtage'!C43</f>
        <v>12972.284673481885</v>
      </c>
      <c r="D54" s="14">
        <f>'A) Base RI'!V45</f>
        <v>410</v>
      </c>
      <c r="E54" s="10">
        <f t="shared" si="0"/>
        <v>263110.51676140749</v>
      </c>
      <c r="F54" s="14">
        <f>'F) Population'!K46</f>
        <v>51198.44064386317</v>
      </c>
      <c r="G54" s="10">
        <f>'G) Solidarité'!I43</f>
        <v>127455.463260765</v>
      </c>
      <c r="H54" s="14">
        <f t="shared" si="1"/>
        <v>178653.90390462818</v>
      </c>
      <c r="I54" s="55">
        <f t="shared" si="2"/>
        <v>84456.612856779306</v>
      </c>
    </row>
    <row r="55" spans="1:9" x14ac:dyDescent="0.25">
      <c r="A55" s="49">
        <f>'A) Base RI'!A46</f>
        <v>5475</v>
      </c>
      <c r="B55" s="32" t="str">
        <f>'A) Base RI'!B46</f>
        <v>Chavannes-le-Veyron</v>
      </c>
      <c r="C55" s="31">
        <f>'D) Ecrêtage'!C44</f>
        <v>4902.1559506290205</v>
      </c>
      <c r="D55" s="14">
        <f>'A) Base RI'!V46</f>
        <v>142</v>
      </c>
      <c r="E55" s="10">
        <f t="shared" si="0"/>
        <v>99428.035837947216</v>
      </c>
      <c r="F55" s="14">
        <f>'F) Population'!K47</f>
        <v>17732.142857142855</v>
      </c>
      <c r="G55" s="10">
        <f>'G) Solidarité'!I44</f>
        <v>34492.996686283092</v>
      </c>
      <c r="H55" s="14">
        <f t="shared" si="1"/>
        <v>52225.139543425947</v>
      </c>
      <c r="I55" s="55">
        <f t="shared" si="2"/>
        <v>47202.89629452127</v>
      </c>
    </row>
    <row r="56" spans="1:9" x14ac:dyDescent="0.25">
      <c r="A56" s="49">
        <f>'A) Base RI'!A47</f>
        <v>5476</v>
      </c>
      <c r="B56" s="32" t="str">
        <f>'A) Base RI'!B47</f>
        <v>Chevilly</v>
      </c>
      <c r="C56" s="31">
        <f>'D) Ecrêtage'!C45</f>
        <v>10687.030816086675</v>
      </c>
      <c r="D56" s="14">
        <f>'A) Base RI'!V47</f>
        <v>314</v>
      </c>
      <c r="E56" s="10">
        <f t="shared" si="0"/>
        <v>216759.82846828157</v>
      </c>
      <c r="F56" s="14">
        <f>'F) Population'!K48</f>
        <v>39210.513078470816</v>
      </c>
      <c r="G56" s="10">
        <f>'G) Solidarité'!I45</f>
        <v>73776.077810575254</v>
      </c>
      <c r="H56" s="14">
        <f t="shared" si="1"/>
        <v>112986.59088904607</v>
      </c>
      <c r="I56" s="55">
        <f t="shared" si="2"/>
        <v>103773.2375792355</v>
      </c>
    </row>
    <row r="57" spans="1:9" x14ac:dyDescent="0.25">
      <c r="A57" s="49">
        <f>'A) Base RI'!A48</f>
        <v>5477</v>
      </c>
      <c r="B57" s="32" t="str">
        <f>'A) Base RI'!B48</f>
        <v>Cossonay</v>
      </c>
      <c r="C57" s="31">
        <f>'D) Ecrêtage'!C46</f>
        <v>129587.92698014184</v>
      </c>
      <c r="D57" s="14">
        <f>'A) Base RI'!V48</f>
        <v>3871</v>
      </c>
      <c r="E57" s="10">
        <f t="shared" si="0"/>
        <v>2628368.6560998801</v>
      </c>
      <c r="F57" s="14">
        <f>'F) Population'!K49</f>
        <v>1259231.8913480884</v>
      </c>
      <c r="G57" s="10">
        <f>'G) Solidarité'!I46</f>
        <v>880602.68009447888</v>
      </c>
      <c r="H57" s="14">
        <f t="shared" si="1"/>
        <v>2139834.5714425673</v>
      </c>
      <c r="I57" s="55">
        <f t="shared" si="2"/>
        <v>488534.08465731284</v>
      </c>
    </row>
    <row r="58" spans="1:9" x14ac:dyDescent="0.25">
      <c r="A58" s="49">
        <f>'A) Base RI'!A49</f>
        <v>5478</v>
      </c>
      <c r="B58" s="32" t="str">
        <f>'A) Base RI'!B49</f>
        <v>Cottens</v>
      </c>
      <c r="C58" s="31">
        <f>'D) Ecrêtage'!C47</f>
        <v>14208.71013401275</v>
      </c>
      <c r="D58" s="14">
        <f>'A) Base RI'!V49</f>
        <v>486</v>
      </c>
      <c r="E58" s="10">
        <f t="shared" si="0"/>
        <v>288188.33073524456</v>
      </c>
      <c r="F58" s="14">
        <f>'F) Population'!K50</f>
        <v>60688.883299798785</v>
      </c>
      <c r="G58" s="10">
        <f>'G) Solidarité'!I47</f>
        <v>164975.38851925932</v>
      </c>
      <c r="H58" s="14">
        <f t="shared" si="1"/>
        <v>225664.27181905811</v>
      </c>
      <c r="I58" s="55">
        <f t="shared" si="2"/>
        <v>62524.058916186448</v>
      </c>
    </row>
    <row r="59" spans="1:9" x14ac:dyDescent="0.25">
      <c r="A59" s="49">
        <f>'A) Base RI'!A50</f>
        <v>5479</v>
      </c>
      <c r="B59" s="32" t="str">
        <f>'A) Base RI'!B50</f>
        <v>Cuarnens</v>
      </c>
      <c r="C59" s="31">
        <f>'D) Ecrêtage'!C48</f>
        <v>16421.228790353522</v>
      </c>
      <c r="D59" s="14">
        <f>'A) Base RI'!V50</f>
        <v>479</v>
      </c>
      <c r="E59" s="10">
        <f t="shared" si="0"/>
        <v>333063.76645583799</v>
      </c>
      <c r="F59" s="14">
        <f>'F) Population'!K51</f>
        <v>59814.763581488922</v>
      </c>
      <c r="G59" s="10">
        <f>'G) Solidarité'!I48</f>
        <v>119062.44302860564</v>
      </c>
      <c r="H59" s="14">
        <f t="shared" si="1"/>
        <v>178877.20661009458</v>
      </c>
      <c r="I59" s="55">
        <f t="shared" si="2"/>
        <v>154186.55984574341</v>
      </c>
    </row>
    <row r="60" spans="1:9" x14ac:dyDescent="0.25">
      <c r="A60" s="49">
        <f>'A) Base RI'!A51</f>
        <v>5480</v>
      </c>
      <c r="B60" s="32" t="str">
        <f>'A) Base RI'!B51</f>
        <v>Daillens</v>
      </c>
      <c r="C60" s="31">
        <f>'D) Ecrêtage'!C49</f>
        <v>41263.325123050025</v>
      </c>
      <c r="D60" s="14">
        <f>'A) Base RI'!V51</f>
        <v>1027</v>
      </c>
      <c r="E60" s="10">
        <f t="shared" si="0"/>
        <v>836923.87807471596</v>
      </c>
      <c r="F60" s="14">
        <f>'F) Population'!K52</f>
        <v>134314.73843058347</v>
      </c>
      <c r="G60" s="10">
        <f>'G) Solidarité'!I49</f>
        <v>95661.485814351341</v>
      </c>
      <c r="H60" s="14">
        <f t="shared" si="1"/>
        <v>229976.2242449348</v>
      </c>
      <c r="I60" s="55">
        <f t="shared" si="2"/>
        <v>606947.65382978111</v>
      </c>
    </row>
    <row r="61" spans="1:9" x14ac:dyDescent="0.25">
      <c r="A61" s="49">
        <f>'A) Base RI'!A52</f>
        <v>5481</v>
      </c>
      <c r="B61" s="32" t="str">
        <f>'A) Base RI'!B52</f>
        <v>Dizy</v>
      </c>
      <c r="C61" s="31">
        <f>'D) Ecrêtage'!C50</f>
        <v>10892.048755040036</v>
      </c>
      <c r="D61" s="14">
        <f>'A) Base RI'!V52</f>
        <v>223</v>
      </c>
      <c r="E61" s="10">
        <f t="shared" si="0"/>
        <v>220918.10723113103</v>
      </c>
      <c r="F61" s="14">
        <f>'F) Population'!K53</f>
        <v>27846.956740442653</v>
      </c>
      <c r="G61" s="10">
        <f>'G) Solidarité'!I50</f>
        <v>0</v>
      </c>
      <c r="H61" s="14">
        <f t="shared" si="1"/>
        <v>27846.956740442653</v>
      </c>
      <c r="I61" s="55">
        <f t="shared" si="2"/>
        <v>193071.15049068836</v>
      </c>
    </row>
    <row r="62" spans="1:9" x14ac:dyDescent="0.25">
      <c r="A62" s="49">
        <f>'A) Base RI'!A53</f>
        <v>5482</v>
      </c>
      <c r="B62" s="32" t="str">
        <f>'A) Base RI'!B53</f>
        <v>Eclépens</v>
      </c>
      <c r="C62" s="31">
        <f>'D) Ecrêtage'!C51</f>
        <v>46793.329731079626</v>
      </c>
      <c r="D62" s="14">
        <f>'A) Base RI'!V53</f>
        <v>1211</v>
      </c>
      <c r="E62" s="10">
        <f t="shared" si="0"/>
        <v>949086.26170525467</v>
      </c>
      <c r="F62" s="14">
        <f>'F) Population'!K54</f>
        <v>198649.9496981891</v>
      </c>
      <c r="G62" s="10">
        <f>'G) Solidarité'!I51</f>
        <v>63023.029093024947</v>
      </c>
      <c r="H62" s="14">
        <f t="shared" si="1"/>
        <v>261672.97879121406</v>
      </c>
      <c r="I62" s="55">
        <f t="shared" si="2"/>
        <v>687413.28291404061</v>
      </c>
    </row>
    <row r="63" spans="1:9" x14ac:dyDescent="0.25">
      <c r="A63" s="49">
        <f>'A) Base RI'!A54</f>
        <v>5483</v>
      </c>
      <c r="B63" s="32" t="str">
        <f>'A) Base RI'!B54</f>
        <v>Ferreyres</v>
      </c>
      <c r="C63" s="31">
        <f>'D) Ecrêtage'!C52</f>
        <v>8879.9356567959585</v>
      </c>
      <c r="D63" s="14">
        <f>'A) Base RI'!V54</f>
        <v>310</v>
      </c>
      <c r="E63" s="10">
        <f t="shared" si="0"/>
        <v>180107.39960430728</v>
      </c>
      <c r="F63" s="14">
        <f>'F) Population'!K55</f>
        <v>38711.016096579471</v>
      </c>
      <c r="G63" s="10">
        <f>'G) Solidarité'!I52</f>
        <v>115204.72512593852</v>
      </c>
      <c r="H63" s="14">
        <f t="shared" si="1"/>
        <v>153915.741222518</v>
      </c>
      <c r="I63" s="55">
        <f t="shared" si="2"/>
        <v>26191.658381789282</v>
      </c>
    </row>
    <row r="64" spans="1:9" x14ac:dyDescent="0.25">
      <c r="A64" s="49">
        <f>'A) Base RI'!A55</f>
        <v>5484</v>
      </c>
      <c r="B64" s="32" t="str">
        <f>'A) Base RI'!B55</f>
        <v>Gollion</v>
      </c>
      <c r="C64" s="31">
        <f>'D) Ecrêtage'!C53</f>
        <v>31794.268758715236</v>
      </c>
      <c r="D64" s="14">
        <f>'A) Base RI'!V55</f>
        <v>939</v>
      </c>
      <c r="E64" s="10">
        <f t="shared" si="0"/>
        <v>644867.63077727647</v>
      </c>
      <c r="F64" s="14">
        <f>'F) Population'!K56</f>
        <v>117256.91649899395</v>
      </c>
      <c r="G64" s="10">
        <f>'G) Solidarité'!I53</f>
        <v>224210.08847025016</v>
      </c>
      <c r="H64" s="14">
        <f t="shared" si="1"/>
        <v>341467.00496924412</v>
      </c>
      <c r="I64" s="55">
        <f t="shared" si="2"/>
        <v>303400.62580803235</v>
      </c>
    </row>
    <row r="65" spans="1:9" x14ac:dyDescent="0.25">
      <c r="A65" s="49">
        <f>'A) Base RI'!A56</f>
        <v>5485</v>
      </c>
      <c r="B65" s="32" t="str">
        <f>'A) Base RI'!B56</f>
        <v>Grancy</v>
      </c>
      <c r="C65" s="31">
        <f>'D) Ecrêtage'!C54</f>
        <v>18552.92429477413</v>
      </c>
      <c r="D65" s="14">
        <f>'A) Base RI'!V56</f>
        <v>398</v>
      </c>
      <c r="E65" s="10">
        <f t="shared" si="0"/>
        <v>376299.90564515255</v>
      </c>
      <c r="F65" s="14">
        <f>'F) Population'!K57</f>
        <v>49699.949698189128</v>
      </c>
      <c r="G65" s="10">
        <f>'G) Solidarité'!I54</f>
        <v>0</v>
      </c>
      <c r="H65" s="14">
        <f t="shared" si="1"/>
        <v>49699.949698189128</v>
      </c>
      <c r="I65" s="55">
        <f t="shared" si="2"/>
        <v>326599.9559469634</v>
      </c>
    </row>
    <row r="66" spans="1:9" x14ac:dyDescent="0.25">
      <c r="A66" s="49">
        <f>'A) Base RI'!A57</f>
        <v>5486</v>
      </c>
      <c r="B66" s="32" t="str">
        <f>'A) Base RI'!B57</f>
        <v>L'Isle</v>
      </c>
      <c r="C66" s="31">
        <f>'D) Ecrêtage'!C55</f>
        <v>30546.431240274927</v>
      </c>
      <c r="D66" s="14">
        <f>'A) Base RI'!V57</f>
        <v>1005</v>
      </c>
      <c r="E66" s="10">
        <f t="shared" si="0"/>
        <v>619558.35160440602</v>
      </c>
      <c r="F66" s="14">
        <f>'F) Population'!K58</f>
        <v>126622.48490945672</v>
      </c>
      <c r="G66" s="10">
        <f>'G) Solidarité'!I55</f>
        <v>333103.06887461239</v>
      </c>
      <c r="H66" s="14">
        <f t="shared" si="1"/>
        <v>459725.55378406914</v>
      </c>
      <c r="I66" s="55">
        <f t="shared" si="2"/>
        <v>159832.79782033688</v>
      </c>
    </row>
    <row r="67" spans="1:9" x14ac:dyDescent="0.25">
      <c r="A67" s="49">
        <f>'A) Base RI'!A58</f>
        <v>5487</v>
      </c>
      <c r="B67" s="32" t="str">
        <f>'A) Base RI'!B58</f>
        <v>Lussery-Villars</v>
      </c>
      <c r="C67" s="31">
        <f>'D) Ecrêtage'!C56</f>
        <v>14615.228333906985</v>
      </c>
      <c r="D67" s="14">
        <f>'A) Base RI'!V58</f>
        <v>462</v>
      </c>
      <c r="E67" s="10">
        <f t="shared" si="0"/>
        <v>296433.5409152013</v>
      </c>
      <c r="F67" s="14">
        <f>'F) Population'!K59</f>
        <v>57691.901408450693</v>
      </c>
      <c r="G67" s="10">
        <f>'G) Solidarité'!I56</f>
        <v>136308.5630190981</v>
      </c>
      <c r="H67" s="14">
        <f t="shared" si="1"/>
        <v>194000.46442754881</v>
      </c>
      <c r="I67" s="55">
        <f t="shared" si="2"/>
        <v>102433.07648765249</v>
      </c>
    </row>
    <row r="68" spans="1:9" x14ac:dyDescent="0.25">
      <c r="A68" s="49">
        <f>'A) Base RI'!A59</f>
        <v>5488</v>
      </c>
      <c r="B68" s="32" t="str">
        <f>'A) Base RI'!B59</f>
        <v>Mauraz</v>
      </c>
      <c r="C68" s="31">
        <f>'D) Ecrêtage'!C57</f>
        <v>1907.69174397183</v>
      </c>
      <c r="D68" s="14">
        <f>'A) Base RI'!V59</f>
        <v>59</v>
      </c>
      <c r="E68" s="10">
        <f t="shared" si="0"/>
        <v>38692.780278246464</v>
      </c>
      <c r="F68" s="14">
        <f>'F) Population'!K60</f>
        <v>7367.5804828973833</v>
      </c>
      <c r="G68" s="10">
        <f>'G) Solidarité'!I57</f>
        <v>17829.994325306929</v>
      </c>
      <c r="H68" s="14">
        <f t="shared" si="1"/>
        <v>25197.574808204314</v>
      </c>
      <c r="I68" s="55">
        <f t="shared" si="2"/>
        <v>13495.20547004215</v>
      </c>
    </row>
    <row r="69" spans="1:9" x14ac:dyDescent="0.25">
      <c r="A69" s="49">
        <f>'A) Base RI'!A60</f>
        <v>5489</v>
      </c>
      <c r="B69" s="32" t="str">
        <f>'A) Base RI'!B60</f>
        <v>Mex</v>
      </c>
      <c r="C69" s="31">
        <f>'D) Ecrêtage'!C58</f>
        <v>59050.274266098029</v>
      </c>
      <c r="D69" s="14">
        <f>'A) Base RI'!V60</f>
        <v>725</v>
      </c>
      <c r="E69" s="10">
        <f t="shared" si="0"/>
        <v>1197687.8836783716</v>
      </c>
      <c r="F69" s="14">
        <f>'F) Population'!K61</f>
        <v>90533.827967806821</v>
      </c>
      <c r="G69" s="10">
        <f>'G) Solidarité'!I58</f>
        <v>0</v>
      </c>
      <c r="H69" s="14">
        <f t="shared" si="1"/>
        <v>90533.827967806821</v>
      </c>
      <c r="I69" s="55">
        <f t="shared" si="2"/>
        <v>1107154.0557105648</v>
      </c>
    </row>
    <row r="70" spans="1:9" x14ac:dyDescent="0.25">
      <c r="A70" s="49">
        <f>'A) Base RI'!A61</f>
        <v>5490</v>
      </c>
      <c r="B70" s="32" t="str">
        <f>'A) Base RI'!B61</f>
        <v>Moiry</v>
      </c>
      <c r="C70" s="31">
        <f>'D) Ecrêtage'!C59</f>
        <v>9338.2754275452353</v>
      </c>
      <c r="D70" s="14">
        <f>'A) Base RI'!V61</f>
        <v>310</v>
      </c>
      <c r="E70" s="10">
        <f t="shared" si="0"/>
        <v>189403.68140582117</v>
      </c>
      <c r="F70" s="14">
        <f>'F) Population'!K62</f>
        <v>38711.016096579471</v>
      </c>
      <c r="G70" s="10">
        <f>'G) Solidarité'!I59</f>
        <v>115986.33095801609</v>
      </c>
      <c r="H70" s="14">
        <f t="shared" si="1"/>
        <v>154697.34705459556</v>
      </c>
      <c r="I70" s="55">
        <f t="shared" si="2"/>
        <v>34706.334351225611</v>
      </c>
    </row>
    <row r="71" spans="1:9" x14ac:dyDescent="0.25">
      <c r="A71" s="49">
        <f>'A) Base RI'!A62</f>
        <v>5491</v>
      </c>
      <c r="B71" s="32" t="str">
        <f>'A) Base RI'!B62</f>
        <v>Mont-la-Ville</v>
      </c>
      <c r="C71" s="31">
        <f>'D) Ecrêtage'!C60</f>
        <v>12342.149373733142</v>
      </c>
      <c r="D71" s="14">
        <f>'A) Base RI'!V62</f>
        <v>466</v>
      </c>
      <c r="E71" s="10">
        <f t="shared" si="0"/>
        <v>250329.7901184425</v>
      </c>
      <c r="F71" s="14">
        <f>'F) Population'!K63</f>
        <v>58191.398390342045</v>
      </c>
      <c r="G71" s="10">
        <f>'G) Solidarité'!I60</f>
        <v>196293.49981105467</v>
      </c>
      <c r="H71" s="14">
        <f t="shared" si="1"/>
        <v>254484.89820139672</v>
      </c>
      <c r="I71" s="55">
        <f t="shared" si="2"/>
        <v>-4155.1080829542188</v>
      </c>
    </row>
    <row r="72" spans="1:9" x14ac:dyDescent="0.25">
      <c r="A72" s="49">
        <f>'A) Base RI'!A63</f>
        <v>5492</v>
      </c>
      <c r="B72" s="32" t="str">
        <f>'A) Base RI'!B63</f>
        <v>Montricher</v>
      </c>
      <c r="C72" s="31">
        <f>'D) Ecrêtage'!C61</f>
        <v>235377.8890618468</v>
      </c>
      <c r="D72" s="14">
        <f>'A) Base RI'!V63</f>
        <v>940</v>
      </c>
      <c r="E72" s="10">
        <f t="shared" si="0"/>
        <v>4774054.8087007897</v>
      </c>
      <c r="F72" s="14">
        <f>'F) Population'!K64</f>
        <v>117381.79074446678</v>
      </c>
      <c r="G72" s="10">
        <f>'G) Solidarité'!I61</f>
        <v>0</v>
      </c>
      <c r="H72" s="14">
        <f t="shared" si="1"/>
        <v>117381.79074446678</v>
      </c>
      <c r="I72" s="55">
        <f t="shared" si="2"/>
        <v>4656673.017956323</v>
      </c>
    </row>
    <row r="73" spans="1:9" x14ac:dyDescent="0.25">
      <c r="A73" s="49">
        <f>'A) Base RI'!A64</f>
        <v>5493</v>
      </c>
      <c r="B73" s="32" t="str">
        <f>'A) Base RI'!B64</f>
        <v>Orny</v>
      </c>
      <c r="C73" s="31">
        <f>'D) Ecrêtage'!C62</f>
        <v>10742.508207895562</v>
      </c>
      <c r="D73" s="14">
        <f>'A) Base RI'!V64</f>
        <v>368</v>
      </c>
      <c r="E73" s="10">
        <f t="shared" si="0"/>
        <v>217885.049321417</v>
      </c>
      <c r="F73" s="14">
        <f>'F) Population'!K65</f>
        <v>45953.722334004015</v>
      </c>
      <c r="G73" s="10">
        <f>'G) Solidarité'!I62</f>
        <v>121912.71429978036</v>
      </c>
      <c r="H73" s="14">
        <f t="shared" si="1"/>
        <v>167866.43663378438</v>
      </c>
      <c r="I73" s="55">
        <f t="shared" si="2"/>
        <v>50018.612687632616</v>
      </c>
    </row>
    <row r="74" spans="1:9" x14ac:dyDescent="0.25">
      <c r="A74" s="49">
        <f>'A) Base RI'!A65</f>
        <v>5494</v>
      </c>
      <c r="B74" s="32" t="str">
        <f>'A) Base RI'!B65</f>
        <v>Pampigny</v>
      </c>
      <c r="C74" s="31">
        <f>'D) Ecrêtage'!C63</f>
        <v>37463.804333090258</v>
      </c>
      <c r="D74" s="14">
        <f>'A) Base RI'!V65</f>
        <v>1113</v>
      </c>
      <c r="E74" s="10">
        <f t="shared" si="0"/>
        <v>759860.05287701485</v>
      </c>
      <c r="F74" s="14">
        <f>'F) Population'!K66</f>
        <v>164384.45674044263</v>
      </c>
      <c r="G74" s="10">
        <f>'G) Solidarité'!I63</f>
        <v>277954.92686471128</v>
      </c>
      <c r="H74" s="14">
        <f t="shared" si="1"/>
        <v>442339.38360515388</v>
      </c>
      <c r="I74" s="55">
        <f t="shared" si="2"/>
        <v>317520.66927186097</v>
      </c>
    </row>
    <row r="75" spans="1:9" x14ac:dyDescent="0.25">
      <c r="A75" s="49">
        <f>'A) Base RI'!A66</f>
        <v>5495</v>
      </c>
      <c r="B75" s="32" t="str">
        <f>'A) Base RI'!B66</f>
        <v>Penthalaz</v>
      </c>
      <c r="C75" s="31">
        <f>'D) Ecrêtage'!C64</f>
        <v>91501.360926624242</v>
      </c>
      <c r="D75" s="14">
        <f>'A) Base RI'!V66</f>
        <v>3283</v>
      </c>
      <c r="E75" s="10">
        <f t="shared" si="0"/>
        <v>1855877.4312893806</v>
      </c>
      <c r="F75" s="14">
        <f>'F) Population'!K67</f>
        <v>965527.66599597572</v>
      </c>
      <c r="G75" s="10">
        <f>'G) Solidarité'!I64</f>
        <v>1211995.3744299682</v>
      </c>
      <c r="H75" s="14">
        <f t="shared" si="1"/>
        <v>2177523.0404259441</v>
      </c>
      <c r="I75" s="55">
        <f t="shared" si="2"/>
        <v>-321645.60913656349</v>
      </c>
    </row>
    <row r="76" spans="1:9" x14ac:dyDescent="0.25">
      <c r="A76" s="49">
        <f>'A) Base RI'!A67</f>
        <v>5496</v>
      </c>
      <c r="B76" s="32" t="str">
        <f>'A) Base RI'!B67</f>
        <v>Penthaz</v>
      </c>
      <c r="C76" s="31">
        <f>'D) Ecrêtage'!C65</f>
        <v>56734.953960585386</v>
      </c>
      <c r="D76" s="14">
        <f>'A) Base RI'!V67</f>
        <v>1747</v>
      </c>
      <c r="E76" s="10">
        <f t="shared" si="0"/>
        <v>1150727.3722969866</v>
      </c>
      <c r="F76" s="14">
        <f>'F) Population'!K68</f>
        <v>386061.21730382286</v>
      </c>
      <c r="G76" s="10">
        <f>'G) Solidarité'!I65</f>
        <v>432472.35413579457</v>
      </c>
      <c r="H76" s="14">
        <f t="shared" si="1"/>
        <v>818533.57143961743</v>
      </c>
      <c r="I76" s="55">
        <f t="shared" si="2"/>
        <v>332193.80085736921</v>
      </c>
    </row>
    <row r="77" spans="1:9" x14ac:dyDescent="0.25">
      <c r="A77" s="49">
        <f>'A) Base RI'!A68</f>
        <v>5497</v>
      </c>
      <c r="B77" s="32" t="str">
        <f>'A) Base RI'!B68</f>
        <v>Pompaples</v>
      </c>
      <c r="C77" s="31">
        <f>'D) Ecrêtage'!C66</f>
        <v>22161.340037381338</v>
      </c>
      <c r="D77" s="14">
        <f>'A) Base RI'!V68</f>
        <v>847</v>
      </c>
      <c r="E77" s="10">
        <f t="shared" si="0"/>
        <v>449487.64046785358</v>
      </c>
      <c r="F77" s="14">
        <f>'F) Population'!K69</f>
        <v>105768.48591549294</v>
      </c>
      <c r="G77" s="10">
        <f>'G) Solidarité'!I66</f>
        <v>273775.60756101308</v>
      </c>
      <c r="H77" s="14">
        <f t="shared" si="1"/>
        <v>379544.09347650601</v>
      </c>
      <c r="I77" s="55">
        <f t="shared" si="2"/>
        <v>69943.546991347568</v>
      </c>
    </row>
    <row r="78" spans="1:9" x14ac:dyDescent="0.25">
      <c r="A78" s="49">
        <f>'A) Base RI'!A69</f>
        <v>5498</v>
      </c>
      <c r="B78" s="32" t="str">
        <f>'A) Base RI'!B69</f>
        <v>La Sarraz</v>
      </c>
      <c r="C78" s="31">
        <f>'D) Ecrêtage'!C67</f>
        <v>77385.435956102505</v>
      </c>
      <c r="D78" s="14">
        <f>'A) Base RI'!V69</f>
        <v>2596</v>
      </c>
      <c r="E78" s="10">
        <f t="shared" si="0"/>
        <v>1569571.0167260666</v>
      </c>
      <c r="F78" s="14">
        <f>'F) Population'!K70</f>
        <v>682912.27364185103</v>
      </c>
      <c r="G78" s="10">
        <f>'G) Solidarité'!I67</f>
        <v>675204.01732523041</v>
      </c>
      <c r="H78" s="14">
        <f t="shared" si="1"/>
        <v>1358116.2909670814</v>
      </c>
      <c r="I78" s="55">
        <f t="shared" si="2"/>
        <v>211454.72575898515</v>
      </c>
    </row>
    <row r="79" spans="1:9" x14ac:dyDescent="0.25">
      <c r="A79" s="49">
        <f>'A) Base RI'!A70</f>
        <v>5499</v>
      </c>
      <c r="B79" s="32" t="str">
        <f>'A) Base RI'!B70</f>
        <v>Senarclens</v>
      </c>
      <c r="C79" s="31">
        <f>'D) Ecrêtage'!C68</f>
        <v>23640.951925367579</v>
      </c>
      <c r="D79" s="14">
        <f>'A) Base RI'!V70</f>
        <v>488</v>
      </c>
      <c r="E79" s="10">
        <f t="shared" si="0"/>
        <v>479497.8860223777</v>
      </c>
      <c r="F79" s="14">
        <f>'F) Population'!K71</f>
        <v>60938.631790744461</v>
      </c>
      <c r="G79" s="10">
        <f>'G) Solidarité'!I68</f>
        <v>0</v>
      </c>
      <c r="H79" s="14">
        <f t="shared" si="1"/>
        <v>60938.631790744461</v>
      </c>
      <c r="I79" s="55">
        <f t="shared" si="2"/>
        <v>418559.25423163327</v>
      </c>
    </row>
    <row r="80" spans="1:9" x14ac:dyDescent="0.25">
      <c r="A80" s="49">
        <f>'A) Base RI'!A71</f>
        <v>5500</v>
      </c>
      <c r="B80" s="32" t="str">
        <f>'A) Base RI'!B71</f>
        <v>Sévery</v>
      </c>
      <c r="C80" s="31">
        <f>'D) Ecrêtage'!C69</f>
        <v>6301.5037699957575</v>
      </c>
      <c r="D80" s="14">
        <f>'A) Base RI'!V71</f>
        <v>225</v>
      </c>
      <c r="E80" s="10">
        <f t="shared" si="0"/>
        <v>127810.3244748267</v>
      </c>
      <c r="F80" s="14">
        <f>'F) Population'!K72</f>
        <v>28096.705231388325</v>
      </c>
      <c r="G80" s="10">
        <f>'G) Solidarité'!I69</f>
        <v>84642.576049910029</v>
      </c>
      <c r="H80" s="14">
        <f t="shared" si="1"/>
        <v>112739.28128129835</v>
      </c>
      <c r="I80" s="55">
        <f t="shared" si="2"/>
        <v>15071.043193528356</v>
      </c>
    </row>
    <row r="81" spans="1:9" x14ac:dyDescent="0.25">
      <c r="A81" s="49">
        <f>'A) Base RI'!A72</f>
        <v>5501</v>
      </c>
      <c r="B81" s="32" t="str">
        <f>'A) Base RI'!B72</f>
        <v>Sullens</v>
      </c>
      <c r="C81" s="31">
        <f>'D) Ecrêtage'!C70</f>
        <v>37513.894014769903</v>
      </c>
      <c r="D81" s="14">
        <f>'A) Base RI'!V72</f>
        <v>1036</v>
      </c>
      <c r="E81" s="10">
        <f t="shared" ref="E81:E144" si="3">C81*E$15</f>
        <v>760875.99743596255</v>
      </c>
      <c r="F81" s="14">
        <f>'F) Population'!K73</f>
        <v>137461.56941649897</v>
      </c>
      <c r="G81" s="10">
        <f>'G) Solidarité'!I70</f>
        <v>173902.01703859997</v>
      </c>
      <c r="H81" s="14">
        <f t="shared" ref="H81:H144" si="4">F81+G81</f>
        <v>311363.58645509894</v>
      </c>
      <c r="I81" s="55">
        <f t="shared" ref="I81:I144" si="5">E81-H81</f>
        <v>449512.41098086361</v>
      </c>
    </row>
    <row r="82" spans="1:9" x14ac:dyDescent="0.25">
      <c r="A82" s="49">
        <f>'A) Base RI'!A73</f>
        <v>5503</v>
      </c>
      <c r="B82" s="32" t="str">
        <f>'A) Base RI'!B73</f>
        <v>Vufflens-la-Ville</v>
      </c>
      <c r="C82" s="31">
        <f>'D) Ecrêtage'!C71</f>
        <v>71529.073769442432</v>
      </c>
      <c r="D82" s="14">
        <f>'A) Base RI'!V73</f>
        <v>1298</v>
      </c>
      <c r="E82" s="10">
        <f t="shared" si="3"/>
        <v>1450789.2816610038</v>
      </c>
      <c r="F82" s="14">
        <f>'F) Population'!K74</f>
        <v>229069.31589537219</v>
      </c>
      <c r="G82" s="10">
        <f>'G) Solidarité'!I71</f>
        <v>0</v>
      </c>
      <c r="H82" s="14">
        <f t="shared" si="4"/>
        <v>229069.31589537219</v>
      </c>
      <c r="I82" s="55">
        <f t="shared" si="5"/>
        <v>1221719.9657656318</v>
      </c>
    </row>
    <row r="83" spans="1:9" x14ac:dyDescent="0.25">
      <c r="A83" s="49">
        <f>'A) Base RI'!A74</f>
        <v>5511</v>
      </c>
      <c r="B83" s="32" t="str">
        <f>'A) Base RI'!B74</f>
        <v>Assens</v>
      </c>
      <c r="C83" s="31">
        <f>'D) Ecrêtage'!C72</f>
        <v>42924.75672243804</v>
      </c>
      <c r="D83" s="14">
        <f>'A) Base RI'!V74</f>
        <v>1077</v>
      </c>
      <c r="E83" s="10">
        <f t="shared" si="3"/>
        <v>870621.88406839571</v>
      </c>
      <c r="F83" s="14">
        <f>'F) Population'!K75</f>
        <v>151797.13279678067</v>
      </c>
      <c r="G83" s="10">
        <f>'G) Solidarité'!I72</f>
        <v>104283.55954565914</v>
      </c>
      <c r="H83" s="14">
        <f t="shared" si="4"/>
        <v>256080.69234243981</v>
      </c>
      <c r="I83" s="55">
        <f t="shared" si="5"/>
        <v>614541.19172595593</v>
      </c>
    </row>
    <row r="84" spans="1:9" x14ac:dyDescent="0.25">
      <c r="A84" s="49">
        <f>'A) Base RI'!A75</f>
        <v>5512</v>
      </c>
      <c r="B84" s="32" t="str">
        <f>'A) Base RI'!B75</f>
        <v>Bercher</v>
      </c>
      <c r="C84" s="31">
        <f>'D) Ecrêtage'!C73</f>
        <v>37044.132282785904</v>
      </c>
      <c r="D84" s="14">
        <f>'A) Base RI'!V75</f>
        <v>1239</v>
      </c>
      <c r="E84" s="10">
        <f t="shared" si="3"/>
        <v>751348.04957110365</v>
      </c>
      <c r="F84" s="14">
        <f>'F) Population'!K76</f>
        <v>208440.09054325952</v>
      </c>
      <c r="G84" s="10">
        <f>'G) Solidarité'!I73</f>
        <v>458974.40564233286</v>
      </c>
      <c r="H84" s="14">
        <f t="shared" si="4"/>
        <v>667414.49618559238</v>
      </c>
      <c r="I84" s="55">
        <f t="shared" si="5"/>
        <v>83933.553385511274</v>
      </c>
    </row>
    <row r="85" spans="1:9" x14ac:dyDescent="0.25">
      <c r="A85" s="49">
        <f>'A) Base RI'!A76</f>
        <v>5513</v>
      </c>
      <c r="B85" s="32" t="str">
        <f>'A) Base RI'!B76</f>
        <v>Bioley-Orjulaz</v>
      </c>
      <c r="C85" s="31">
        <f>'D) Ecrêtage'!C74</f>
        <v>21181.93028195855</v>
      </c>
      <c r="D85" s="14">
        <f>'A) Base RI'!V76</f>
        <v>516</v>
      </c>
      <c r="E85" s="10">
        <f t="shared" si="3"/>
        <v>429622.7505616651</v>
      </c>
      <c r="F85" s="14">
        <f>'F) Population'!K77</f>
        <v>64435.110663983891</v>
      </c>
      <c r="G85" s="10">
        <f>'G) Solidarité'!I74</f>
        <v>35816.851322092538</v>
      </c>
      <c r="H85" s="14">
        <f t="shared" si="4"/>
        <v>100251.96198607644</v>
      </c>
      <c r="I85" s="55">
        <f t="shared" si="5"/>
        <v>329370.78857558867</v>
      </c>
    </row>
    <row r="86" spans="1:9" x14ac:dyDescent="0.25">
      <c r="A86" s="49">
        <f>'A) Base RI'!A77</f>
        <v>5514</v>
      </c>
      <c r="B86" s="32" t="str">
        <f>'A) Base RI'!B77</f>
        <v>Bottens</v>
      </c>
      <c r="C86" s="31">
        <f>'D) Ecrêtage'!C75</f>
        <v>44638.492368569219</v>
      </c>
      <c r="D86" s="14">
        <f>'A) Base RI'!V77</f>
        <v>1298</v>
      </c>
      <c r="E86" s="10">
        <f t="shared" si="3"/>
        <v>905380.74750651908</v>
      </c>
      <c r="F86" s="14">
        <f>'F) Population'!K78</f>
        <v>229069.31589537219</v>
      </c>
      <c r="G86" s="10">
        <f>'G) Solidarité'!I75</f>
        <v>256426.74962865989</v>
      </c>
      <c r="H86" s="14">
        <f t="shared" si="4"/>
        <v>485496.06552403211</v>
      </c>
      <c r="I86" s="55">
        <f t="shared" si="5"/>
        <v>419884.68198248697</v>
      </c>
    </row>
    <row r="87" spans="1:9" x14ac:dyDescent="0.25">
      <c r="A87" s="49">
        <f>'A) Base RI'!A78</f>
        <v>5515</v>
      </c>
      <c r="B87" s="32" t="str">
        <f>'A) Base RI'!B78</f>
        <v>Bretigny-sur-Morrens</v>
      </c>
      <c r="C87" s="31">
        <f>'D) Ecrêtage'!C76</f>
        <v>28831.158924958156</v>
      </c>
      <c r="D87" s="14">
        <f>'A) Base RI'!V78</f>
        <v>843</v>
      </c>
      <c r="E87" s="10">
        <f t="shared" si="3"/>
        <v>584768.32065541693</v>
      </c>
      <c r="F87" s="14">
        <f>'F) Population'!K79</f>
        <v>105268.98893360159</v>
      </c>
      <c r="G87" s="10">
        <f>'G) Solidarité'!I76</f>
        <v>233671.59755097076</v>
      </c>
      <c r="H87" s="14">
        <f t="shared" si="4"/>
        <v>338940.58648457238</v>
      </c>
      <c r="I87" s="55">
        <f t="shared" si="5"/>
        <v>245827.73417084455</v>
      </c>
    </row>
    <row r="88" spans="1:9" x14ac:dyDescent="0.25">
      <c r="A88" s="49">
        <f>'A) Base RI'!A79</f>
        <v>5516</v>
      </c>
      <c r="B88" s="32" t="str">
        <f>'A) Base RI'!B79</f>
        <v>Cugy</v>
      </c>
      <c r="C88" s="31">
        <f>'D) Ecrêtage'!C77</f>
        <v>111243.36559703569</v>
      </c>
      <c r="D88" s="14">
        <f>'A) Base RI'!V79</f>
        <v>2742</v>
      </c>
      <c r="E88" s="10">
        <f t="shared" si="3"/>
        <v>2256294.8736660802</v>
      </c>
      <c r="F88" s="14">
        <f>'F) Population'!K80</f>
        <v>733960.86519114685</v>
      </c>
      <c r="G88" s="10">
        <f>'G) Solidarité'!I77</f>
        <v>282272.05540060136</v>
      </c>
      <c r="H88" s="14">
        <f t="shared" si="4"/>
        <v>1016232.9205917482</v>
      </c>
      <c r="I88" s="55">
        <f t="shared" si="5"/>
        <v>1240061.9530743319</v>
      </c>
    </row>
    <row r="89" spans="1:9" x14ac:dyDescent="0.25">
      <c r="A89" s="49">
        <f>'A) Base RI'!A80</f>
        <v>5518</v>
      </c>
      <c r="B89" s="32" t="str">
        <f>'A) Base RI'!B80</f>
        <v>Echallens</v>
      </c>
      <c r="C89" s="31">
        <f>'D) Ecrêtage'!C78</f>
        <v>180959.47694399237</v>
      </c>
      <c r="D89" s="14">
        <f>'A) Base RI'!V80</f>
        <v>5742</v>
      </c>
      <c r="E89" s="10">
        <f t="shared" si="3"/>
        <v>3670312.7236282136</v>
      </c>
      <c r="F89" s="14">
        <f>'F) Population'!K81</f>
        <v>2267916.0965794763</v>
      </c>
      <c r="G89" s="10">
        <f>'G) Solidarité'!I78</f>
        <v>1664203.2093798972</v>
      </c>
      <c r="H89" s="14">
        <f t="shared" si="4"/>
        <v>3932119.3059593737</v>
      </c>
      <c r="I89" s="55">
        <f t="shared" si="5"/>
        <v>-261806.58233116008</v>
      </c>
    </row>
    <row r="90" spans="1:9" x14ac:dyDescent="0.25">
      <c r="A90" s="49">
        <f>'A) Base RI'!A81</f>
        <v>5520</v>
      </c>
      <c r="B90" s="32" t="str">
        <f>'A) Base RI'!B81</f>
        <v>Essertines-sur-Yverdon</v>
      </c>
      <c r="C90" s="31">
        <f>'D) Ecrêtage'!C79</f>
        <v>31792.947431853896</v>
      </c>
      <c r="D90" s="14">
        <f>'A) Base RI'!V81</f>
        <v>1024</v>
      </c>
      <c r="E90" s="10">
        <f t="shared" si="3"/>
        <v>644840.83094964025</v>
      </c>
      <c r="F90" s="14">
        <f>'F) Population'!K82</f>
        <v>133265.79476861167</v>
      </c>
      <c r="G90" s="10">
        <f>'G) Solidarité'!I79</f>
        <v>298957.80490583117</v>
      </c>
      <c r="H90" s="14">
        <f t="shared" si="4"/>
        <v>432223.59967444284</v>
      </c>
      <c r="I90" s="55">
        <f t="shared" si="5"/>
        <v>212617.23127519741</v>
      </c>
    </row>
    <row r="91" spans="1:9" x14ac:dyDescent="0.25">
      <c r="A91" s="49">
        <f>'A) Base RI'!A82</f>
        <v>5521</v>
      </c>
      <c r="B91" s="32" t="str">
        <f>'A) Base RI'!B82</f>
        <v>Etagnières</v>
      </c>
      <c r="C91" s="31">
        <f>'D) Ecrêtage'!C80</f>
        <v>41863.452740254725</v>
      </c>
      <c r="D91" s="14">
        <f>'A) Base RI'!V82</f>
        <v>1118</v>
      </c>
      <c r="E91" s="10">
        <f t="shared" si="3"/>
        <v>849095.97354285663</v>
      </c>
      <c r="F91" s="14">
        <f>'F) Population'!K83</f>
        <v>166132.69617706235</v>
      </c>
      <c r="G91" s="10">
        <f>'G) Solidarité'!I80</f>
        <v>174847.55084279197</v>
      </c>
      <c r="H91" s="14">
        <f t="shared" si="4"/>
        <v>340980.24701985432</v>
      </c>
      <c r="I91" s="55">
        <f t="shared" si="5"/>
        <v>508115.72652300232</v>
      </c>
    </row>
    <row r="92" spans="1:9" x14ac:dyDescent="0.25">
      <c r="A92" s="49">
        <f>'A) Base RI'!A83</f>
        <v>5522</v>
      </c>
      <c r="B92" s="32" t="str">
        <f>'A) Base RI'!B83</f>
        <v>Fey</v>
      </c>
      <c r="C92" s="31">
        <f>'D) Ecrêtage'!C81</f>
        <v>21530.578579692767</v>
      </c>
      <c r="D92" s="14">
        <f>'A) Base RI'!V83</f>
        <v>734</v>
      </c>
      <c r="E92" s="10">
        <f t="shared" si="3"/>
        <v>436694.21376909508</v>
      </c>
      <c r="F92" s="14">
        <f>'F) Population'!K84</f>
        <v>91657.69617706236</v>
      </c>
      <c r="G92" s="10">
        <f>'G) Solidarité'!I81</f>
        <v>254344.38771627733</v>
      </c>
      <c r="H92" s="14">
        <f t="shared" si="4"/>
        <v>346002.08389333967</v>
      </c>
      <c r="I92" s="55">
        <f t="shared" si="5"/>
        <v>90692.129875755403</v>
      </c>
    </row>
    <row r="93" spans="1:9" x14ac:dyDescent="0.25">
      <c r="A93" s="49">
        <f>'A) Base RI'!A84</f>
        <v>5523</v>
      </c>
      <c r="B93" s="32" t="str">
        <f>'A) Base RI'!B84</f>
        <v>Froideville</v>
      </c>
      <c r="C93" s="31">
        <f>'D) Ecrêtage'!C82</f>
        <v>82933.673531693348</v>
      </c>
      <c r="D93" s="14">
        <f>'A) Base RI'!V84</f>
        <v>2576</v>
      </c>
      <c r="E93" s="10">
        <f t="shared" si="3"/>
        <v>1682103.2107360319</v>
      </c>
      <c r="F93" s="14">
        <f>'F) Population'!K85</f>
        <v>675919.31589537219</v>
      </c>
      <c r="G93" s="10">
        <f>'G) Solidarité'!I82</f>
        <v>747290.17128812312</v>
      </c>
      <c r="H93" s="14">
        <f t="shared" si="4"/>
        <v>1423209.4871834954</v>
      </c>
      <c r="I93" s="55">
        <f t="shared" si="5"/>
        <v>258893.72355253645</v>
      </c>
    </row>
    <row r="94" spans="1:9" x14ac:dyDescent="0.25">
      <c r="A94" s="49">
        <f>'A) Base RI'!A85</f>
        <v>5527</v>
      </c>
      <c r="B94" s="32" t="str">
        <f>'A) Base RI'!B85</f>
        <v>Morrens</v>
      </c>
      <c r="C94" s="31">
        <f>'D) Ecrêtage'!C83</f>
        <v>37846.307885294293</v>
      </c>
      <c r="D94" s="14">
        <f>'A) Base RI'!V85</f>
        <v>1077</v>
      </c>
      <c r="E94" s="10">
        <f t="shared" si="3"/>
        <v>767618.18568219512</v>
      </c>
      <c r="F94" s="14">
        <f>'F) Population'!K86</f>
        <v>151797.13279678067</v>
      </c>
      <c r="G94" s="10">
        <f>'G) Solidarité'!I83</f>
        <v>227124.83757891451</v>
      </c>
      <c r="H94" s="14">
        <f t="shared" si="4"/>
        <v>378921.97037569515</v>
      </c>
      <c r="I94" s="55">
        <f t="shared" si="5"/>
        <v>388696.21530649997</v>
      </c>
    </row>
    <row r="95" spans="1:9" x14ac:dyDescent="0.25">
      <c r="A95" s="49">
        <f>'A) Base RI'!A86</f>
        <v>5529</v>
      </c>
      <c r="B95" s="32" t="str">
        <f>'A) Base RI'!B86</f>
        <v>Oulens-sous-Echallens</v>
      </c>
      <c r="C95" s="31">
        <f>'D) Ecrêtage'!C84</f>
        <v>21232.684624593807</v>
      </c>
      <c r="D95" s="14">
        <f>'A) Base RI'!V86</f>
        <v>611</v>
      </c>
      <c r="E95" s="10">
        <f t="shared" si="3"/>
        <v>430652.1761142778</v>
      </c>
      <c r="F95" s="14">
        <f>'F) Population'!K87</f>
        <v>76298.163983903403</v>
      </c>
      <c r="G95" s="10">
        <f>'G) Solidarité'!I84</f>
        <v>123389.88055302764</v>
      </c>
      <c r="H95" s="14">
        <f t="shared" si="4"/>
        <v>199688.04453693103</v>
      </c>
      <c r="I95" s="55">
        <f t="shared" si="5"/>
        <v>230964.13157734676</v>
      </c>
    </row>
    <row r="96" spans="1:9" x14ac:dyDescent="0.25">
      <c r="A96" s="49">
        <f>'A) Base RI'!A87</f>
        <v>5530</v>
      </c>
      <c r="B96" s="32" t="str">
        <f>'A) Base RI'!B87</f>
        <v>Pailly</v>
      </c>
      <c r="C96" s="31">
        <f>'D) Ecrêtage'!C85</f>
        <v>16822.836054480296</v>
      </c>
      <c r="D96" s="14">
        <f>'A) Base RI'!V87</f>
        <v>561</v>
      </c>
      <c r="E96" s="10">
        <f t="shared" si="3"/>
        <v>341209.37052321841</v>
      </c>
      <c r="F96" s="14">
        <f>'F) Population'!K88</f>
        <v>70054.451710261565</v>
      </c>
      <c r="G96" s="10">
        <f>'G) Solidarité'!I85</f>
        <v>198809.61704867956</v>
      </c>
      <c r="H96" s="14">
        <f t="shared" si="4"/>
        <v>268864.06875894114</v>
      </c>
      <c r="I96" s="55">
        <f t="shared" si="5"/>
        <v>72345.301764277276</v>
      </c>
    </row>
    <row r="97" spans="1:9" x14ac:dyDescent="0.25">
      <c r="A97" s="49">
        <f>'A) Base RI'!A88</f>
        <v>5531</v>
      </c>
      <c r="B97" s="32" t="str">
        <f>'A) Base RI'!B88</f>
        <v>Penthéréaz</v>
      </c>
      <c r="C97" s="31">
        <f>'D) Ecrêtage'!C86</f>
        <v>14989.425098501475</v>
      </c>
      <c r="D97" s="14">
        <f>'A) Base RI'!V88</f>
        <v>421</v>
      </c>
      <c r="E97" s="10">
        <f t="shared" si="3"/>
        <v>304023.19120279991</v>
      </c>
      <c r="F97" s="14">
        <f>'F) Population'!K89</f>
        <v>52572.057344064378</v>
      </c>
      <c r="G97" s="10">
        <f>'G) Solidarité'!I86</f>
        <v>93916.555226224242</v>
      </c>
      <c r="H97" s="14">
        <f t="shared" si="4"/>
        <v>146488.61257028862</v>
      </c>
      <c r="I97" s="55">
        <f t="shared" si="5"/>
        <v>157534.57863251129</v>
      </c>
    </row>
    <row r="98" spans="1:9" x14ac:dyDescent="0.25">
      <c r="A98" s="49">
        <f>'A) Base RI'!A89</f>
        <v>5533</v>
      </c>
      <c r="B98" s="32" t="str">
        <f>'A) Base RI'!B89</f>
        <v>Poliez-Pittet</v>
      </c>
      <c r="C98" s="31">
        <f>'D) Ecrêtage'!C87</f>
        <v>25275.822973621725</v>
      </c>
      <c r="D98" s="14">
        <f>'A) Base RI'!V89</f>
        <v>846</v>
      </c>
      <c r="E98" s="10">
        <f t="shared" si="3"/>
        <v>512657.17732468271</v>
      </c>
      <c r="F98" s="14">
        <f>'F) Population'!K90</f>
        <v>105643.61167002011</v>
      </c>
      <c r="G98" s="10">
        <f>'G) Solidarité'!I87</f>
        <v>253499.23436305232</v>
      </c>
      <c r="H98" s="14">
        <f t="shared" si="4"/>
        <v>359142.84603307245</v>
      </c>
      <c r="I98" s="55">
        <f t="shared" si="5"/>
        <v>153514.33129161026</v>
      </c>
    </row>
    <row r="99" spans="1:9" x14ac:dyDescent="0.25">
      <c r="A99" s="49">
        <f>'A) Base RI'!A90</f>
        <v>5534</v>
      </c>
      <c r="B99" s="32" t="str">
        <f>'A) Base RI'!B90</f>
        <v>Rueyres</v>
      </c>
      <c r="C99" s="31">
        <f>'D) Ecrêtage'!C88</f>
        <v>8313.1321594227738</v>
      </c>
      <c r="D99" s="14">
        <f>'A) Base RI'!V90</f>
        <v>255</v>
      </c>
      <c r="E99" s="10">
        <f t="shared" si="3"/>
        <v>168611.20098935635</v>
      </c>
      <c r="F99" s="14">
        <f>'F) Population'!K91</f>
        <v>31842.932595573435</v>
      </c>
      <c r="G99" s="10">
        <f>'G) Solidarité'!I88</f>
        <v>66057.326953877768</v>
      </c>
      <c r="H99" s="14">
        <f t="shared" si="4"/>
        <v>97900.259549451206</v>
      </c>
      <c r="I99" s="55">
        <f t="shared" si="5"/>
        <v>70710.941439905146</v>
      </c>
    </row>
    <row r="100" spans="1:9" x14ac:dyDescent="0.25">
      <c r="A100" s="49">
        <f>'A) Base RI'!A91</f>
        <v>5535</v>
      </c>
      <c r="B100" s="32" t="str">
        <f>'A) Base RI'!B91</f>
        <v>Saint-Barthélemy</v>
      </c>
      <c r="C100" s="31">
        <f>'D) Ecrêtage'!C89</f>
        <v>21802.428816169639</v>
      </c>
      <c r="D100" s="14">
        <f>'A) Base RI'!V91</f>
        <v>778</v>
      </c>
      <c r="E100" s="10">
        <f t="shared" si="3"/>
        <v>442208.01939404843</v>
      </c>
      <c r="F100" s="14">
        <f>'F) Population'!K92</f>
        <v>97152.162977867192</v>
      </c>
      <c r="G100" s="10">
        <f>'G) Solidarité'!I89</f>
        <v>308180.79582399683</v>
      </c>
      <c r="H100" s="14">
        <f t="shared" si="4"/>
        <v>405332.95880186401</v>
      </c>
      <c r="I100" s="55">
        <f t="shared" si="5"/>
        <v>36875.060592184425</v>
      </c>
    </row>
    <row r="101" spans="1:9" x14ac:dyDescent="0.25">
      <c r="A101" s="49">
        <f>'A) Base RI'!A92</f>
        <v>5537</v>
      </c>
      <c r="B101" s="32" t="str">
        <f>'A) Base RI'!B92</f>
        <v>Villars-le-Terroir</v>
      </c>
      <c r="C101" s="31">
        <f>'D) Ecrêtage'!C90</f>
        <v>37312.302103659451</v>
      </c>
      <c r="D101" s="14">
        <f>'A) Base RI'!V92</f>
        <v>1213</v>
      </c>
      <c r="E101" s="10">
        <f t="shared" si="3"/>
        <v>756787.20712321089</v>
      </c>
      <c r="F101" s="14">
        <f>'F) Population'!K93</f>
        <v>199349.24547283701</v>
      </c>
      <c r="G101" s="10">
        <f>'G) Solidarité'!I90</f>
        <v>361525.18286898936</v>
      </c>
      <c r="H101" s="14">
        <f t="shared" si="4"/>
        <v>560874.42834182642</v>
      </c>
      <c r="I101" s="55">
        <f t="shared" si="5"/>
        <v>195912.77878138446</v>
      </c>
    </row>
    <row r="102" spans="1:9" x14ac:dyDescent="0.25">
      <c r="A102" s="49">
        <f>'A) Base RI'!A93</f>
        <v>5539</v>
      </c>
      <c r="B102" s="32" t="str">
        <f>'A) Base RI'!B93</f>
        <v>Vuarrens</v>
      </c>
      <c r="C102" s="31">
        <f>'D) Ecrêtage'!C91</f>
        <v>28863.357859136209</v>
      </c>
      <c r="D102" s="14">
        <f>'A) Base RI'!V93</f>
        <v>1001</v>
      </c>
      <c r="E102" s="10">
        <f t="shared" si="3"/>
        <v>585421.39591733064</v>
      </c>
      <c r="F102" s="14">
        <f>'F) Population'!K94</f>
        <v>125223.89336016095</v>
      </c>
      <c r="G102" s="10">
        <f>'G) Solidarité'!I91</f>
        <v>358030.29638676008</v>
      </c>
      <c r="H102" s="14">
        <f t="shared" si="4"/>
        <v>483254.18974692101</v>
      </c>
      <c r="I102" s="55">
        <f t="shared" si="5"/>
        <v>102167.20617040963</v>
      </c>
    </row>
    <row r="103" spans="1:9" x14ac:dyDescent="0.25">
      <c r="A103" s="49">
        <f>'A) Base RI'!A94</f>
        <v>5540</v>
      </c>
      <c r="B103" s="32" t="str">
        <f>'A) Base RI'!B94</f>
        <v>Montilliez</v>
      </c>
      <c r="C103" s="31">
        <f>'D) Ecrêtage'!C92</f>
        <v>59091.740495657374</v>
      </c>
      <c r="D103" s="14">
        <f>'A) Base RI'!V94</f>
        <v>1781</v>
      </c>
      <c r="E103" s="10">
        <f t="shared" si="3"/>
        <v>1198528.9229680665</v>
      </c>
      <c r="F103" s="14">
        <f>'F) Population'!K95</f>
        <v>397949.24547283695</v>
      </c>
      <c r="G103" s="10">
        <f>'G) Solidarité'!I92</f>
        <v>451658.94469263393</v>
      </c>
      <c r="H103" s="14">
        <f t="shared" si="4"/>
        <v>849608.19016547082</v>
      </c>
      <c r="I103" s="55">
        <f t="shared" si="5"/>
        <v>348920.73280259571</v>
      </c>
    </row>
    <row r="104" spans="1:9" x14ac:dyDescent="0.25">
      <c r="A104" s="49">
        <f>'A) Base RI'!A95</f>
        <v>5541</v>
      </c>
      <c r="B104" s="32" t="str">
        <f>'A) Base RI'!B95</f>
        <v>Goumoëns</v>
      </c>
      <c r="C104" s="31">
        <f>'D) Ecrêtage'!C93</f>
        <v>35230.967112736034</v>
      </c>
      <c r="D104" s="14">
        <f>'A) Base RI'!V95</f>
        <v>1119</v>
      </c>
      <c r="E104" s="10">
        <f t="shared" si="3"/>
        <v>714572.50564237498</v>
      </c>
      <c r="F104" s="14">
        <f>'F) Population'!K96</f>
        <v>166482.3440643863</v>
      </c>
      <c r="G104" s="10">
        <f>'G) Solidarité'!I93</f>
        <v>351959.54087098478</v>
      </c>
      <c r="H104" s="14">
        <f t="shared" si="4"/>
        <v>518441.88493537111</v>
      </c>
      <c r="I104" s="55">
        <f t="shared" si="5"/>
        <v>196130.62070700387</v>
      </c>
    </row>
    <row r="105" spans="1:9" x14ac:dyDescent="0.25">
      <c r="A105" s="49">
        <f>'A) Base RI'!A96</f>
        <v>5551</v>
      </c>
      <c r="B105" s="32" t="str">
        <f>'A) Base RI'!B96</f>
        <v>Bonvillars</v>
      </c>
      <c r="C105" s="31">
        <f>'D) Ecrêtage'!C94</f>
        <v>21415.305138743261</v>
      </c>
      <c r="D105" s="14">
        <f>'A) Base RI'!V96</f>
        <v>505</v>
      </c>
      <c r="E105" s="10">
        <f t="shared" si="3"/>
        <v>434356.17884460022</v>
      </c>
      <c r="F105" s="14">
        <f>'F) Population'!K97</f>
        <v>63061.49396378269</v>
      </c>
      <c r="G105" s="10">
        <f>'G) Solidarité'!I94</f>
        <v>14692.947957765067</v>
      </c>
      <c r="H105" s="14">
        <f t="shared" si="4"/>
        <v>77754.441921547754</v>
      </c>
      <c r="I105" s="55">
        <f t="shared" si="5"/>
        <v>356601.73692305246</v>
      </c>
    </row>
    <row r="106" spans="1:9" x14ac:dyDescent="0.25">
      <c r="A106" s="49">
        <f>'A) Base RI'!A97</f>
        <v>5552</v>
      </c>
      <c r="B106" s="32" t="str">
        <f>'A) Base RI'!B97</f>
        <v>Bullet</v>
      </c>
      <c r="C106" s="31">
        <f>'D) Ecrêtage'!C95</f>
        <v>17732.087898586105</v>
      </c>
      <c r="D106" s="14">
        <f>'A) Base RI'!V97</f>
        <v>655</v>
      </c>
      <c r="E106" s="10">
        <f t="shared" si="3"/>
        <v>359651.28176634636</v>
      </c>
      <c r="F106" s="14">
        <f>'F) Population'!K98</f>
        <v>81792.630784708235</v>
      </c>
      <c r="G106" s="10">
        <f>'G) Solidarité'!I95</f>
        <v>246412.25508701499</v>
      </c>
      <c r="H106" s="14">
        <f t="shared" si="4"/>
        <v>328204.88587172324</v>
      </c>
      <c r="I106" s="55">
        <f t="shared" si="5"/>
        <v>31446.395894623129</v>
      </c>
    </row>
    <row r="107" spans="1:9" x14ac:dyDescent="0.25">
      <c r="A107" s="49">
        <f>'A) Base RI'!A98</f>
        <v>5553</v>
      </c>
      <c r="B107" s="32" t="str">
        <f>'A) Base RI'!B98</f>
        <v>Champagne</v>
      </c>
      <c r="C107" s="31">
        <f>'D) Ecrêtage'!C96</f>
        <v>38083.02347761167</v>
      </c>
      <c r="D107" s="14">
        <f>'A) Base RI'!V98</f>
        <v>1034</v>
      </c>
      <c r="E107" s="10">
        <f t="shared" si="3"/>
        <v>772419.37247294036</v>
      </c>
      <c r="F107" s="14">
        <f>'F) Population'!K99</f>
        <v>136762.27364185109</v>
      </c>
      <c r="G107" s="10">
        <f>'G) Solidarité'!I96</f>
        <v>138878.36910567051</v>
      </c>
      <c r="H107" s="14">
        <f t="shared" si="4"/>
        <v>275640.64274752163</v>
      </c>
      <c r="I107" s="55">
        <f t="shared" si="5"/>
        <v>496778.72972541873</v>
      </c>
    </row>
    <row r="108" spans="1:9" x14ac:dyDescent="0.25">
      <c r="A108" s="49">
        <f>'A) Base RI'!A99</f>
        <v>5554</v>
      </c>
      <c r="B108" s="32" t="str">
        <f>'A) Base RI'!B99</f>
        <v>Concise</v>
      </c>
      <c r="C108" s="31">
        <f>'D) Ecrêtage'!C97</f>
        <v>29757.199499444905</v>
      </c>
      <c r="D108" s="14">
        <f>'A) Base RI'!V99</f>
        <v>995</v>
      </c>
      <c r="E108" s="10">
        <f t="shared" si="3"/>
        <v>603550.74952034256</v>
      </c>
      <c r="F108" s="14">
        <f>'F) Population'!K100</f>
        <v>124249.87424547282</v>
      </c>
      <c r="G108" s="10">
        <f>'G) Solidarité'!I97</f>
        <v>332021.6573368223</v>
      </c>
      <c r="H108" s="14">
        <f t="shared" si="4"/>
        <v>456271.53158229514</v>
      </c>
      <c r="I108" s="55">
        <f t="shared" si="5"/>
        <v>147279.21793804743</v>
      </c>
    </row>
    <row r="109" spans="1:9" x14ac:dyDescent="0.25">
      <c r="A109" s="49">
        <f>'A) Base RI'!A100</f>
        <v>5555</v>
      </c>
      <c r="B109" s="32" t="str">
        <f>'A) Base RI'!B100</f>
        <v>Corcelles-près-Concise</v>
      </c>
      <c r="C109" s="31">
        <f>'D) Ecrêtage'!C98</f>
        <v>13026.26930420642</v>
      </c>
      <c r="D109" s="14">
        <f>'A) Base RI'!V100</f>
        <v>401</v>
      </c>
      <c r="E109" s="10">
        <f t="shared" si="3"/>
        <v>264205.46067025815</v>
      </c>
      <c r="F109" s="14">
        <f>'F) Population'!K101</f>
        <v>50074.572434607639</v>
      </c>
      <c r="G109" s="10">
        <f>'G) Solidarité'!I98</f>
        <v>99197.261872981704</v>
      </c>
      <c r="H109" s="14">
        <f t="shared" si="4"/>
        <v>149271.83430758934</v>
      </c>
      <c r="I109" s="55">
        <f t="shared" si="5"/>
        <v>114933.62636266882</v>
      </c>
    </row>
    <row r="110" spans="1:9" x14ac:dyDescent="0.25">
      <c r="A110" s="49">
        <f>'A) Base RI'!A101</f>
        <v>5556</v>
      </c>
      <c r="B110" s="32" t="str">
        <f>'A) Base RI'!B101</f>
        <v>Fiez</v>
      </c>
      <c r="C110" s="31">
        <f>'D) Ecrêtage'!C99</f>
        <v>12681.485348367609</v>
      </c>
      <c r="D110" s="14">
        <f>'A) Base RI'!V101</f>
        <v>447</v>
      </c>
      <c r="E110" s="10">
        <f t="shared" si="3"/>
        <v>257212.37602286096</v>
      </c>
      <c r="F110" s="14">
        <f>'F) Population'!K102</f>
        <v>55818.787726358139</v>
      </c>
      <c r="G110" s="10">
        <f>'G) Solidarité'!I99</f>
        <v>139251.36527675626</v>
      </c>
      <c r="H110" s="14">
        <f t="shared" si="4"/>
        <v>195070.15300311439</v>
      </c>
      <c r="I110" s="55">
        <f t="shared" si="5"/>
        <v>62142.223019746569</v>
      </c>
    </row>
    <row r="111" spans="1:9" x14ac:dyDescent="0.25">
      <c r="A111" s="49">
        <f>'A) Base RI'!A102</f>
        <v>5557</v>
      </c>
      <c r="B111" s="32" t="str">
        <f>'A) Base RI'!B102</f>
        <v>Fontaines-sur-Grandson</v>
      </c>
      <c r="C111" s="31">
        <f>'D) Ecrêtage'!C100</f>
        <v>5466.9806268353996</v>
      </c>
      <c r="D111" s="14">
        <f>'A) Base RI'!V102</f>
        <v>218</v>
      </c>
      <c r="E111" s="10">
        <f t="shared" si="3"/>
        <v>110884.09898926305</v>
      </c>
      <c r="F111" s="14">
        <f>'F) Population'!K103</f>
        <v>27222.585513078466</v>
      </c>
      <c r="G111" s="10">
        <f>'G) Solidarité'!I100</f>
        <v>81500.101086678071</v>
      </c>
      <c r="H111" s="14">
        <f t="shared" si="4"/>
        <v>108722.68659975653</v>
      </c>
      <c r="I111" s="55">
        <f t="shared" si="5"/>
        <v>2161.4123895065131</v>
      </c>
    </row>
    <row r="112" spans="1:9" x14ac:dyDescent="0.25">
      <c r="A112" s="49">
        <f>'A) Base RI'!A103</f>
        <v>5559</v>
      </c>
      <c r="B112" s="32" t="str">
        <f>'A) Base RI'!B103</f>
        <v>Giez</v>
      </c>
      <c r="C112" s="31">
        <f>'D) Ecrêtage'!C101</f>
        <v>19176.421195753639</v>
      </c>
      <c r="D112" s="14">
        <f>'A) Base RI'!V103</f>
        <v>412</v>
      </c>
      <c r="E112" s="10">
        <f t="shared" si="3"/>
        <v>388945.98888685054</v>
      </c>
      <c r="F112" s="14">
        <f>'F) Population'!K104</f>
        <v>51448.189134808847</v>
      </c>
      <c r="G112" s="10">
        <f>'G) Solidarité'!I101</f>
        <v>0</v>
      </c>
      <c r="H112" s="14">
        <f t="shared" si="4"/>
        <v>51448.189134808847</v>
      </c>
      <c r="I112" s="55">
        <f t="shared" si="5"/>
        <v>337497.7997520417</v>
      </c>
    </row>
    <row r="113" spans="1:9" x14ac:dyDescent="0.25">
      <c r="A113" s="49">
        <f>'A) Base RI'!A104</f>
        <v>5560</v>
      </c>
      <c r="B113" s="32" t="str">
        <f>'A) Base RI'!B104</f>
        <v>Grandevent</v>
      </c>
      <c r="C113" s="31">
        <f>'D) Ecrêtage'!C102</f>
        <v>7435.5518015193766</v>
      </c>
      <c r="D113" s="14">
        <f>'A) Base RI'!V104</f>
        <v>238</v>
      </c>
      <c r="E113" s="10">
        <f t="shared" si="3"/>
        <v>150811.66703836052</v>
      </c>
      <c r="F113" s="14">
        <f>'F) Population'!K105</f>
        <v>29720.070422535206</v>
      </c>
      <c r="G113" s="10">
        <f>'G) Solidarité'!I102</f>
        <v>59442.879467584164</v>
      </c>
      <c r="H113" s="14">
        <f t="shared" si="4"/>
        <v>89162.949890119373</v>
      </c>
      <c r="I113" s="55">
        <f t="shared" si="5"/>
        <v>61648.71714824115</v>
      </c>
    </row>
    <row r="114" spans="1:9" x14ac:dyDescent="0.25">
      <c r="A114" s="49">
        <f>'A) Base RI'!A105</f>
        <v>5561</v>
      </c>
      <c r="B114" s="32" t="str">
        <f>'A) Base RI'!B105</f>
        <v>Grandson</v>
      </c>
      <c r="C114" s="31">
        <f>'D) Ecrêtage'!C103</f>
        <v>121785.01104961828</v>
      </c>
      <c r="D114" s="14">
        <f>'A) Base RI'!V105</f>
        <v>3360</v>
      </c>
      <c r="E114" s="10">
        <f t="shared" si="3"/>
        <v>2470105.9217858003</v>
      </c>
      <c r="F114" s="14">
        <f>'F) Population'!K106</f>
        <v>1003988.9336016095</v>
      </c>
      <c r="G114" s="10">
        <f>'G) Solidarité'!I103</f>
        <v>545767.02173155965</v>
      </c>
      <c r="H114" s="14">
        <f t="shared" si="4"/>
        <v>1549755.9553331691</v>
      </c>
      <c r="I114" s="55">
        <f t="shared" si="5"/>
        <v>920349.96645263117</v>
      </c>
    </row>
    <row r="115" spans="1:9" x14ac:dyDescent="0.25">
      <c r="A115" s="49">
        <f>'A) Base RI'!A106</f>
        <v>5562</v>
      </c>
      <c r="B115" s="32" t="str">
        <f>'A) Base RI'!B106</f>
        <v>Mauborget</v>
      </c>
      <c r="C115" s="31">
        <f>'D) Ecrêtage'!C104</f>
        <v>5293.9932786811205</v>
      </c>
      <c r="D115" s="14">
        <f>'A) Base RI'!V106</f>
        <v>122</v>
      </c>
      <c r="E115" s="10">
        <f t="shared" si="3"/>
        <v>107375.48106175952</v>
      </c>
      <c r="F115" s="14">
        <f>'F) Population'!K107</f>
        <v>15234.657947686115</v>
      </c>
      <c r="G115" s="10">
        <f>'G) Solidarité'!I104</f>
        <v>3403.9099253348636</v>
      </c>
      <c r="H115" s="14">
        <f t="shared" si="4"/>
        <v>18638.56787302098</v>
      </c>
      <c r="I115" s="55">
        <f t="shared" si="5"/>
        <v>88736.913188738545</v>
      </c>
    </row>
    <row r="116" spans="1:9" x14ac:dyDescent="0.25">
      <c r="A116" s="49">
        <f>'A) Base RI'!A107</f>
        <v>5563</v>
      </c>
      <c r="B116" s="32" t="str">
        <f>'A) Base RI'!B107</f>
        <v>Mutrux</v>
      </c>
      <c r="C116" s="31">
        <f>'D) Ecrêtage'!C105</f>
        <v>3292.4675996165679</v>
      </c>
      <c r="D116" s="14">
        <f>'A) Base RI'!V107</f>
        <v>158</v>
      </c>
      <c r="E116" s="10">
        <f t="shared" si="3"/>
        <v>66779.512889211634</v>
      </c>
      <c r="F116" s="14">
        <f>'F) Population'!K108</f>
        <v>19730.130784708246</v>
      </c>
      <c r="G116" s="10">
        <f>'G) Solidarité'!I105</f>
        <v>92867.488316330418</v>
      </c>
      <c r="H116" s="14">
        <f t="shared" si="4"/>
        <v>112597.61910103867</v>
      </c>
      <c r="I116" s="55">
        <f t="shared" si="5"/>
        <v>-45818.106211827035</v>
      </c>
    </row>
    <row r="117" spans="1:9" x14ac:dyDescent="0.25">
      <c r="A117" s="49">
        <f>'A) Base RI'!A108</f>
        <v>5564</v>
      </c>
      <c r="B117" s="32" t="str">
        <f>'A) Base RI'!B108</f>
        <v>Novalles</v>
      </c>
      <c r="C117" s="31">
        <f>'D) Ecrêtage'!C106</f>
        <v>2878.9025109575691</v>
      </c>
      <c r="D117" s="14">
        <f>'A) Base RI'!V108</f>
        <v>101</v>
      </c>
      <c r="E117" s="10">
        <f t="shared" si="3"/>
        <v>58391.374104839735</v>
      </c>
      <c r="F117" s="14">
        <f>'F) Population'!K109</f>
        <v>12612.298792756537</v>
      </c>
      <c r="G117" s="10">
        <f>'G) Solidarité'!I106</f>
        <v>37861.454174207749</v>
      </c>
      <c r="H117" s="14">
        <f t="shared" si="4"/>
        <v>50473.752966964283</v>
      </c>
      <c r="I117" s="55">
        <f t="shared" si="5"/>
        <v>7917.6211378754524</v>
      </c>
    </row>
    <row r="118" spans="1:9" x14ac:dyDescent="0.25">
      <c r="A118" s="49">
        <f>'A) Base RI'!A109</f>
        <v>5565</v>
      </c>
      <c r="B118" s="32" t="str">
        <f>'A) Base RI'!B109</f>
        <v>Onnens</v>
      </c>
      <c r="C118" s="31">
        <f>'D) Ecrêtage'!C107</f>
        <v>22496.162634074011</v>
      </c>
      <c r="D118" s="14">
        <f>'A) Base RI'!V109</f>
        <v>494</v>
      </c>
      <c r="E118" s="10">
        <f t="shared" si="3"/>
        <v>456278.68373097986</v>
      </c>
      <c r="F118" s="14">
        <f>'F) Population'!K110</f>
        <v>61687.877263581482</v>
      </c>
      <c r="G118" s="10">
        <f>'G) Solidarité'!I107</f>
        <v>0</v>
      </c>
      <c r="H118" s="14">
        <f t="shared" si="4"/>
        <v>61687.877263581482</v>
      </c>
      <c r="I118" s="55">
        <f t="shared" si="5"/>
        <v>394590.80646739836</v>
      </c>
    </row>
    <row r="119" spans="1:9" x14ac:dyDescent="0.25">
      <c r="A119" s="49">
        <f>'A) Base RI'!A110</f>
        <v>5566</v>
      </c>
      <c r="B119" s="32" t="str">
        <f>'A) Base RI'!B110</f>
        <v>Provence</v>
      </c>
      <c r="C119" s="31">
        <f>'D) Ecrêtage'!C108</f>
        <v>8235.6819296483191</v>
      </c>
      <c r="D119" s="14">
        <f>'A) Base RI'!V110</f>
        <v>373</v>
      </c>
      <c r="E119" s="10">
        <f t="shared" si="3"/>
        <v>167040.31579124602</v>
      </c>
      <c r="F119" s="14">
        <f>'F) Population'!K111</f>
        <v>46578.093561368201</v>
      </c>
      <c r="G119" s="10">
        <f>'G) Solidarité'!I108</f>
        <v>221346.11010664387</v>
      </c>
      <c r="H119" s="14">
        <f t="shared" si="4"/>
        <v>267924.20366801205</v>
      </c>
      <c r="I119" s="55">
        <f t="shared" si="5"/>
        <v>-100883.88787676604</v>
      </c>
    </row>
    <row r="120" spans="1:9" x14ac:dyDescent="0.25">
      <c r="A120" s="49">
        <f>'A) Base RI'!A111</f>
        <v>5568</v>
      </c>
      <c r="B120" s="32" t="str">
        <f>'A) Base RI'!B111</f>
        <v>Sainte-Croix</v>
      </c>
      <c r="C120" s="31">
        <f>'D) Ecrêtage'!C109</f>
        <v>101939.03540611925</v>
      </c>
      <c r="D120" s="14">
        <f>'A) Base RI'!V111</f>
        <v>4845</v>
      </c>
      <c r="E120" s="10">
        <f t="shared" si="3"/>
        <v>2067579.6869222091</v>
      </c>
      <c r="F120" s="14">
        <f>'F) Population'!K112</f>
        <v>1745741.9517102614</v>
      </c>
      <c r="G120" s="10">
        <f>'G) Solidarité'!I109</f>
        <v>2245385.0928176446</v>
      </c>
      <c r="H120" s="14">
        <f t="shared" si="4"/>
        <v>3991127.044527906</v>
      </c>
      <c r="I120" s="55">
        <f t="shared" si="5"/>
        <v>-1923547.3576056969</v>
      </c>
    </row>
    <row r="121" spans="1:9" x14ac:dyDescent="0.25">
      <c r="A121" s="49">
        <f>'A) Base RI'!A112</f>
        <v>5571</v>
      </c>
      <c r="B121" s="32" t="str">
        <f>'A) Base RI'!B112</f>
        <v>Tévenon</v>
      </c>
      <c r="C121" s="31">
        <f>'D) Ecrêtage'!C110</f>
        <v>22492.192645834311</v>
      </c>
      <c r="D121" s="14">
        <f>'A) Base RI'!V112</f>
        <v>877</v>
      </c>
      <c r="E121" s="10">
        <f t="shared" si="3"/>
        <v>456198.16239772394</v>
      </c>
      <c r="F121" s="14">
        <f>'F) Population'!K113</f>
        <v>109514.71327967805</v>
      </c>
      <c r="G121" s="10">
        <f>'G) Solidarité'!I110</f>
        <v>356413.94268102531</v>
      </c>
      <c r="H121" s="14">
        <f t="shared" si="4"/>
        <v>465928.65596070339</v>
      </c>
      <c r="I121" s="55">
        <f t="shared" si="5"/>
        <v>-9730.4935629794491</v>
      </c>
    </row>
    <row r="122" spans="1:9" x14ac:dyDescent="0.25">
      <c r="A122" s="49">
        <f>'A) Base RI'!A113</f>
        <v>5581</v>
      </c>
      <c r="B122" s="32" t="str">
        <f>'A) Base RI'!B113</f>
        <v>Belmont-sur-Lausanne</v>
      </c>
      <c r="C122" s="31">
        <f>'D) Ecrêtage'!C111</f>
        <v>185422.93708910214</v>
      </c>
      <c r="D122" s="14">
        <f>'A) Base RI'!V113</f>
        <v>3732</v>
      </c>
      <c r="E122" s="10">
        <f t="shared" si="3"/>
        <v>3760842.9066209188</v>
      </c>
      <c r="F122" s="14">
        <f>'F) Population'!K114</f>
        <v>1189801.810865191</v>
      </c>
      <c r="G122" s="10">
        <f>'G) Solidarité'!I111</f>
        <v>0</v>
      </c>
      <c r="H122" s="14">
        <f t="shared" si="4"/>
        <v>1189801.810865191</v>
      </c>
      <c r="I122" s="55">
        <f t="shared" si="5"/>
        <v>2571041.095755728</v>
      </c>
    </row>
    <row r="123" spans="1:9" x14ac:dyDescent="0.25">
      <c r="A123" s="49">
        <f>'A) Base RI'!A114</f>
        <v>5582</v>
      </c>
      <c r="B123" s="32" t="str">
        <f>'A) Base RI'!B114</f>
        <v>Cheseaux-sur-Lausanne</v>
      </c>
      <c r="C123" s="31">
        <f>'D) Ecrêtage'!C112</f>
        <v>172785.13258345879</v>
      </c>
      <c r="D123" s="14">
        <f>'A) Base RI'!V114</f>
        <v>4338</v>
      </c>
      <c r="E123" s="10">
        <f t="shared" si="3"/>
        <v>3504516.4878053684</v>
      </c>
      <c r="F123" s="14">
        <f>'F) Population'!K115</f>
        <v>1492496.981891348</v>
      </c>
      <c r="G123" s="10">
        <f>'G) Solidarité'!I112</f>
        <v>478198.1962967288</v>
      </c>
      <c r="H123" s="14">
        <f t="shared" si="4"/>
        <v>1970695.1781880767</v>
      </c>
      <c r="I123" s="55">
        <f t="shared" si="5"/>
        <v>1533821.3096172917</v>
      </c>
    </row>
    <row r="124" spans="1:9" x14ac:dyDescent="0.25">
      <c r="A124" s="49">
        <f>'A) Base RI'!A115</f>
        <v>5583</v>
      </c>
      <c r="B124" s="32" t="str">
        <f>'A) Base RI'!B115</f>
        <v>Crissier</v>
      </c>
      <c r="C124" s="31">
        <f>'D) Ecrêtage'!C113</f>
        <v>311434.56630958844</v>
      </c>
      <c r="D124" s="14">
        <f>'A) Base RI'!V115</f>
        <v>7905</v>
      </c>
      <c r="E124" s="10">
        <f t="shared" si="3"/>
        <v>6316675.2612658087</v>
      </c>
      <c r="F124" s="14">
        <f>'F) Population'!K116</f>
        <v>3564410.4627766595</v>
      </c>
      <c r="G124" s="10">
        <f>'G) Solidarité'!I113</f>
        <v>720900.59693843673</v>
      </c>
      <c r="H124" s="14">
        <f t="shared" si="4"/>
        <v>4285311.0597150959</v>
      </c>
      <c r="I124" s="55">
        <f t="shared" si="5"/>
        <v>2031364.2015507128</v>
      </c>
    </row>
    <row r="125" spans="1:9" x14ac:dyDescent="0.25">
      <c r="A125" s="49">
        <f>'A) Base RI'!A116</f>
        <v>5584</v>
      </c>
      <c r="B125" s="32" t="str">
        <f>'A) Base RI'!B116</f>
        <v>Epalinges</v>
      </c>
      <c r="C125" s="31">
        <f>'D) Ecrêtage'!C114</f>
        <v>462898.41144046158</v>
      </c>
      <c r="D125" s="14">
        <f>'A) Base RI'!V116</f>
        <v>9624</v>
      </c>
      <c r="E125" s="10">
        <f t="shared" si="3"/>
        <v>9388742.485054018</v>
      </c>
      <c r="F125" s="14">
        <f>'F) Population'!K117</f>
        <v>4750615.8953722324</v>
      </c>
      <c r="G125" s="10">
        <f>'G) Solidarité'!I114</f>
        <v>0</v>
      </c>
      <c r="H125" s="14">
        <f t="shared" si="4"/>
        <v>4750615.8953722324</v>
      </c>
      <c r="I125" s="55">
        <f t="shared" si="5"/>
        <v>4638126.5896817856</v>
      </c>
    </row>
    <row r="126" spans="1:9" x14ac:dyDescent="0.25">
      <c r="A126" s="49">
        <f>'A) Base RI'!A117</f>
        <v>5585</v>
      </c>
      <c r="B126" s="32" t="str">
        <f>'A) Base RI'!B117</f>
        <v>Jouxtens-Mézery</v>
      </c>
      <c r="C126" s="31">
        <f>'D) Ecrêtage'!C115</f>
        <v>219524.13851096807</v>
      </c>
      <c r="D126" s="14">
        <f>'A) Base RI'!V117</f>
        <v>1471</v>
      </c>
      <c r="E126" s="10">
        <f t="shared" si="3"/>
        <v>4452500.9263245305</v>
      </c>
      <c r="F126" s="14">
        <f>'F) Population'!K118</f>
        <v>289558.40040241444</v>
      </c>
      <c r="G126" s="10">
        <f>'G) Solidarité'!I115</f>
        <v>0</v>
      </c>
      <c r="H126" s="14">
        <f t="shared" si="4"/>
        <v>289558.40040241444</v>
      </c>
      <c r="I126" s="55">
        <f t="shared" si="5"/>
        <v>4162942.5259221159</v>
      </c>
    </row>
    <row r="127" spans="1:9" x14ac:dyDescent="0.25">
      <c r="A127" s="49">
        <f>'A) Base RI'!A118</f>
        <v>5586</v>
      </c>
      <c r="B127" s="32" t="str">
        <f>'A) Base RI'!B118</f>
        <v>Lausanne</v>
      </c>
      <c r="C127" s="31">
        <f>'D) Ecrêtage'!C116</f>
        <v>5631743.9365920834</v>
      </c>
      <c r="D127" s="14">
        <f>'A) Base RI'!V118</f>
        <v>139720</v>
      </c>
      <c r="E127" s="10">
        <f t="shared" si="3"/>
        <v>114225912.76105142</v>
      </c>
      <c r="F127" s="14">
        <f>'F) Population'!K119</f>
        <v>140589419.5171026</v>
      </c>
      <c r="G127" s="10">
        <f>'G) Solidarité'!I116</f>
        <v>15665711.490342233</v>
      </c>
      <c r="H127" s="14">
        <f t="shared" si="4"/>
        <v>156255131.00744483</v>
      </c>
      <c r="I127" s="55">
        <f t="shared" si="5"/>
        <v>-42029218.246393412</v>
      </c>
    </row>
    <row r="128" spans="1:9" x14ac:dyDescent="0.25">
      <c r="A128" s="49">
        <f>'A) Base RI'!A119</f>
        <v>5587</v>
      </c>
      <c r="B128" s="32" t="str">
        <f>'A) Base RI'!B119</f>
        <v>Le Mont-sur-Lausanne</v>
      </c>
      <c r="C128" s="31">
        <f>'D) Ecrêtage'!C117</f>
        <v>419159.15757031104</v>
      </c>
      <c r="D128" s="14">
        <f>'A) Base RI'!V119</f>
        <v>8516</v>
      </c>
      <c r="E128" s="10">
        <f t="shared" si="3"/>
        <v>8501600.5529887248</v>
      </c>
      <c r="F128" s="14">
        <f>'F) Population'!K120</f>
        <v>3930641.6498993961</v>
      </c>
      <c r="G128" s="10">
        <f>'G) Solidarité'!I117</f>
        <v>0</v>
      </c>
      <c r="H128" s="14">
        <f t="shared" si="4"/>
        <v>3930641.6498993961</v>
      </c>
      <c r="I128" s="55">
        <f t="shared" si="5"/>
        <v>4570958.9030893287</v>
      </c>
    </row>
    <row r="129" spans="1:9" x14ac:dyDescent="0.25">
      <c r="A129" s="49">
        <f>'A) Base RI'!A120</f>
        <v>5588</v>
      </c>
      <c r="B129" s="32" t="str">
        <f>'A) Base RI'!B120</f>
        <v>Paudex</v>
      </c>
      <c r="C129" s="31">
        <f>'D) Ecrêtage'!C118</f>
        <v>128424.0019189813</v>
      </c>
      <c r="D129" s="14">
        <f>'A) Base RI'!V120</f>
        <v>1507</v>
      </c>
      <c r="E129" s="10">
        <f t="shared" si="3"/>
        <v>2604761.3323306506</v>
      </c>
      <c r="F129" s="14">
        <f>'F) Population'!K121</f>
        <v>302145.72434607643</v>
      </c>
      <c r="G129" s="10">
        <f>'G) Solidarité'!I118</f>
        <v>0</v>
      </c>
      <c r="H129" s="14">
        <f t="shared" si="4"/>
        <v>302145.72434607643</v>
      </c>
      <c r="I129" s="55">
        <f t="shared" si="5"/>
        <v>2302615.607984574</v>
      </c>
    </row>
    <row r="130" spans="1:9" x14ac:dyDescent="0.25">
      <c r="A130" s="49">
        <f>'A) Base RI'!A121</f>
        <v>5589</v>
      </c>
      <c r="B130" s="32" t="str">
        <f>'A) Base RI'!B121</f>
        <v>Prilly</v>
      </c>
      <c r="C130" s="31">
        <f>'D) Ecrêtage'!C119</f>
        <v>381105.28464677284</v>
      </c>
      <c r="D130" s="14">
        <f>'A) Base RI'!V121</f>
        <v>12392</v>
      </c>
      <c r="E130" s="10">
        <f t="shared" si="3"/>
        <v>7729772.4269723035</v>
      </c>
      <c r="F130" s="14">
        <f>'F) Population'!K122</f>
        <v>7159789.7384305829</v>
      </c>
      <c r="G130" s="10">
        <f>'G) Solidarité'!I119</f>
        <v>3745758.7918029982</v>
      </c>
      <c r="H130" s="14">
        <f t="shared" si="4"/>
        <v>10905548.530233581</v>
      </c>
      <c r="I130" s="55">
        <f t="shared" si="5"/>
        <v>-3175776.1032612771</v>
      </c>
    </row>
    <row r="131" spans="1:9" x14ac:dyDescent="0.25">
      <c r="A131" s="49">
        <f>'A) Base RI'!A122</f>
        <v>5590</v>
      </c>
      <c r="B131" s="32" t="str">
        <f>'A) Base RI'!B122</f>
        <v>Pully</v>
      </c>
      <c r="C131" s="31">
        <f>'D) Ecrêtage'!C120</f>
        <v>1400746.467371441</v>
      </c>
      <c r="D131" s="14">
        <f>'A) Base RI'!V122</f>
        <v>18336</v>
      </c>
      <c r="E131" s="10">
        <f t="shared" si="3"/>
        <v>28410656.731517222</v>
      </c>
      <c r="F131" s="14">
        <f>'F) Population'!K123</f>
        <v>13264442.052313881</v>
      </c>
      <c r="G131" s="10">
        <f>'G) Solidarité'!I120</f>
        <v>0</v>
      </c>
      <c r="H131" s="14">
        <f t="shared" si="4"/>
        <v>13264442.052313881</v>
      </c>
      <c r="I131" s="55">
        <f t="shared" si="5"/>
        <v>15146214.679203341</v>
      </c>
    </row>
    <row r="132" spans="1:9" x14ac:dyDescent="0.25">
      <c r="A132" s="49">
        <f>'A) Base RI'!A123</f>
        <v>5591</v>
      </c>
      <c r="B132" s="32" t="str">
        <f>'A) Base RI'!B123</f>
        <v>Renens</v>
      </c>
      <c r="C132" s="31">
        <f>'D) Ecrêtage'!C121</f>
        <v>542865.69746271567</v>
      </c>
      <c r="D132" s="14">
        <f>'A) Base RI'!V123</f>
        <v>20968</v>
      </c>
      <c r="E132" s="10">
        <f t="shared" si="3"/>
        <v>11010679.90617254</v>
      </c>
      <c r="F132" s="14">
        <f>'F) Population'!K124</f>
        <v>16025261.77062374</v>
      </c>
      <c r="G132" s="10">
        <f>'G) Solidarité'!I121</f>
        <v>9728757.3982400466</v>
      </c>
      <c r="H132" s="14">
        <f t="shared" si="4"/>
        <v>25754019.168863788</v>
      </c>
      <c r="I132" s="55">
        <f t="shared" si="5"/>
        <v>-14743339.262691248</v>
      </c>
    </row>
    <row r="133" spans="1:9" x14ac:dyDescent="0.25">
      <c r="A133" s="49">
        <f>'A) Base RI'!A124</f>
        <v>5592</v>
      </c>
      <c r="B133" s="32" t="str">
        <f>'A) Base RI'!B124</f>
        <v>Romanel-sur-Lausanne</v>
      </c>
      <c r="C133" s="31">
        <f>'D) Ecrêtage'!C122</f>
        <v>113665.67141569764</v>
      </c>
      <c r="D133" s="14">
        <f>'A) Base RI'!V124</f>
        <v>3311</v>
      </c>
      <c r="E133" s="10">
        <f t="shared" si="3"/>
        <v>2305425.3199786833</v>
      </c>
      <c r="F133" s="14">
        <f>'F) Population'!K125</f>
        <v>979513.58148893341</v>
      </c>
      <c r="G133" s="10">
        <f>'G) Solidarité'!I122</f>
        <v>677105.48975146504</v>
      </c>
      <c r="H133" s="14">
        <f t="shared" si="4"/>
        <v>1656619.0712403986</v>
      </c>
      <c r="I133" s="55">
        <f t="shared" si="5"/>
        <v>648806.24873828469</v>
      </c>
    </row>
    <row r="134" spans="1:9" x14ac:dyDescent="0.25">
      <c r="A134" s="49">
        <f>'A) Base RI'!A125</f>
        <v>5601</v>
      </c>
      <c r="B134" s="32" t="str">
        <f>'A) Base RI'!B125</f>
        <v>Chexbres</v>
      </c>
      <c r="C134" s="31">
        <f>'D) Ecrêtage'!C123</f>
        <v>102425.76498358055</v>
      </c>
      <c r="D134" s="14">
        <f>'A) Base RI'!V125</f>
        <v>2238</v>
      </c>
      <c r="E134" s="10">
        <f t="shared" si="3"/>
        <v>2077451.7853129185</v>
      </c>
      <c r="F134" s="14">
        <f>'F) Population'!K126</f>
        <v>557738.3299798792</v>
      </c>
      <c r="G134" s="10">
        <f>'G) Solidarité'!I123</f>
        <v>0</v>
      </c>
      <c r="H134" s="14">
        <f t="shared" si="4"/>
        <v>557738.3299798792</v>
      </c>
      <c r="I134" s="55">
        <f t="shared" si="5"/>
        <v>1519713.4553330392</v>
      </c>
    </row>
    <row r="135" spans="1:9" x14ac:dyDescent="0.25">
      <c r="A135" s="49">
        <f>'A) Base RI'!A126</f>
        <v>5604</v>
      </c>
      <c r="B135" s="32" t="str">
        <f>'A) Base RI'!B126</f>
        <v>Forel (Lavaux)</v>
      </c>
      <c r="C135" s="31">
        <f>'D) Ecrêtage'!C124</f>
        <v>73155.644895461912</v>
      </c>
      <c r="D135" s="14">
        <f>'A) Base RI'!V126</f>
        <v>2082</v>
      </c>
      <c r="E135" s="10">
        <f t="shared" si="3"/>
        <v>1483780.2296927741</v>
      </c>
      <c r="F135" s="14">
        <f>'F) Population'!K127</f>
        <v>503193.25955734402</v>
      </c>
      <c r="G135" s="10">
        <f>'G) Solidarité'!I124</f>
        <v>393015.72237270226</v>
      </c>
      <c r="H135" s="14">
        <f t="shared" si="4"/>
        <v>896208.98193004634</v>
      </c>
      <c r="I135" s="55">
        <f t="shared" si="5"/>
        <v>587571.24776272778</v>
      </c>
    </row>
    <row r="136" spans="1:9" x14ac:dyDescent="0.25">
      <c r="A136" s="49">
        <f>'A) Base RI'!A127</f>
        <v>5606</v>
      </c>
      <c r="B136" s="32" t="str">
        <f>'A) Base RI'!B127</f>
        <v>Lutry</v>
      </c>
      <c r="C136" s="31">
        <f>'D) Ecrêtage'!C125</f>
        <v>811441.75973886927</v>
      </c>
      <c r="D136" s="14">
        <f>'A) Base RI'!V127</f>
        <v>10285</v>
      </c>
      <c r="E136" s="10">
        <f t="shared" si="3"/>
        <v>16458077.054315414</v>
      </c>
      <c r="F136" s="14">
        <f>'F) Population'!K128</f>
        <v>5311900.6539235404</v>
      </c>
      <c r="G136" s="10">
        <f>'G) Solidarité'!I125</f>
        <v>0</v>
      </c>
      <c r="H136" s="14">
        <f t="shared" si="4"/>
        <v>5311900.6539235404</v>
      </c>
      <c r="I136" s="55">
        <f t="shared" si="5"/>
        <v>11146176.400391873</v>
      </c>
    </row>
    <row r="137" spans="1:9" x14ac:dyDescent="0.25">
      <c r="A137" s="49">
        <f>'A) Base RI'!A128</f>
        <v>5607</v>
      </c>
      <c r="B137" s="32" t="str">
        <f>'A) Base RI'!B128</f>
        <v>Puidoux</v>
      </c>
      <c r="C137" s="31">
        <f>'D) Ecrêtage'!C126</f>
        <v>106681.90706629901</v>
      </c>
      <c r="D137" s="14">
        <f>'A) Base RI'!V128</f>
        <v>2880</v>
      </c>
      <c r="E137" s="10">
        <f t="shared" si="3"/>
        <v>2163777.0372620383</v>
      </c>
      <c r="F137" s="14">
        <f>'F) Population'!K129</f>
        <v>782212.27364185103</v>
      </c>
      <c r="G137" s="10">
        <f>'G) Solidarité'!I126</f>
        <v>436745.91931180831</v>
      </c>
      <c r="H137" s="14">
        <f t="shared" si="4"/>
        <v>1218958.1929536592</v>
      </c>
      <c r="I137" s="55">
        <f t="shared" si="5"/>
        <v>944818.84430837911</v>
      </c>
    </row>
    <row r="138" spans="1:9" x14ac:dyDescent="0.25">
      <c r="A138" s="49">
        <f>'A) Base RI'!A129</f>
        <v>5609</v>
      </c>
      <c r="B138" s="32" t="str">
        <f>'A) Base RI'!B129</f>
        <v>Rivaz</v>
      </c>
      <c r="C138" s="31">
        <f>'D) Ecrêtage'!C127</f>
        <v>13473.763444719882</v>
      </c>
      <c r="D138" s="14">
        <f>'A) Base RI'!V129</f>
        <v>358</v>
      </c>
      <c r="E138" s="10">
        <f t="shared" si="3"/>
        <v>273281.76584870409</v>
      </c>
      <c r="F138" s="14">
        <f>'F) Population'!K130</f>
        <v>44704.979879275648</v>
      </c>
      <c r="G138" s="10">
        <f>'G) Solidarité'!I127</f>
        <v>41266.669667437891</v>
      </c>
      <c r="H138" s="14">
        <f t="shared" si="4"/>
        <v>85971.649546713539</v>
      </c>
      <c r="I138" s="55">
        <f t="shared" si="5"/>
        <v>187310.11630199055</v>
      </c>
    </row>
    <row r="139" spans="1:9" x14ac:dyDescent="0.25">
      <c r="A139" s="49">
        <f>'A) Base RI'!A130</f>
        <v>5610</v>
      </c>
      <c r="B139" s="32" t="str">
        <f>'A) Base RI'!B130</f>
        <v>St-Saphorin (Lavaux)</v>
      </c>
      <c r="C139" s="31">
        <f>'D) Ecrêtage'!C128</f>
        <v>21538.059608526812</v>
      </c>
      <c r="D139" s="14">
        <f>'A) Base RI'!V130</f>
        <v>391</v>
      </c>
      <c r="E139" s="10">
        <f t="shared" si="3"/>
        <v>436845.94782458158</v>
      </c>
      <c r="F139" s="14">
        <f>'F) Population'!K131</f>
        <v>48825.829979879265</v>
      </c>
      <c r="G139" s="10">
        <f>'G) Solidarité'!I128</f>
        <v>0</v>
      </c>
      <c r="H139" s="14">
        <f t="shared" si="4"/>
        <v>48825.829979879265</v>
      </c>
      <c r="I139" s="55">
        <f t="shared" si="5"/>
        <v>388020.11784470233</v>
      </c>
    </row>
    <row r="140" spans="1:9" x14ac:dyDescent="0.25">
      <c r="A140" s="49">
        <f>'A) Base RI'!A131</f>
        <v>5611</v>
      </c>
      <c r="B140" s="32" t="str">
        <f>'A) Base RI'!B131</f>
        <v>Savigny</v>
      </c>
      <c r="C140" s="31">
        <f>'D) Ecrêtage'!C129</f>
        <v>135057.67308998347</v>
      </c>
      <c r="D140" s="14">
        <f>'A) Base RI'!V131</f>
        <v>3353</v>
      </c>
      <c r="E140" s="10">
        <f t="shared" si="3"/>
        <v>2739308.8460308067</v>
      </c>
      <c r="F140" s="14">
        <f>'F) Population'!K132</f>
        <v>1000492.4547283701</v>
      </c>
      <c r="G140" s="10">
        <f>'G) Solidarité'!I129</f>
        <v>288552.035352526</v>
      </c>
      <c r="H140" s="14">
        <f t="shared" si="4"/>
        <v>1289044.4900808961</v>
      </c>
      <c r="I140" s="55">
        <f t="shared" si="5"/>
        <v>1450264.3559499106</v>
      </c>
    </row>
    <row r="141" spans="1:9" x14ac:dyDescent="0.25">
      <c r="A141" s="49">
        <f>'A) Base RI'!A132</f>
        <v>5613</v>
      </c>
      <c r="B141" s="32" t="str">
        <f>'A) Base RI'!B132</f>
        <v>Bourg-en-Lavaux</v>
      </c>
      <c r="C141" s="31">
        <f>'D) Ecrêtage'!C130</f>
        <v>293013.05852938921</v>
      </c>
      <c r="D141" s="14">
        <f>'A) Base RI'!V132</f>
        <v>5367</v>
      </c>
      <c r="E141" s="10">
        <f t="shared" si="3"/>
        <v>5943040.8126261961</v>
      </c>
      <c r="F141" s="14">
        <f>'F) Population'!K133</f>
        <v>2043142.4547283698</v>
      </c>
      <c r="G141" s="10">
        <f>'G) Solidarité'!I130</f>
        <v>0</v>
      </c>
      <c r="H141" s="14">
        <f t="shared" si="4"/>
        <v>2043142.4547283698</v>
      </c>
      <c r="I141" s="55">
        <f t="shared" si="5"/>
        <v>3899898.3578978265</v>
      </c>
    </row>
    <row r="142" spans="1:9" x14ac:dyDescent="0.25">
      <c r="A142" s="49">
        <f>'A) Base RI'!A133</f>
        <v>5621</v>
      </c>
      <c r="B142" s="32" t="str">
        <f>'A) Base RI'!B133</f>
        <v>Aclens</v>
      </c>
      <c r="C142" s="31">
        <f>'D) Ecrêtage'!C131</f>
        <v>33712.724093262899</v>
      </c>
      <c r="D142" s="14">
        <f>'A) Base RI'!V133</f>
        <v>535</v>
      </c>
      <c r="E142" s="10">
        <f t="shared" si="3"/>
        <v>683778.72370822052</v>
      </c>
      <c r="F142" s="14">
        <f>'F) Population'!K134</f>
        <v>66807.721327967796</v>
      </c>
      <c r="G142" s="10">
        <f>'G) Solidarité'!I131</f>
        <v>0</v>
      </c>
      <c r="H142" s="14">
        <f t="shared" si="4"/>
        <v>66807.721327967796</v>
      </c>
      <c r="I142" s="55">
        <f t="shared" si="5"/>
        <v>616971.0023802527</v>
      </c>
    </row>
    <row r="143" spans="1:9" x14ac:dyDescent="0.25">
      <c r="A143" s="49">
        <f>'A) Base RI'!A134</f>
        <v>5622</v>
      </c>
      <c r="B143" s="32" t="str">
        <f>'A) Base RI'!B134</f>
        <v>Bremblens</v>
      </c>
      <c r="C143" s="31">
        <f>'D) Ecrêtage'!C132</f>
        <v>25760.394087687673</v>
      </c>
      <c r="D143" s="14">
        <f>'A) Base RI'!V134</f>
        <v>548</v>
      </c>
      <c r="E143" s="10">
        <f t="shared" si="3"/>
        <v>522485.4966561395</v>
      </c>
      <c r="F143" s="14">
        <f>'F) Population'!K135</f>
        <v>68431.086519114673</v>
      </c>
      <c r="G143" s="10">
        <f>'G) Solidarité'!I132</f>
        <v>0</v>
      </c>
      <c r="H143" s="14">
        <f t="shared" si="4"/>
        <v>68431.086519114673</v>
      </c>
      <c r="I143" s="55">
        <f t="shared" si="5"/>
        <v>454054.41013702482</v>
      </c>
    </row>
    <row r="144" spans="1:9" x14ac:dyDescent="0.25">
      <c r="A144" s="49">
        <f>'A) Base RI'!A135</f>
        <v>5623</v>
      </c>
      <c r="B144" s="32" t="str">
        <f>'A) Base RI'!B135</f>
        <v>Buchillon</v>
      </c>
      <c r="C144" s="31">
        <f>'D) Ecrêtage'!C133</f>
        <v>119048.13355212047</v>
      </c>
      <c r="D144" s="14">
        <f>'A) Base RI'!V135</f>
        <v>650</v>
      </c>
      <c r="E144" s="10">
        <f t="shared" si="3"/>
        <v>2414595.1716901478</v>
      </c>
      <c r="F144" s="14">
        <f>'F) Population'!K136</f>
        <v>81168.259557344049</v>
      </c>
      <c r="G144" s="10">
        <f>'G) Solidarité'!I133</f>
        <v>0</v>
      </c>
      <c r="H144" s="14">
        <f t="shared" si="4"/>
        <v>81168.259557344049</v>
      </c>
      <c r="I144" s="55">
        <f t="shared" si="5"/>
        <v>2333426.9121328038</v>
      </c>
    </row>
    <row r="145" spans="1:9" x14ac:dyDescent="0.25">
      <c r="A145" s="49">
        <f>'A) Base RI'!A136</f>
        <v>5624</v>
      </c>
      <c r="B145" s="32" t="str">
        <f>'A) Base RI'!B136</f>
        <v>Bussigny</v>
      </c>
      <c r="C145" s="31">
        <f>'D) Ecrêtage'!C134</f>
        <v>356482.21982509014</v>
      </c>
      <c r="D145" s="14">
        <f>'A) Base RI'!V136</f>
        <v>8759</v>
      </c>
      <c r="E145" s="10">
        <f t="shared" ref="E145:E208" si="6">C145*E$15</f>
        <v>7230354.8245567335</v>
      </c>
      <c r="F145" s="14">
        <f>'F) Population'!K137</f>
        <v>4076294.9698189129</v>
      </c>
      <c r="G145" s="10">
        <f>'G) Solidarité'!I134</f>
        <v>570423.37173665827</v>
      </c>
      <c r="H145" s="14">
        <f t="shared" ref="H145:H208" si="7">F145+G145</f>
        <v>4646718.3415555712</v>
      </c>
      <c r="I145" s="55">
        <f t="shared" ref="I145:I208" si="8">E145-H145</f>
        <v>2583636.4830011623</v>
      </c>
    </row>
    <row r="146" spans="1:9" x14ac:dyDescent="0.25">
      <c r="A146" s="49">
        <f>'A) Base RI'!A137</f>
        <v>5625</v>
      </c>
      <c r="B146" s="32" t="str">
        <f>'A) Base RI'!B137</f>
        <v>Bussy-Chardonney</v>
      </c>
      <c r="C146" s="31">
        <f>'D) Ecrêtage'!C135</f>
        <v>13370.312366998642</v>
      </c>
      <c r="D146" s="14">
        <f>'A) Base RI'!V137</f>
        <v>376</v>
      </c>
      <c r="E146" s="10">
        <f t="shared" si="6"/>
        <v>271183.51814570685</v>
      </c>
      <c r="F146" s="14">
        <f>'F) Population'!K138</f>
        <v>46952.716297786712</v>
      </c>
      <c r="G146" s="10">
        <f>'G) Solidarité'!I135</f>
        <v>84287.249638239824</v>
      </c>
      <c r="H146" s="14">
        <f t="shared" si="7"/>
        <v>131239.96593602654</v>
      </c>
      <c r="I146" s="55">
        <f t="shared" si="8"/>
        <v>139943.55220968032</v>
      </c>
    </row>
    <row r="147" spans="1:9" x14ac:dyDescent="0.25">
      <c r="A147" s="49">
        <f>'A) Base RI'!A138</f>
        <v>5627</v>
      </c>
      <c r="B147" s="32" t="str">
        <f>'A) Base RI'!B138</f>
        <v>Chavannes-près-Renens</v>
      </c>
      <c r="C147" s="31">
        <f>'D) Ecrêtage'!C136</f>
        <v>173390.58290122479</v>
      </c>
      <c r="D147" s="14">
        <f>'A) Base RI'!V138</f>
        <v>7741</v>
      </c>
      <c r="E147" s="10">
        <f t="shared" si="6"/>
        <v>3516796.5410103686</v>
      </c>
      <c r="F147" s="14">
        <f>'F) Population'!K139</f>
        <v>3466109.4567404422</v>
      </c>
      <c r="G147" s="10">
        <f>'G) Solidarité'!I136</f>
        <v>4308264.352676468</v>
      </c>
      <c r="H147" s="14">
        <f t="shared" si="7"/>
        <v>7774373.8094169106</v>
      </c>
      <c r="I147" s="55">
        <f t="shared" si="8"/>
        <v>-4257577.268406542</v>
      </c>
    </row>
    <row r="148" spans="1:9" x14ac:dyDescent="0.25">
      <c r="A148" s="49">
        <f>'A) Base RI'!A139</f>
        <v>5628</v>
      </c>
      <c r="B148" s="32" t="str">
        <f>'A) Base RI'!B139</f>
        <v>Chigny</v>
      </c>
      <c r="C148" s="31">
        <f>'D) Ecrêtage'!C137</f>
        <v>21894.357951349266</v>
      </c>
      <c r="D148" s="14">
        <f>'A) Base RI'!V139</f>
        <v>358</v>
      </c>
      <c r="E148" s="10">
        <f t="shared" si="6"/>
        <v>444072.57316166547</v>
      </c>
      <c r="F148" s="14">
        <f>'F) Population'!K140</f>
        <v>44704.979879275648</v>
      </c>
      <c r="G148" s="10">
        <f>'G) Solidarité'!I137</f>
        <v>0</v>
      </c>
      <c r="H148" s="14">
        <f t="shared" si="7"/>
        <v>44704.979879275648</v>
      </c>
      <c r="I148" s="55">
        <f t="shared" si="8"/>
        <v>399367.5932823898</v>
      </c>
    </row>
    <row r="149" spans="1:9" x14ac:dyDescent="0.25">
      <c r="A149" s="49">
        <f>'A) Base RI'!A140</f>
        <v>5629</v>
      </c>
      <c r="B149" s="32" t="str">
        <f>'A) Base RI'!B140</f>
        <v>Clarmont</v>
      </c>
      <c r="C149" s="31">
        <f>'D) Ecrêtage'!C138</f>
        <v>6916.2311229358211</v>
      </c>
      <c r="D149" s="14">
        <f>'A) Base RI'!V140</f>
        <v>190</v>
      </c>
      <c r="E149" s="10">
        <f t="shared" si="6"/>
        <v>140278.53925507015</v>
      </c>
      <c r="F149" s="14">
        <f>'F) Population'!K141</f>
        <v>23726.106639839032</v>
      </c>
      <c r="G149" s="10">
        <f>'G) Solidarité'!I138</f>
        <v>35800.861340032934</v>
      </c>
      <c r="H149" s="14">
        <f t="shared" si="7"/>
        <v>59526.967979871966</v>
      </c>
      <c r="I149" s="55">
        <f t="shared" si="8"/>
        <v>80751.571275198192</v>
      </c>
    </row>
    <row r="150" spans="1:9" x14ac:dyDescent="0.25">
      <c r="A150" s="49">
        <f>'A) Base RI'!A141</f>
        <v>5631</v>
      </c>
      <c r="B150" s="32" t="str">
        <f>'A) Base RI'!B141</f>
        <v>Denens</v>
      </c>
      <c r="C150" s="31">
        <f>'D) Ecrêtage'!C139</f>
        <v>43815.97689546422</v>
      </c>
      <c r="D150" s="14">
        <f>'A) Base RI'!V141</f>
        <v>747</v>
      </c>
      <c r="E150" s="10">
        <f t="shared" si="6"/>
        <v>888698.0677303574</v>
      </c>
      <c r="F150" s="14">
        <f>'F) Population'!K142</f>
        <v>93281.061368209237</v>
      </c>
      <c r="G150" s="10">
        <f>'G) Solidarité'!I139</f>
        <v>0</v>
      </c>
      <c r="H150" s="14">
        <f t="shared" si="7"/>
        <v>93281.061368209237</v>
      </c>
      <c r="I150" s="55">
        <f t="shared" si="8"/>
        <v>795417.00636214821</v>
      </c>
    </row>
    <row r="151" spans="1:9" x14ac:dyDescent="0.25">
      <c r="A151" s="49">
        <f>'A) Base RI'!A142</f>
        <v>5632</v>
      </c>
      <c r="B151" s="32" t="str">
        <f>'A) Base RI'!B142</f>
        <v>Denges</v>
      </c>
      <c r="C151" s="31">
        <f>'D) Ecrêtage'!C140</f>
        <v>67687.396226466764</v>
      </c>
      <c r="D151" s="14">
        <f>'A) Base RI'!V142</f>
        <v>1610</v>
      </c>
      <c r="E151" s="10">
        <f t="shared" si="6"/>
        <v>1372870.4116234628</v>
      </c>
      <c r="F151" s="14">
        <f>'F) Population'!K143</f>
        <v>338159.45674044261</v>
      </c>
      <c r="G151" s="10">
        <f>'G) Solidarité'!I140</f>
        <v>68499.942409891519</v>
      </c>
      <c r="H151" s="14">
        <f t="shared" si="7"/>
        <v>406659.39915033412</v>
      </c>
      <c r="I151" s="55">
        <f t="shared" si="8"/>
        <v>966211.01247312874</v>
      </c>
    </row>
    <row r="152" spans="1:9" x14ac:dyDescent="0.25">
      <c r="A152" s="49">
        <f>'A) Base RI'!A143</f>
        <v>5633</v>
      </c>
      <c r="B152" s="32" t="str">
        <f>'A) Base RI'!B143</f>
        <v>Echandens</v>
      </c>
      <c r="C152" s="31">
        <f>'D) Ecrêtage'!C141</f>
        <v>137438.92097427152</v>
      </c>
      <c r="D152" s="14">
        <f>'A) Base RI'!V143</f>
        <v>2789</v>
      </c>
      <c r="E152" s="10">
        <f t="shared" si="6"/>
        <v>2787606.5343056256</v>
      </c>
      <c r="F152" s="14">
        <f>'F) Population'!K144</f>
        <v>750394.31589537219</v>
      </c>
      <c r="G152" s="10">
        <f>'G) Solidarité'!I141</f>
        <v>0</v>
      </c>
      <c r="H152" s="14">
        <f t="shared" si="7"/>
        <v>750394.31589537219</v>
      </c>
      <c r="I152" s="55">
        <f t="shared" si="8"/>
        <v>2037212.2184102535</v>
      </c>
    </row>
    <row r="153" spans="1:9" x14ac:dyDescent="0.25">
      <c r="A153" s="49">
        <f>'A) Base RI'!A144</f>
        <v>5634</v>
      </c>
      <c r="B153" s="32" t="str">
        <f>'A) Base RI'!B144</f>
        <v>Echichens</v>
      </c>
      <c r="C153" s="31">
        <f>'D) Ecrêtage'!C142</f>
        <v>172707.41089939879</v>
      </c>
      <c r="D153" s="14">
        <f>'A) Base RI'!V144</f>
        <v>3050</v>
      </c>
      <c r="E153" s="10">
        <f t="shared" si="6"/>
        <v>3502940.0968325124</v>
      </c>
      <c r="F153" s="14">
        <f>'F) Population'!K145</f>
        <v>849144.86921529158</v>
      </c>
      <c r="G153" s="10">
        <f>'G) Solidarité'!I142</f>
        <v>0</v>
      </c>
      <c r="H153" s="14">
        <f t="shared" si="7"/>
        <v>849144.86921529158</v>
      </c>
      <c r="I153" s="55">
        <f t="shared" si="8"/>
        <v>2653795.227617221</v>
      </c>
    </row>
    <row r="154" spans="1:9" x14ac:dyDescent="0.25">
      <c r="A154" s="49">
        <f>'A) Base RI'!A145</f>
        <v>5635</v>
      </c>
      <c r="B154" s="32" t="str">
        <f>'A) Base RI'!B145</f>
        <v>Ecublens</v>
      </c>
      <c r="C154" s="31">
        <f>'D) Ecrêtage'!C143</f>
        <v>425804.36099449953</v>
      </c>
      <c r="D154" s="14">
        <f>'A) Base RI'!V145</f>
        <v>12939</v>
      </c>
      <c r="E154" s="10">
        <f t="shared" si="6"/>
        <v>8636381.9697500337</v>
      </c>
      <c r="F154" s="14">
        <f>'F) Population'!K146</f>
        <v>7706239.4366197176</v>
      </c>
      <c r="G154" s="10">
        <f>'G) Solidarité'!I143</f>
        <v>2511370.1574736168</v>
      </c>
      <c r="H154" s="14">
        <f t="shared" si="7"/>
        <v>10217609.594093334</v>
      </c>
      <c r="I154" s="55">
        <f t="shared" si="8"/>
        <v>-1581227.6243433002</v>
      </c>
    </row>
    <row r="155" spans="1:9" x14ac:dyDescent="0.25">
      <c r="A155" s="49">
        <f>'A) Base RI'!A146</f>
        <v>5636</v>
      </c>
      <c r="B155" s="32" t="str">
        <f>'A) Base RI'!B146</f>
        <v>Etoy</v>
      </c>
      <c r="C155" s="31">
        <f>'D) Ecrêtage'!C144</f>
        <v>163508.07491244882</v>
      </c>
      <c r="D155" s="14">
        <f>'A) Base RI'!V146</f>
        <v>2905</v>
      </c>
      <c r="E155" s="10">
        <f t="shared" si="6"/>
        <v>3316354.4562678924</v>
      </c>
      <c r="F155" s="14">
        <f>'F) Population'!K147</f>
        <v>790953.47082494956</v>
      </c>
      <c r="G155" s="10">
        <f>'G) Solidarité'!I144</f>
        <v>0</v>
      </c>
      <c r="H155" s="14">
        <f t="shared" si="7"/>
        <v>790953.47082494956</v>
      </c>
      <c r="I155" s="55">
        <f t="shared" si="8"/>
        <v>2525400.9854429429</v>
      </c>
    </row>
    <row r="156" spans="1:9" x14ac:dyDescent="0.25">
      <c r="A156" s="49">
        <f>'A) Base RI'!A147</f>
        <v>5637</v>
      </c>
      <c r="B156" s="32" t="str">
        <f>'A) Base RI'!B147</f>
        <v>Lavigny</v>
      </c>
      <c r="C156" s="31">
        <f>'D) Ecrêtage'!C145</f>
        <v>35527.670702114687</v>
      </c>
      <c r="D156" s="14">
        <f>'A) Base RI'!V147</f>
        <v>999</v>
      </c>
      <c r="E156" s="10">
        <f t="shared" si="6"/>
        <v>720590.39969044237</v>
      </c>
      <c r="F156" s="14">
        <f>'F) Population'!K148</f>
        <v>124749.37122736417</v>
      </c>
      <c r="G156" s="10">
        <f>'G) Solidarité'!I145</f>
        <v>204211.58961605895</v>
      </c>
      <c r="H156" s="14">
        <f t="shared" si="7"/>
        <v>328960.96084342315</v>
      </c>
      <c r="I156" s="55">
        <f t="shared" si="8"/>
        <v>391629.43884701922</v>
      </c>
    </row>
    <row r="157" spans="1:9" x14ac:dyDescent="0.25">
      <c r="A157" s="49">
        <f>'A) Base RI'!A148</f>
        <v>5638</v>
      </c>
      <c r="B157" s="32" t="str">
        <f>'A) Base RI'!B148</f>
        <v>Lonay</v>
      </c>
      <c r="C157" s="31">
        <f>'D) Ecrêtage'!C146</f>
        <v>156801.12521319877</v>
      </c>
      <c r="D157" s="14">
        <f>'A) Base RI'!V148</f>
        <v>2593</v>
      </c>
      <c r="E157" s="10">
        <f t="shared" si="6"/>
        <v>3180320.6699549998</v>
      </c>
      <c r="F157" s="14">
        <f>'F) Population'!K149</f>
        <v>681863.3299798792</v>
      </c>
      <c r="G157" s="10">
        <f>'G) Solidarité'!I146</f>
        <v>0</v>
      </c>
      <c r="H157" s="14">
        <f t="shared" si="7"/>
        <v>681863.3299798792</v>
      </c>
      <c r="I157" s="55">
        <f t="shared" si="8"/>
        <v>2498457.3399751205</v>
      </c>
    </row>
    <row r="158" spans="1:9" x14ac:dyDescent="0.25">
      <c r="A158" s="49">
        <f>'A) Base RI'!A149</f>
        <v>5639</v>
      </c>
      <c r="B158" s="32" t="str">
        <f>'A) Base RI'!B149</f>
        <v>Lully</v>
      </c>
      <c r="C158" s="31">
        <f>'D) Ecrêtage'!C147</f>
        <v>44733.650298121938</v>
      </c>
      <c r="D158" s="14">
        <f>'A) Base RI'!V149</f>
        <v>790</v>
      </c>
      <c r="E158" s="10">
        <f t="shared" si="6"/>
        <v>907310.78933405806</v>
      </c>
      <c r="F158" s="14">
        <f>'F) Population'!K150</f>
        <v>98650.653923541235</v>
      </c>
      <c r="G158" s="10">
        <f>'G) Solidarité'!I147</f>
        <v>0</v>
      </c>
      <c r="H158" s="14">
        <f t="shared" si="7"/>
        <v>98650.653923541235</v>
      </c>
      <c r="I158" s="55">
        <f t="shared" si="8"/>
        <v>808660.13541051687</v>
      </c>
    </row>
    <row r="159" spans="1:9" x14ac:dyDescent="0.25">
      <c r="A159" s="49">
        <f>'A) Base RI'!A150</f>
        <v>5640</v>
      </c>
      <c r="B159" s="32" t="str">
        <f>'A) Base RI'!B150</f>
        <v>Lussy-sur-Morges</v>
      </c>
      <c r="C159" s="31">
        <f>'D) Ecrêtage'!C148</f>
        <v>53214.189880771395</v>
      </c>
      <c r="D159" s="14">
        <f>'A) Base RI'!V150</f>
        <v>687</v>
      </c>
      <c r="E159" s="10">
        <f t="shared" si="6"/>
        <v>1079317.4333578176</v>
      </c>
      <c r="F159" s="14">
        <f>'F) Population'!K151</f>
        <v>85788.606639839025</v>
      </c>
      <c r="G159" s="10">
        <f>'G) Solidarité'!I148</f>
        <v>0</v>
      </c>
      <c r="H159" s="14">
        <f t="shared" si="7"/>
        <v>85788.606639839025</v>
      </c>
      <c r="I159" s="55">
        <f t="shared" si="8"/>
        <v>993528.82671797858</v>
      </c>
    </row>
    <row r="160" spans="1:9" x14ac:dyDescent="0.25">
      <c r="A160" s="49">
        <f>'A) Base RI'!A151</f>
        <v>5642</v>
      </c>
      <c r="B160" s="32" t="str">
        <f>'A) Base RI'!B151</f>
        <v>Morges</v>
      </c>
      <c r="C160" s="31">
        <f>'D) Ecrêtage'!C149</f>
        <v>729290.95553024486</v>
      </c>
      <c r="D160" s="14">
        <f>'A) Base RI'!V151</f>
        <v>15725</v>
      </c>
      <c r="E160" s="10">
        <f t="shared" si="6"/>
        <v>14791852.399850229</v>
      </c>
      <c r="F160" s="14">
        <f>'F) Population'!K152</f>
        <v>10525650.15090543</v>
      </c>
      <c r="G160" s="10">
        <f>'G) Solidarité'!I149</f>
        <v>0</v>
      </c>
      <c r="H160" s="14">
        <f t="shared" si="7"/>
        <v>10525650.15090543</v>
      </c>
      <c r="I160" s="55">
        <f t="shared" si="8"/>
        <v>4266202.2489447985</v>
      </c>
    </row>
    <row r="161" spans="1:9" x14ac:dyDescent="0.25">
      <c r="A161" s="49">
        <f>'A) Base RI'!A152</f>
        <v>5643</v>
      </c>
      <c r="B161" s="32" t="str">
        <f>'A) Base RI'!B152</f>
        <v>Préverenges</v>
      </c>
      <c r="C161" s="31">
        <f>'D) Ecrêtage'!C150</f>
        <v>256716.54312991558</v>
      </c>
      <c r="D161" s="14">
        <f>'A) Base RI'!V152</f>
        <v>5298</v>
      </c>
      <c r="E161" s="10">
        <f t="shared" si="6"/>
        <v>5206856.3113011429</v>
      </c>
      <c r="F161" s="14">
        <f>'F) Population'!K153</f>
        <v>2001784.1046277662</v>
      </c>
      <c r="G161" s="10">
        <f>'G) Solidarité'!I150</f>
        <v>0</v>
      </c>
      <c r="H161" s="14">
        <f t="shared" si="7"/>
        <v>2001784.1046277662</v>
      </c>
      <c r="I161" s="55">
        <f t="shared" si="8"/>
        <v>3205072.2066733767</v>
      </c>
    </row>
    <row r="162" spans="1:9" x14ac:dyDescent="0.25">
      <c r="A162" s="49">
        <f>'A) Base RI'!A153</f>
        <v>5644</v>
      </c>
      <c r="B162" s="32" t="str">
        <f>'A) Base RI'!B153</f>
        <v>Reverolle</v>
      </c>
      <c r="C162" s="31">
        <f>'D) Ecrêtage'!C151</f>
        <v>13425.23260136249</v>
      </c>
      <c r="D162" s="14">
        <f>'A) Base RI'!V153</f>
        <v>399</v>
      </c>
      <c r="E162" s="10">
        <f t="shared" si="6"/>
        <v>272297.43844639749</v>
      </c>
      <c r="F162" s="14">
        <f>'F) Population'!K154</f>
        <v>49824.823943661962</v>
      </c>
      <c r="G162" s="10">
        <f>'G) Solidarité'!I151</f>
        <v>102438.265637701</v>
      </c>
      <c r="H162" s="14">
        <f t="shared" si="7"/>
        <v>152263.08958136296</v>
      </c>
      <c r="I162" s="55">
        <f t="shared" si="8"/>
        <v>120034.34886503452</v>
      </c>
    </row>
    <row r="163" spans="1:9" x14ac:dyDescent="0.25">
      <c r="A163" s="49">
        <f>'A) Base RI'!A154</f>
        <v>5645</v>
      </c>
      <c r="B163" s="32" t="str">
        <f>'A) Base RI'!B154</f>
        <v>Romanel-sur-Morges</v>
      </c>
      <c r="C163" s="31">
        <f>'D) Ecrêtage'!C152</f>
        <v>24229.852670127519</v>
      </c>
      <c r="D163" s="14">
        <f>'A) Base RI'!V154</f>
        <v>458</v>
      </c>
      <c r="E163" s="10">
        <f t="shared" si="6"/>
        <v>491442.27231785486</v>
      </c>
      <c r="F163" s="14">
        <f>'F) Population'!K155</f>
        <v>57192.404426559347</v>
      </c>
      <c r="G163" s="10">
        <f>'G) Solidarité'!I152</f>
        <v>0</v>
      </c>
      <c r="H163" s="14">
        <f t="shared" si="7"/>
        <v>57192.404426559347</v>
      </c>
      <c r="I163" s="55">
        <f t="shared" si="8"/>
        <v>434249.86789129552</v>
      </c>
    </row>
    <row r="164" spans="1:9" x14ac:dyDescent="0.25">
      <c r="A164" s="49">
        <f>'A) Base RI'!A155</f>
        <v>5646</v>
      </c>
      <c r="B164" s="32" t="str">
        <f>'A) Base RI'!B155</f>
        <v>Saint-Prex</v>
      </c>
      <c r="C164" s="31">
        <f>'D) Ecrêtage'!C153</f>
        <v>461684.29365699238</v>
      </c>
      <c r="D164" s="14">
        <f>'A) Base RI'!V155</f>
        <v>5684</v>
      </c>
      <c r="E164" s="10">
        <f t="shared" si="6"/>
        <v>9364117.1268030666</v>
      </c>
      <c r="F164" s="14">
        <f>'F) Population'!K156</f>
        <v>2233151.1066398388</v>
      </c>
      <c r="G164" s="10">
        <f>'G) Solidarité'!I153</f>
        <v>0</v>
      </c>
      <c r="H164" s="14">
        <f t="shared" si="7"/>
        <v>2233151.1066398388</v>
      </c>
      <c r="I164" s="55">
        <f t="shared" si="8"/>
        <v>7130966.0201632278</v>
      </c>
    </row>
    <row r="165" spans="1:9" x14ac:dyDescent="0.25">
      <c r="A165" s="49">
        <f>'A) Base RI'!A156</f>
        <v>5648</v>
      </c>
      <c r="B165" s="32" t="str">
        <f>'A) Base RI'!B156</f>
        <v>Saint-Sulpice</v>
      </c>
      <c r="C165" s="31">
        <f>'D) Ecrêtage'!C154</f>
        <v>359984.01578722027</v>
      </c>
      <c r="D165" s="14">
        <f>'A) Base RI'!V156</f>
        <v>4669</v>
      </c>
      <c r="E165" s="10">
        <f t="shared" si="6"/>
        <v>7301380.0424254509</v>
      </c>
      <c r="F165" s="14">
        <f>'F) Population'!K157</f>
        <v>1657830.4828973841</v>
      </c>
      <c r="G165" s="10">
        <f>'G) Solidarité'!I154</f>
        <v>0</v>
      </c>
      <c r="H165" s="14">
        <f t="shared" si="7"/>
        <v>1657830.4828973841</v>
      </c>
      <c r="I165" s="55">
        <f t="shared" si="8"/>
        <v>5643549.5595280668</v>
      </c>
    </row>
    <row r="166" spans="1:9" x14ac:dyDescent="0.25">
      <c r="A166" s="49">
        <f>'A) Base RI'!A157</f>
        <v>5649</v>
      </c>
      <c r="B166" s="32" t="str">
        <f>'A) Base RI'!B157</f>
        <v>Tolochenaz</v>
      </c>
      <c r="C166" s="31">
        <f>'D) Ecrêtage'!C155</f>
        <v>113998.65852486389</v>
      </c>
      <c r="D166" s="14">
        <f>'A) Base RI'!V157</f>
        <v>1933</v>
      </c>
      <c r="E166" s="10">
        <f t="shared" si="6"/>
        <v>2312179.134944425</v>
      </c>
      <c r="F166" s="14">
        <f>'F) Population'!K158</f>
        <v>451095.72434607643</v>
      </c>
      <c r="G166" s="10">
        <f>'G) Solidarité'!I155</f>
        <v>0</v>
      </c>
      <c r="H166" s="14">
        <f t="shared" si="7"/>
        <v>451095.72434607643</v>
      </c>
      <c r="I166" s="55">
        <f t="shared" si="8"/>
        <v>1861083.4105983486</v>
      </c>
    </row>
    <row r="167" spans="1:9" x14ac:dyDescent="0.25">
      <c r="A167" s="49">
        <f>'A) Base RI'!A158</f>
        <v>5650</v>
      </c>
      <c r="B167" s="32" t="str">
        <f>'A) Base RI'!B158</f>
        <v>Vaux-sur-Morges</v>
      </c>
      <c r="C167" s="31">
        <f>'D) Ecrêtage'!C156</f>
        <v>185104.32562171915</v>
      </c>
      <c r="D167" s="14">
        <f>'A) Base RI'!V158</f>
        <v>184</v>
      </c>
      <c r="E167" s="10">
        <f t="shared" si="6"/>
        <v>3754380.665779056</v>
      </c>
      <c r="F167" s="14">
        <f>'F) Population'!K159</f>
        <v>22976.861167002007</v>
      </c>
      <c r="G167" s="10">
        <f>'G) Solidarité'!I156</f>
        <v>0</v>
      </c>
      <c r="H167" s="14">
        <f t="shared" si="7"/>
        <v>22976.861167002007</v>
      </c>
      <c r="I167" s="55">
        <f t="shared" si="8"/>
        <v>3731403.804612054</v>
      </c>
    </row>
    <row r="168" spans="1:9" x14ac:dyDescent="0.25">
      <c r="A168" s="49">
        <f>'A) Base RI'!A159</f>
        <v>5651</v>
      </c>
      <c r="B168" s="32" t="str">
        <f>'A) Base RI'!B159</f>
        <v>Villars-Sainte-Croix</v>
      </c>
      <c r="C168" s="31">
        <f>'D) Ecrêtage'!C157</f>
        <v>50327.012990433635</v>
      </c>
      <c r="D168" s="14">
        <f>'A) Base RI'!V159</f>
        <v>963</v>
      </c>
      <c r="E168" s="10">
        <f t="shared" si="6"/>
        <v>1020758.2340556899</v>
      </c>
      <c r="F168" s="14">
        <f>'F) Population'!K160</f>
        <v>120253.89839034203</v>
      </c>
      <c r="G168" s="10">
        <f>'G) Solidarité'!I157</f>
        <v>0</v>
      </c>
      <c r="H168" s="14">
        <f t="shared" si="7"/>
        <v>120253.89839034203</v>
      </c>
      <c r="I168" s="55">
        <f t="shared" si="8"/>
        <v>900504.33566534787</v>
      </c>
    </row>
    <row r="169" spans="1:9" x14ac:dyDescent="0.25">
      <c r="A169" s="49">
        <f>'A) Base RI'!A160</f>
        <v>5652</v>
      </c>
      <c r="B169" s="32" t="str">
        <f>'A) Base RI'!B160</f>
        <v>Villars-sous-Yens</v>
      </c>
      <c r="C169" s="31">
        <f>'D) Ecrêtage'!C158</f>
        <v>29665.347417842095</v>
      </c>
      <c r="D169" s="14">
        <f>'A) Base RI'!V160</f>
        <v>608</v>
      </c>
      <c r="E169" s="10">
        <f t="shared" si="6"/>
        <v>601687.75859280536</v>
      </c>
      <c r="F169" s="14">
        <f>'F) Population'!K161</f>
        <v>75923.5412474849</v>
      </c>
      <c r="G169" s="10">
        <f>'G) Solidarité'!I158</f>
        <v>0</v>
      </c>
      <c r="H169" s="14">
        <f t="shared" si="7"/>
        <v>75923.5412474849</v>
      </c>
      <c r="I169" s="55">
        <f t="shared" si="8"/>
        <v>525764.2173453205</v>
      </c>
    </row>
    <row r="170" spans="1:9" x14ac:dyDescent="0.25">
      <c r="A170" s="49">
        <f>'A) Base RI'!A161</f>
        <v>5653</v>
      </c>
      <c r="B170" s="32" t="str">
        <f>'A) Base RI'!B161</f>
        <v>Vufflens-le-Château</v>
      </c>
      <c r="C170" s="31">
        <f>'D) Ecrêtage'!C159</f>
        <v>61628.734956407359</v>
      </c>
      <c r="D170" s="14">
        <f>'A) Base RI'!V161</f>
        <v>886</v>
      </c>
      <c r="E170" s="10">
        <f t="shared" si="6"/>
        <v>1249985.5430153655</v>
      </c>
      <c r="F170" s="14">
        <f>'F) Population'!K162</f>
        <v>110638.58148893359</v>
      </c>
      <c r="G170" s="10">
        <f>'G) Solidarité'!I159</f>
        <v>0</v>
      </c>
      <c r="H170" s="14">
        <f t="shared" si="7"/>
        <v>110638.58148893359</v>
      </c>
      <c r="I170" s="55">
        <f t="shared" si="8"/>
        <v>1139346.9615264318</v>
      </c>
    </row>
    <row r="171" spans="1:9" x14ac:dyDescent="0.25">
      <c r="A171" s="49">
        <f>'A) Base RI'!A162</f>
        <v>5654</v>
      </c>
      <c r="B171" s="32" t="str">
        <f>'A) Base RI'!B162</f>
        <v>Vullierens</v>
      </c>
      <c r="C171" s="31">
        <f>'D) Ecrêtage'!C160</f>
        <v>19147.575291748301</v>
      </c>
      <c r="D171" s="14">
        <f>'A) Base RI'!V162</f>
        <v>507</v>
      </c>
      <c r="E171" s="10">
        <f t="shared" si="6"/>
        <v>388360.92149892857</v>
      </c>
      <c r="F171" s="14">
        <f>'F) Population'!K163</f>
        <v>63311.242454728359</v>
      </c>
      <c r="G171" s="10">
        <f>'G) Solidarité'!I160</f>
        <v>82198.902184591381</v>
      </c>
      <c r="H171" s="14">
        <f t="shared" si="7"/>
        <v>145510.14463931974</v>
      </c>
      <c r="I171" s="55">
        <f t="shared" si="8"/>
        <v>242850.77685960883</v>
      </c>
    </row>
    <row r="172" spans="1:9" x14ac:dyDescent="0.25">
      <c r="A172" s="49">
        <f>'A) Base RI'!A163</f>
        <v>5655</v>
      </c>
      <c r="B172" s="32" t="str">
        <f>'A) Base RI'!B163</f>
        <v>Yens</v>
      </c>
      <c r="C172" s="31">
        <f>'D) Ecrêtage'!C161</f>
        <v>86097.458084051032</v>
      </c>
      <c r="D172" s="14">
        <f>'A) Base RI'!V163</f>
        <v>1429</v>
      </c>
      <c r="E172" s="10">
        <f t="shared" si="6"/>
        <v>1746272.7082027537</v>
      </c>
      <c r="F172" s="14">
        <f>'F) Population'!K164</f>
        <v>274873.18913480884</v>
      </c>
      <c r="G172" s="10">
        <f>'G) Solidarité'!I161</f>
        <v>0</v>
      </c>
      <c r="H172" s="14">
        <f t="shared" si="7"/>
        <v>274873.18913480884</v>
      </c>
      <c r="I172" s="55">
        <f t="shared" si="8"/>
        <v>1471399.519067945</v>
      </c>
    </row>
    <row r="173" spans="1:9" x14ac:dyDescent="0.25">
      <c r="A173" s="49">
        <f>'A) Base RI'!A164</f>
        <v>5661</v>
      </c>
      <c r="B173" s="32" t="str">
        <f>'A) Base RI'!B164</f>
        <v>Boulens</v>
      </c>
      <c r="C173" s="31">
        <f>'D) Ecrêtage'!C162</f>
        <v>10242.097149449037</v>
      </c>
      <c r="D173" s="14">
        <f>'A) Base RI'!V164</f>
        <v>384</v>
      </c>
      <c r="E173" s="10">
        <f t="shared" si="6"/>
        <v>207735.45613139583</v>
      </c>
      <c r="F173" s="14">
        <f>'F) Population'!K165</f>
        <v>47951.710261569409</v>
      </c>
      <c r="G173" s="10">
        <f>'G) Solidarité'!I162</f>
        <v>172994.1449085919</v>
      </c>
      <c r="H173" s="14">
        <f t="shared" si="7"/>
        <v>220945.85517016132</v>
      </c>
      <c r="I173" s="55">
        <f t="shared" si="8"/>
        <v>-13210.399038765492</v>
      </c>
    </row>
    <row r="174" spans="1:9" x14ac:dyDescent="0.25">
      <c r="A174" s="49">
        <f>'A) Base RI'!A165</f>
        <v>5663</v>
      </c>
      <c r="B174" s="32" t="str">
        <f>'A) Base RI'!B165</f>
        <v>Bussy-sur-Moudon</v>
      </c>
      <c r="C174" s="31">
        <f>'D) Ecrêtage'!C163</f>
        <v>5275.6077688756623</v>
      </c>
      <c r="D174" s="14">
        <f>'A) Base RI'!V165</f>
        <v>214</v>
      </c>
      <c r="E174" s="10">
        <f t="shared" si="6"/>
        <v>107002.5767424668</v>
      </c>
      <c r="F174" s="14">
        <f>'F) Population'!K166</f>
        <v>26723.088531187117</v>
      </c>
      <c r="G174" s="10">
        <f>'G) Solidarité'!I163</f>
        <v>109864.1600481624</v>
      </c>
      <c r="H174" s="14">
        <f t="shared" si="7"/>
        <v>136587.24857934951</v>
      </c>
      <c r="I174" s="55">
        <f t="shared" si="8"/>
        <v>-29584.671836882713</v>
      </c>
    </row>
    <row r="175" spans="1:9" x14ac:dyDescent="0.25">
      <c r="A175" s="49">
        <f>'A) Base RI'!A166</f>
        <v>5665</v>
      </c>
      <c r="B175" s="32" t="str">
        <f>'A) Base RI'!B166</f>
        <v>Chavannes-sur-Moudon</v>
      </c>
      <c r="C175" s="31">
        <f>'D) Ecrêtage'!C164</f>
        <v>4607.2565465259731</v>
      </c>
      <c r="D175" s="14">
        <f>'A) Base RI'!V166</f>
        <v>216</v>
      </c>
      <c r="E175" s="10">
        <f t="shared" si="6"/>
        <v>93446.735198993716</v>
      </c>
      <c r="F175" s="14">
        <f>'F) Population'!K167</f>
        <v>26972.837022132793</v>
      </c>
      <c r="G175" s="10">
        <f>'G) Solidarité'!I164</f>
        <v>107541.40602226263</v>
      </c>
      <c r="H175" s="14">
        <f t="shared" si="7"/>
        <v>134514.24304439541</v>
      </c>
      <c r="I175" s="55">
        <f t="shared" si="8"/>
        <v>-41067.507845401691</v>
      </c>
    </row>
    <row r="176" spans="1:9" x14ac:dyDescent="0.25">
      <c r="A176" s="49">
        <f>'A) Base RI'!A167</f>
        <v>5669</v>
      </c>
      <c r="B176" s="32" t="str">
        <f>'A) Base RI'!B167</f>
        <v>Curtilles</v>
      </c>
      <c r="C176" s="31">
        <f>'D) Ecrêtage'!C165</f>
        <v>7730.4977240355793</v>
      </c>
      <c r="D176" s="14">
        <f>'A) Base RI'!V167</f>
        <v>313</v>
      </c>
      <c r="E176" s="10">
        <f t="shared" si="6"/>
        <v>156793.91118757703</v>
      </c>
      <c r="F176" s="14">
        <f>'F) Population'!K168</f>
        <v>39085.638832997982</v>
      </c>
      <c r="G176" s="10">
        <f>'G) Solidarité'!I165</f>
        <v>140910.74821716765</v>
      </c>
      <c r="H176" s="14">
        <f t="shared" si="7"/>
        <v>179996.38705016562</v>
      </c>
      <c r="I176" s="55">
        <f t="shared" si="8"/>
        <v>-23202.475862588588</v>
      </c>
    </row>
    <row r="177" spans="1:9" x14ac:dyDescent="0.25">
      <c r="A177" s="49">
        <f>'A) Base RI'!A168</f>
        <v>5671</v>
      </c>
      <c r="B177" s="32" t="str">
        <f>'A) Base RI'!B168</f>
        <v>Dompierre</v>
      </c>
      <c r="C177" s="31">
        <f>'D) Ecrêtage'!C166</f>
        <v>6107.4315082005251</v>
      </c>
      <c r="D177" s="14">
        <f>'A) Base RI'!V168</f>
        <v>239</v>
      </c>
      <c r="E177" s="10">
        <f t="shared" si="6"/>
        <v>123874.05153792597</v>
      </c>
      <c r="F177" s="14">
        <f>'F) Population'!K169</f>
        <v>29844.944668008044</v>
      </c>
      <c r="G177" s="10">
        <f>'G) Solidarité'!I166</f>
        <v>117214.11045463347</v>
      </c>
      <c r="H177" s="14">
        <f t="shared" si="7"/>
        <v>147059.0551226415</v>
      </c>
      <c r="I177" s="55">
        <f t="shared" si="8"/>
        <v>-23185.003584715523</v>
      </c>
    </row>
    <row r="178" spans="1:9" x14ac:dyDescent="0.25">
      <c r="A178" s="49">
        <f>'A) Base RI'!A169</f>
        <v>5673</v>
      </c>
      <c r="B178" s="32" t="str">
        <f>'A) Base RI'!B169</f>
        <v>Hermenches</v>
      </c>
      <c r="C178" s="31">
        <f>'D) Ecrêtage'!C167</f>
        <v>9275.5467189326828</v>
      </c>
      <c r="D178" s="14">
        <f>'A) Base RI'!V169</f>
        <v>364</v>
      </c>
      <c r="E178" s="10">
        <f t="shared" si="6"/>
        <v>188131.38563416246</v>
      </c>
      <c r="F178" s="14">
        <f>'F) Population'!K170</f>
        <v>45454.225352112669</v>
      </c>
      <c r="G178" s="10">
        <f>'G) Solidarité'!I167</f>
        <v>157485.94442266243</v>
      </c>
      <c r="H178" s="14">
        <f t="shared" si="7"/>
        <v>202940.1697747751</v>
      </c>
      <c r="I178" s="55">
        <f t="shared" si="8"/>
        <v>-14808.784140612639</v>
      </c>
    </row>
    <row r="179" spans="1:9" x14ac:dyDescent="0.25">
      <c r="A179" s="49">
        <f>'A) Base RI'!A170</f>
        <v>5674</v>
      </c>
      <c r="B179" s="32" t="str">
        <f>'A) Base RI'!B170</f>
        <v>Lovatens</v>
      </c>
      <c r="C179" s="31">
        <f>'D) Ecrêtage'!C168</f>
        <v>3271.992985930126</v>
      </c>
      <c r="D179" s="14">
        <f>'A) Base RI'!V170</f>
        <v>146</v>
      </c>
      <c r="E179" s="10">
        <f t="shared" si="6"/>
        <v>66364.236295833878</v>
      </c>
      <c r="F179" s="14">
        <f>'F) Population'!K171</f>
        <v>18231.639839034204</v>
      </c>
      <c r="G179" s="10">
        <f>'G) Solidarité'!I168</f>
        <v>73197.385014223619</v>
      </c>
      <c r="H179" s="14">
        <f t="shared" si="7"/>
        <v>91429.024853257826</v>
      </c>
      <c r="I179" s="55">
        <f t="shared" si="8"/>
        <v>-25064.788557423948</v>
      </c>
    </row>
    <row r="180" spans="1:9" x14ac:dyDescent="0.25">
      <c r="A180" s="49">
        <f>'A) Base RI'!A171</f>
        <v>5675</v>
      </c>
      <c r="B180" s="32" t="str">
        <f>'A) Base RI'!B171</f>
        <v>Lucens</v>
      </c>
      <c r="C180" s="31">
        <f>'D) Ecrêtage'!C169</f>
        <v>90143.04189619486</v>
      </c>
      <c r="D180" s="14">
        <f>'A) Base RI'!V171</f>
        <v>4199</v>
      </c>
      <c r="E180" s="10">
        <f t="shared" si="6"/>
        <v>1828327.3095476255</v>
      </c>
      <c r="F180" s="14">
        <f>'F) Population'!K172</f>
        <v>1423066.9014084504</v>
      </c>
      <c r="G180" s="10">
        <f>'G) Solidarité'!I169</f>
        <v>1856798.4455982279</v>
      </c>
      <c r="H180" s="14">
        <f t="shared" si="7"/>
        <v>3279865.3470066786</v>
      </c>
      <c r="I180" s="55">
        <f t="shared" si="8"/>
        <v>-1451538.0374590531</v>
      </c>
    </row>
    <row r="181" spans="1:9" x14ac:dyDescent="0.25">
      <c r="A181" s="49">
        <f>'A) Base RI'!A172</f>
        <v>5678</v>
      </c>
      <c r="B181" s="32" t="str">
        <f>'A) Base RI'!B172</f>
        <v>Moudon</v>
      </c>
      <c r="C181" s="31">
        <f>'D) Ecrêtage'!C170</f>
        <v>115752.26296280598</v>
      </c>
      <c r="D181" s="14">
        <f>'A) Base RI'!V172</f>
        <v>6135</v>
      </c>
      <c r="E181" s="10">
        <f t="shared" si="6"/>
        <v>2347746.6376222856</v>
      </c>
      <c r="F181" s="14">
        <f>'F) Population'!K173</f>
        <v>2503478.8732394362</v>
      </c>
      <c r="G181" s="10">
        <f>'G) Solidarité'!I170</f>
        <v>3562031.2562820832</v>
      </c>
      <c r="H181" s="14">
        <f t="shared" si="7"/>
        <v>6065510.1295215189</v>
      </c>
      <c r="I181" s="55">
        <f t="shared" si="8"/>
        <v>-3717763.4918992333</v>
      </c>
    </row>
    <row r="182" spans="1:9" x14ac:dyDescent="0.25">
      <c r="A182" s="49">
        <f>'A) Base RI'!A173</f>
        <v>5680</v>
      </c>
      <c r="B182" s="32" t="str">
        <f>'A) Base RI'!B173</f>
        <v>Ogens</v>
      </c>
      <c r="C182" s="31">
        <f>'D) Ecrêtage'!C171</f>
        <v>6425.0974128432881</v>
      </c>
      <c r="D182" s="14">
        <f>'A) Base RI'!V173</f>
        <v>299</v>
      </c>
      <c r="E182" s="10">
        <f t="shared" si="6"/>
        <v>130317.11399236742</v>
      </c>
      <c r="F182" s="14">
        <f>'F) Population'!K174</f>
        <v>37337.399396378263</v>
      </c>
      <c r="G182" s="10">
        <f>'G) Solidarité'!I171</f>
        <v>168807.87595553102</v>
      </c>
      <c r="H182" s="14">
        <f t="shared" si="7"/>
        <v>206145.27535190928</v>
      </c>
      <c r="I182" s="55">
        <f t="shared" si="8"/>
        <v>-75828.16135954186</v>
      </c>
    </row>
    <row r="183" spans="1:9" x14ac:dyDescent="0.25">
      <c r="A183" s="49">
        <f>'A) Base RI'!A174</f>
        <v>5683</v>
      </c>
      <c r="B183" s="32" t="str">
        <f>'A) Base RI'!B174</f>
        <v>Prévonloup</v>
      </c>
      <c r="C183" s="31">
        <f>'D) Ecrêtage'!C172</f>
        <v>3739.7592858383009</v>
      </c>
      <c r="D183" s="14">
        <f>'A) Base RI'!V174</f>
        <v>184</v>
      </c>
      <c r="E183" s="10">
        <f t="shared" si="6"/>
        <v>75851.711786099782</v>
      </c>
      <c r="F183" s="14">
        <f>'F) Population'!K175</f>
        <v>22976.861167002007</v>
      </c>
      <c r="G183" s="10">
        <f>'G) Solidarité'!I172</f>
        <v>98163.444917778252</v>
      </c>
      <c r="H183" s="14">
        <f t="shared" si="7"/>
        <v>121140.30608478026</v>
      </c>
      <c r="I183" s="55">
        <f t="shared" si="8"/>
        <v>-45288.594298680473</v>
      </c>
    </row>
    <row r="184" spans="1:9" x14ac:dyDescent="0.25">
      <c r="A184" s="49">
        <f>'A) Base RI'!A175</f>
        <v>5684</v>
      </c>
      <c r="B184" s="32" t="str">
        <f>'A) Base RI'!B175</f>
        <v>Rossenges</v>
      </c>
      <c r="C184" s="31">
        <f>'D) Ecrêtage'!C173</f>
        <v>1960.0054491323369</v>
      </c>
      <c r="D184" s="14">
        <f>'A) Base RI'!V175</f>
        <v>65</v>
      </c>
      <c r="E184" s="10">
        <f t="shared" si="6"/>
        <v>39753.833619653786</v>
      </c>
      <c r="F184" s="14">
        <f>'F) Population'!K176</f>
        <v>8116.8259557344054</v>
      </c>
      <c r="G184" s="10">
        <f>'G) Solidarité'!I173</f>
        <v>21330.4627034488</v>
      </c>
      <c r="H184" s="14">
        <f t="shared" si="7"/>
        <v>29447.288659183207</v>
      </c>
      <c r="I184" s="55">
        <f t="shared" si="8"/>
        <v>10306.544960470579</v>
      </c>
    </row>
    <row r="185" spans="1:9" x14ac:dyDescent="0.25">
      <c r="A185" s="49">
        <f>'A) Base RI'!A176</f>
        <v>5688</v>
      </c>
      <c r="B185" s="32" t="str">
        <f>'A) Base RI'!B176</f>
        <v>Syens</v>
      </c>
      <c r="C185" s="31">
        <f>'D) Ecrêtage'!C174</f>
        <v>3766.5702445621059</v>
      </c>
      <c r="D185" s="14">
        <f>'A) Base RI'!V176</f>
        <v>159</v>
      </c>
      <c r="E185" s="10">
        <f t="shared" si="6"/>
        <v>76395.505372368323</v>
      </c>
      <c r="F185" s="14">
        <f>'F) Population'!K177</f>
        <v>19855.005030181084</v>
      </c>
      <c r="G185" s="10">
        <f>'G) Solidarité'!I174</f>
        <v>76376.634966592756</v>
      </c>
      <c r="H185" s="14">
        <f t="shared" si="7"/>
        <v>96231.63999677384</v>
      </c>
      <c r="I185" s="55">
        <f t="shared" si="8"/>
        <v>-19836.134624405517</v>
      </c>
    </row>
    <row r="186" spans="1:9" x14ac:dyDescent="0.25">
      <c r="A186" s="49">
        <f>'A) Base RI'!A177</f>
        <v>5690</v>
      </c>
      <c r="B186" s="32" t="str">
        <f>'A) Base RI'!B177</f>
        <v>Villars-le-Comte</v>
      </c>
      <c r="C186" s="31">
        <f>'D) Ecrêtage'!C175</f>
        <v>4066.8729144140357</v>
      </c>
      <c r="D186" s="14">
        <f>'A) Base RI'!V177</f>
        <v>132</v>
      </c>
      <c r="E186" s="10">
        <f t="shared" si="6"/>
        <v>82486.397812548152</v>
      </c>
      <c r="F186" s="14">
        <f>'F) Population'!K178</f>
        <v>16483.400402414485</v>
      </c>
      <c r="G186" s="10">
        <f>'G) Solidarité'!I175</f>
        <v>36047.673936567109</v>
      </c>
      <c r="H186" s="14">
        <f t="shared" si="7"/>
        <v>52531.074338981591</v>
      </c>
      <c r="I186" s="55">
        <f t="shared" si="8"/>
        <v>29955.323473566561</v>
      </c>
    </row>
    <row r="187" spans="1:9" x14ac:dyDescent="0.25">
      <c r="A187" s="49">
        <f>'A) Base RI'!A178</f>
        <v>5692</v>
      </c>
      <c r="B187" s="32" t="str">
        <f>'A) Base RI'!B178</f>
        <v>Vucherens</v>
      </c>
      <c r="C187" s="31">
        <f>'D) Ecrêtage'!C176</f>
        <v>16181.962340912567</v>
      </c>
      <c r="D187" s="14">
        <f>'A) Base RI'!V178</f>
        <v>577</v>
      </c>
      <c r="E187" s="10">
        <f t="shared" si="6"/>
        <v>328210.84187542333</v>
      </c>
      <c r="F187" s="14">
        <f>'F) Population'!K179</f>
        <v>72052.439637826945</v>
      </c>
      <c r="G187" s="10">
        <f>'G) Solidarité'!I176</f>
        <v>240283.19395656369</v>
      </c>
      <c r="H187" s="14">
        <f t="shared" si="7"/>
        <v>312335.63359439065</v>
      </c>
      <c r="I187" s="55">
        <f t="shared" si="8"/>
        <v>15875.208281032683</v>
      </c>
    </row>
    <row r="188" spans="1:9" x14ac:dyDescent="0.25">
      <c r="A188" s="49">
        <f>'A) Base RI'!A179</f>
        <v>5693</v>
      </c>
      <c r="B188" s="32" t="str">
        <f>'A) Base RI'!B179</f>
        <v>Montanaire</v>
      </c>
      <c r="C188" s="31">
        <f>'D) Ecrêtage'!C177</f>
        <v>69189.830336889005</v>
      </c>
      <c r="D188" s="14">
        <f>'A) Base RI'!V179</f>
        <v>2685</v>
      </c>
      <c r="E188" s="10">
        <f t="shared" si="6"/>
        <v>1403343.5491734927</v>
      </c>
      <c r="F188" s="14">
        <f>'F) Population'!K180</f>
        <v>714030.93561368203</v>
      </c>
      <c r="G188" s="10">
        <f>'G) Solidarité'!I177</f>
        <v>1054728.6297613583</v>
      </c>
      <c r="H188" s="14">
        <f t="shared" si="7"/>
        <v>1768759.5653750403</v>
      </c>
      <c r="I188" s="55">
        <f t="shared" si="8"/>
        <v>-365416.01620154758</v>
      </c>
    </row>
    <row r="189" spans="1:9" x14ac:dyDescent="0.25">
      <c r="A189" s="49">
        <f>'A) Base RI'!A180</f>
        <v>5701</v>
      </c>
      <c r="B189" s="32" t="str">
        <f>'A) Base RI'!B180</f>
        <v>Arnex-sur-Nyon</v>
      </c>
      <c r="C189" s="31">
        <f>'D) Ecrêtage'!C178</f>
        <v>13494.151628023246</v>
      </c>
      <c r="D189" s="14">
        <f>'A) Base RI'!V180</f>
        <v>235</v>
      </c>
      <c r="E189" s="10">
        <f t="shared" si="6"/>
        <v>273695.28941681853</v>
      </c>
      <c r="F189" s="14">
        <f>'F) Population'!K181</f>
        <v>29345.447686116695</v>
      </c>
      <c r="G189" s="10">
        <f>'G) Solidarité'!I178</f>
        <v>0</v>
      </c>
      <c r="H189" s="14">
        <f t="shared" si="7"/>
        <v>29345.447686116695</v>
      </c>
      <c r="I189" s="55">
        <f t="shared" si="8"/>
        <v>244349.84173070182</v>
      </c>
    </row>
    <row r="190" spans="1:9" x14ac:dyDescent="0.25">
      <c r="A190" s="49">
        <f>'A) Base RI'!A181</f>
        <v>5702</v>
      </c>
      <c r="B190" s="32" t="str">
        <f>'A) Base RI'!B181</f>
        <v>Arzier-Le Muids</v>
      </c>
      <c r="C190" s="31">
        <f>'D) Ecrêtage'!C179</f>
        <v>176187.34911477199</v>
      </c>
      <c r="D190" s="14">
        <f>'A) Base RI'!V181</f>
        <v>2697</v>
      </c>
      <c r="E190" s="10">
        <f t="shared" si="6"/>
        <v>3573521.9846950499</v>
      </c>
      <c r="F190" s="14">
        <f>'F) Population'!K182</f>
        <v>718226.71026156936</v>
      </c>
      <c r="G190" s="10">
        <f>'G) Solidarité'!I179</f>
        <v>0</v>
      </c>
      <c r="H190" s="14">
        <f t="shared" si="7"/>
        <v>718226.71026156936</v>
      </c>
      <c r="I190" s="55">
        <f t="shared" si="8"/>
        <v>2855295.2744334806</v>
      </c>
    </row>
    <row r="191" spans="1:9" x14ac:dyDescent="0.25">
      <c r="A191" s="49">
        <f>'A) Base RI'!A182</f>
        <v>5703</v>
      </c>
      <c r="B191" s="32" t="str">
        <f>'A) Base RI'!B182</f>
        <v>Bassins</v>
      </c>
      <c r="C191" s="31">
        <f>'D) Ecrêtage'!C180</f>
        <v>55300.638649310058</v>
      </c>
      <c r="D191" s="14">
        <f>'A) Base RI'!V182</f>
        <v>1347</v>
      </c>
      <c r="E191" s="10">
        <f t="shared" si="6"/>
        <v>1121635.8550933977</v>
      </c>
      <c r="F191" s="14">
        <f>'F) Population'!K183</f>
        <v>246202.06237424543</v>
      </c>
      <c r="G191" s="10">
        <f>'G) Solidarité'!I180</f>
        <v>110596.80266185687</v>
      </c>
      <c r="H191" s="14">
        <f t="shared" si="7"/>
        <v>356798.8650361023</v>
      </c>
      <c r="I191" s="55">
        <f t="shared" si="8"/>
        <v>764836.99005729542</v>
      </c>
    </row>
    <row r="192" spans="1:9" x14ac:dyDescent="0.25">
      <c r="A192" s="49">
        <f>'A) Base RI'!A183</f>
        <v>5704</v>
      </c>
      <c r="B192" s="32" t="str">
        <f>'A) Base RI'!B183</f>
        <v>Begnins</v>
      </c>
      <c r="C192" s="31">
        <f>'D) Ecrêtage'!C181</f>
        <v>122435.43857401636</v>
      </c>
      <c r="D192" s="14">
        <f>'A) Base RI'!V183</f>
        <v>1952</v>
      </c>
      <c r="E192" s="10">
        <f t="shared" si="6"/>
        <v>2483298.2257143487</v>
      </c>
      <c r="F192" s="14">
        <f>'F) Population'!K184</f>
        <v>457739.03420523135</v>
      </c>
      <c r="G192" s="10">
        <f>'G) Solidarité'!I181</f>
        <v>0</v>
      </c>
      <c r="H192" s="14">
        <f t="shared" si="7"/>
        <v>457739.03420523135</v>
      </c>
      <c r="I192" s="55">
        <f t="shared" si="8"/>
        <v>2025559.1915091174</v>
      </c>
    </row>
    <row r="193" spans="1:9" x14ac:dyDescent="0.25">
      <c r="A193" s="49">
        <f>'A) Base RI'!A184</f>
        <v>5705</v>
      </c>
      <c r="B193" s="32" t="str">
        <f>'A) Base RI'!B184</f>
        <v>Bogis-Bossey</v>
      </c>
      <c r="C193" s="31">
        <f>'D) Ecrêtage'!C182</f>
        <v>49357.057232158906</v>
      </c>
      <c r="D193" s="14">
        <f>'A) Base RI'!V184</f>
        <v>867</v>
      </c>
      <c r="E193" s="10">
        <f t="shared" si="6"/>
        <v>1001085.0949580673</v>
      </c>
      <c r="F193" s="14">
        <f>'F) Population'!K185</f>
        <v>108265.97082494968</v>
      </c>
      <c r="G193" s="10">
        <f>'G) Solidarité'!I182</f>
        <v>0</v>
      </c>
      <c r="H193" s="14">
        <f t="shared" si="7"/>
        <v>108265.97082494968</v>
      </c>
      <c r="I193" s="55">
        <f t="shared" si="8"/>
        <v>892819.12413311761</v>
      </c>
    </row>
    <row r="194" spans="1:9" x14ac:dyDescent="0.25">
      <c r="A194" s="49">
        <f>'A) Base RI'!A185</f>
        <v>5706</v>
      </c>
      <c r="B194" s="32" t="str">
        <f>'A) Base RI'!B185</f>
        <v>Borex</v>
      </c>
      <c r="C194" s="31">
        <f>'D) Ecrêtage'!C183</f>
        <v>70814.792156181808</v>
      </c>
      <c r="D194" s="14">
        <f>'A) Base RI'!V185</f>
        <v>1140</v>
      </c>
      <c r="E194" s="10">
        <f t="shared" si="6"/>
        <v>1436301.8564226143</v>
      </c>
      <c r="F194" s="14">
        <f>'F) Population'!K186</f>
        <v>173824.9496981891</v>
      </c>
      <c r="G194" s="10">
        <f>'G) Solidarité'!I183</f>
        <v>0</v>
      </c>
      <c r="H194" s="14">
        <f t="shared" si="7"/>
        <v>173824.9496981891</v>
      </c>
      <c r="I194" s="55">
        <f t="shared" si="8"/>
        <v>1262476.9067244253</v>
      </c>
    </row>
    <row r="195" spans="1:9" x14ac:dyDescent="0.25">
      <c r="A195" s="49">
        <f>'A) Base RI'!A186</f>
        <v>5707</v>
      </c>
      <c r="B195" s="32" t="str">
        <f>'A) Base RI'!B186</f>
        <v>Chavannes-de-Bogis</v>
      </c>
      <c r="C195" s="31">
        <f>'D) Ecrêtage'!C184</f>
        <v>74977.772605941107</v>
      </c>
      <c r="D195" s="14">
        <f>'A) Base RI'!V186</f>
        <v>1281</v>
      </c>
      <c r="E195" s="10">
        <f t="shared" si="6"/>
        <v>1520737.5564533793</v>
      </c>
      <c r="F195" s="14">
        <f>'F) Population'!K187</f>
        <v>223125.30181086517</v>
      </c>
      <c r="G195" s="10">
        <f>'G) Solidarité'!I184</f>
        <v>0</v>
      </c>
      <c r="H195" s="14">
        <f t="shared" si="7"/>
        <v>223125.30181086517</v>
      </c>
      <c r="I195" s="55">
        <f t="shared" si="8"/>
        <v>1297612.254642514</v>
      </c>
    </row>
    <row r="196" spans="1:9" x14ac:dyDescent="0.25">
      <c r="A196" s="49">
        <f>'A) Base RI'!A187</f>
        <v>5708</v>
      </c>
      <c r="B196" s="32" t="str">
        <f>'A) Base RI'!B187</f>
        <v>Chavannes-des-Bois</v>
      </c>
      <c r="C196" s="31">
        <f>'D) Ecrêtage'!C185</f>
        <v>57043.960322475032</v>
      </c>
      <c r="D196" s="14">
        <f>'A) Base RI'!V187</f>
        <v>964</v>
      </c>
      <c r="E196" s="10">
        <f t="shared" si="6"/>
        <v>1156994.7974734898</v>
      </c>
      <c r="F196" s="14">
        <f>'F) Population'!K188</f>
        <v>120378.77263581486</v>
      </c>
      <c r="G196" s="10">
        <f>'G) Solidarité'!I185</f>
        <v>0</v>
      </c>
      <c r="H196" s="14">
        <f t="shared" si="7"/>
        <v>120378.77263581486</v>
      </c>
      <c r="I196" s="55">
        <f t="shared" si="8"/>
        <v>1036616.0248376749</v>
      </c>
    </row>
    <row r="197" spans="1:9" x14ac:dyDescent="0.25">
      <c r="A197" s="49">
        <f>'A) Base RI'!A188</f>
        <v>5709</v>
      </c>
      <c r="B197" s="32" t="str">
        <f>'A) Base RI'!B188</f>
        <v>Chéserex</v>
      </c>
      <c r="C197" s="31">
        <f>'D) Ecrêtage'!C186</f>
        <v>106115.90679849937</v>
      </c>
      <c r="D197" s="14">
        <f>'A) Base RI'!V188</f>
        <v>1227</v>
      </c>
      <c r="E197" s="10">
        <f t="shared" si="6"/>
        <v>2152297.1301603783</v>
      </c>
      <c r="F197" s="14">
        <f>'F) Population'!K189</f>
        <v>204244.31589537222</v>
      </c>
      <c r="G197" s="10">
        <f>'G) Solidarité'!I186</f>
        <v>0</v>
      </c>
      <c r="H197" s="14">
        <f t="shared" si="7"/>
        <v>204244.31589537222</v>
      </c>
      <c r="I197" s="55">
        <f t="shared" si="8"/>
        <v>1948052.814265006</v>
      </c>
    </row>
    <row r="198" spans="1:9" x14ac:dyDescent="0.25">
      <c r="A198" s="49">
        <f>'A) Base RI'!A189</f>
        <v>5710</v>
      </c>
      <c r="B198" s="32" t="str">
        <f>'A) Base RI'!B189</f>
        <v>Coinsins</v>
      </c>
      <c r="C198" s="31">
        <f>'D) Ecrêtage'!C187</f>
        <v>136110.49360949438</v>
      </c>
      <c r="D198" s="14">
        <f>'A) Base RI'!V189</f>
        <v>499</v>
      </c>
      <c r="E198" s="10">
        <f t="shared" si="6"/>
        <v>2760662.69062472</v>
      </c>
      <c r="F198" s="14">
        <f>'F) Population'!K190</f>
        <v>62312.248490945662</v>
      </c>
      <c r="G198" s="10">
        <f>'G) Solidarité'!I187</f>
        <v>0</v>
      </c>
      <c r="H198" s="14">
        <f t="shared" si="7"/>
        <v>62312.248490945662</v>
      </c>
      <c r="I198" s="55">
        <f t="shared" si="8"/>
        <v>2698350.4421337745</v>
      </c>
    </row>
    <row r="199" spans="1:9" x14ac:dyDescent="0.25">
      <c r="A199" s="49">
        <f>'A) Base RI'!A190</f>
        <v>5711</v>
      </c>
      <c r="B199" s="32" t="str">
        <f>'A) Base RI'!B190</f>
        <v>Commugny</v>
      </c>
      <c r="C199" s="31">
        <f>'D) Ecrêtage'!C188</f>
        <v>277708.93037627928</v>
      </c>
      <c r="D199" s="14">
        <f>'A) Base RI'!V190</f>
        <v>2877</v>
      </c>
      <c r="E199" s="10">
        <f t="shared" si="6"/>
        <v>5632634.6530096913</v>
      </c>
      <c r="F199" s="14">
        <f>'F) Population'!K191</f>
        <v>781163.3299798792</v>
      </c>
      <c r="G199" s="10">
        <f>'G) Solidarité'!I188</f>
        <v>0</v>
      </c>
      <c r="H199" s="14">
        <f t="shared" si="7"/>
        <v>781163.3299798792</v>
      </c>
      <c r="I199" s="55">
        <f t="shared" si="8"/>
        <v>4851471.3230298124</v>
      </c>
    </row>
    <row r="200" spans="1:9" x14ac:dyDescent="0.25">
      <c r="A200" s="49">
        <f>'A) Base RI'!A191</f>
        <v>5712</v>
      </c>
      <c r="B200" s="32" t="str">
        <f>'A) Base RI'!B191</f>
        <v>Coppet</v>
      </c>
      <c r="C200" s="31">
        <f>'D) Ecrêtage'!C189</f>
        <v>337534.69243130391</v>
      </c>
      <c r="D200" s="14">
        <f>'A) Base RI'!V191</f>
        <v>3126</v>
      </c>
      <c r="E200" s="10">
        <f t="shared" si="6"/>
        <v>6846051.3769056788</v>
      </c>
      <c r="F200" s="14">
        <f>'F) Population'!K192</f>
        <v>887106.63983903406</v>
      </c>
      <c r="G200" s="10">
        <f>'G) Solidarité'!I189</f>
        <v>0</v>
      </c>
      <c r="H200" s="14">
        <f t="shared" si="7"/>
        <v>887106.63983903406</v>
      </c>
      <c r="I200" s="55">
        <f t="shared" si="8"/>
        <v>5958944.7370666452</v>
      </c>
    </row>
    <row r="201" spans="1:9" x14ac:dyDescent="0.25">
      <c r="A201" s="49">
        <f>'A) Base RI'!A192</f>
        <v>5713</v>
      </c>
      <c r="B201" s="32" t="str">
        <f>'A) Base RI'!B192</f>
        <v>Crans-près-Céligny</v>
      </c>
      <c r="C201" s="31">
        <f>'D) Ecrêtage'!C190</f>
        <v>273158.77225218777</v>
      </c>
      <c r="D201" s="14">
        <f>'A) Base RI'!V192</f>
        <v>2193</v>
      </c>
      <c r="E201" s="10">
        <f t="shared" si="6"/>
        <v>5540346.0172365988</v>
      </c>
      <c r="F201" s="14">
        <f>'F) Population'!K193</f>
        <v>542004.17505030171</v>
      </c>
      <c r="G201" s="10">
        <f>'G) Solidarité'!I190</f>
        <v>0</v>
      </c>
      <c r="H201" s="14">
        <f t="shared" si="7"/>
        <v>542004.17505030171</v>
      </c>
      <c r="I201" s="55">
        <f t="shared" si="8"/>
        <v>4998341.8421862973</v>
      </c>
    </row>
    <row r="202" spans="1:9" x14ac:dyDescent="0.25">
      <c r="A202" s="49">
        <f>'A) Base RI'!A193</f>
        <v>5714</v>
      </c>
      <c r="B202" s="32" t="str">
        <f>'A) Base RI'!B193</f>
        <v>Crassier</v>
      </c>
      <c r="C202" s="31">
        <f>'D) Ecrêtage'!C191</f>
        <v>74464.147646326936</v>
      </c>
      <c r="D202" s="14">
        <f>'A) Base RI'!V193</f>
        <v>1175</v>
      </c>
      <c r="E202" s="10">
        <f t="shared" si="6"/>
        <v>1510319.9521572064</v>
      </c>
      <c r="F202" s="14">
        <f>'F) Population'!K194</f>
        <v>186062.62575452714</v>
      </c>
      <c r="G202" s="10">
        <f>'G) Solidarité'!I191</f>
        <v>0</v>
      </c>
      <c r="H202" s="14">
        <f t="shared" si="7"/>
        <v>186062.62575452714</v>
      </c>
      <c r="I202" s="55">
        <f t="shared" si="8"/>
        <v>1324257.3264026793</v>
      </c>
    </row>
    <row r="203" spans="1:9" x14ac:dyDescent="0.25">
      <c r="A203" s="49">
        <f>'A) Base RI'!A194</f>
        <v>5715</v>
      </c>
      <c r="B203" s="32" t="str">
        <f>'A) Base RI'!B194</f>
        <v>Duillier</v>
      </c>
      <c r="C203" s="31">
        <f>'D) Ecrêtage'!C192</f>
        <v>77556.587804651164</v>
      </c>
      <c r="D203" s="14">
        <f>'A) Base RI'!V194</f>
        <v>1085</v>
      </c>
      <c r="E203" s="10">
        <f t="shared" si="6"/>
        <v>1573042.4061111887</v>
      </c>
      <c r="F203" s="14">
        <f>'F) Population'!K195</f>
        <v>154594.31589537222</v>
      </c>
      <c r="G203" s="10">
        <f>'G) Solidarité'!I192</f>
        <v>0</v>
      </c>
      <c r="H203" s="14">
        <f t="shared" si="7"/>
        <v>154594.31589537222</v>
      </c>
      <c r="I203" s="55">
        <f t="shared" si="8"/>
        <v>1418448.0902158164</v>
      </c>
    </row>
    <row r="204" spans="1:9" x14ac:dyDescent="0.25">
      <c r="A204" s="49">
        <f>'A) Base RI'!A195</f>
        <v>5716</v>
      </c>
      <c r="B204" s="32" t="str">
        <f>'A) Base RI'!B195</f>
        <v>Eysins</v>
      </c>
      <c r="C204" s="31">
        <f>'D) Ecrêtage'!C193</f>
        <v>177981.86327972834</v>
      </c>
      <c r="D204" s="14">
        <f>'A) Base RI'!V195</f>
        <v>1618</v>
      </c>
      <c r="E204" s="10">
        <f t="shared" si="6"/>
        <v>3609919.239393177</v>
      </c>
      <c r="F204" s="14">
        <f>'F) Population'!K196</f>
        <v>340956.63983903418</v>
      </c>
      <c r="G204" s="10">
        <f>'G) Solidarité'!I193</f>
        <v>0</v>
      </c>
      <c r="H204" s="14">
        <f t="shared" si="7"/>
        <v>340956.63983903418</v>
      </c>
      <c r="I204" s="55">
        <f t="shared" si="8"/>
        <v>3268962.5995541429</v>
      </c>
    </row>
    <row r="205" spans="1:9" x14ac:dyDescent="0.25">
      <c r="A205" s="49">
        <f>'A) Base RI'!A196</f>
        <v>5717</v>
      </c>
      <c r="B205" s="32" t="str">
        <f>'A) Base RI'!B196</f>
        <v>Founex</v>
      </c>
      <c r="C205" s="31">
        <f>'D) Ecrêtage'!C194</f>
        <v>372726.48546710185</v>
      </c>
      <c r="D205" s="14">
        <f>'A) Base RI'!V196</f>
        <v>3790</v>
      </c>
      <c r="E205" s="10">
        <f t="shared" si="6"/>
        <v>7559829.333870912</v>
      </c>
      <c r="F205" s="14">
        <f>'F) Population'!K197</f>
        <v>1218772.6358148891</v>
      </c>
      <c r="G205" s="10">
        <f>'G) Solidarité'!I194</f>
        <v>0</v>
      </c>
      <c r="H205" s="14">
        <f t="shared" si="7"/>
        <v>1218772.6358148891</v>
      </c>
      <c r="I205" s="55">
        <f t="shared" si="8"/>
        <v>6341056.6980560226</v>
      </c>
    </row>
    <row r="206" spans="1:9" x14ac:dyDescent="0.25">
      <c r="A206" s="49">
        <f>'A) Base RI'!A197</f>
        <v>5718</v>
      </c>
      <c r="B206" s="32" t="str">
        <f>'A) Base RI'!B197</f>
        <v>Genolier</v>
      </c>
      <c r="C206" s="31">
        <f>'D) Ecrêtage'!C195</f>
        <v>170666.41821719555</v>
      </c>
      <c r="D206" s="14">
        <f>'A) Base RI'!V197</f>
        <v>1961</v>
      </c>
      <c r="E206" s="10">
        <f t="shared" si="6"/>
        <v>3461543.6387037062</v>
      </c>
      <c r="F206" s="14">
        <f>'F) Population'!K198</f>
        <v>460885.86519114685</v>
      </c>
      <c r="G206" s="10">
        <f>'G) Solidarité'!I195</f>
        <v>0</v>
      </c>
      <c r="H206" s="14">
        <f t="shared" si="7"/>
        <v>460885.86519114685</v>
      </c>
      <c r="I206" s="55">
        <f t="shared" si="8"/>
        <v>3000657.7735125595</v>
      </c>
    </row>
    <row r="207" spans="1:9" x14ac:dyDescent="0.25">
      <c r="A207" s="49">
        <f>'A) Base RI'!A198</f>
        <v>5719</v>
      </c>
      <c r="B207" s="32" t="str">
        <f>'A) Base RI'!B198</f>
        <v>Gingins</v>
      </c>
      <c r="C207" s="31">
        <f>'D) Ecrêtage'!C196</f>
        <v>110505.6531809626</v>
      </c>
      <c r="D207" s="14">
        <f>'A) Base RI'!V198</f>
        <v>1226</v>
      </c>
      <c r="E207" s="10">
        <f t="shared" si="6"/>
        <v>2241332.212893527</v>
      </c>
      <c r="F207" s="14">
        <f>'F) Population'!K199</f>
        <v>203894.66800804826</v>
      </c>
      <c r="G207" s="10">
        <f>'G) Solidarité'!I196</f>
        <v>0</v>
      </c>
      <c r="H207" s="14">
        <f t="shared" si="7"/>
        <v>203894.66800804826</v>
      </c>
      <c r="I207" s="55">
        <f t="shared" si="8"/>
        <v>2037437.5448854787</v>
      </c>
    </row>
    <row r="208" spans="1:9" x14ac:dyDescent="0.25">
      <c r="A208" s="49">
        <f>'A) Base RI'!A199</f>
        <v>5720</v>
      </c>
      <c r="B208" s="32" t="str">
        <f>'A) Base RI'!B199</f>
        <v>Givrins</v>
      </c>
      <c r="C208" s="31">
        <f>'D) Ecrêtage'!C197</f>
        <v>66980.280368955675</v>
      </c>
      <c r="D208" s="14">
        <f>'A) Base RI'!V199</f>
        <v>1033</v>
      </c>
      <c r="E208" s="10">
        <f t="shared" si="6"/>
        <v>1358528.3259105077</v>
      </c>
      <c r="F208" s="14">
        <f>'F) Population'!K200</f>
        <v>136412.62575452714</v>
      </c>
      <c r="G208" s="10">
        <f>'G) Solidarité'!I197</f>
        <v>0</v>
      </c>
      <c r="H208" s="14">
        <f t="shared" si="7"/>
        <v>136412.62575452714</v>
      </c>
      <c r="I208" s="55">
        <f t="shared" si="8"/>
        <v>1222115.7001559807</v>
      </c>
    </row>
    <row r="209" spans="1:9" x14ac:dyDescent="0.25">
      <c r="A209" s="49">
        <f>'A) Base RI'!A200</f>
        <v>5721</v>
      </c>
      <c r="B209" s="32" t="str">
        <f>'A) Base RI'!B200</f>
        <v>Gland</v>
      </c>
      <c r="C209" s="31">
        <f>'D) Ecrêtage'!C198</f>
        <v>636120.41665849148</v>
      </c>
      <c r="D209" s="14">
        <f>'A) Base RI'!V200</f>
        <v>13101</v>
      </c>
      <c r="E209" s="10">
        <f t="shared" ref="E209:E272" si="9">C209*E$15</f>
        <v>12902119.847218387</v>
      </c>
      <c r="F209" s="14">
        <f>'F) Population'!K201</f>
        <v>7868076.4587525139</v>
      </c>
      <c r="G209" s="10">
        <f>'G) Solidarité'!I198</f>
        <v>0</v>
      </c>
      <c r="H209" s="14">
        <f t="shared" ref="H209:H272" si="10">F209+G209</f>
        <v>7868076.4587525139</v>
      </c>
      <c r="I209" s="55">
        <f t="shared" ref="I209:I272" si="11">E209-H209</f>
        <v>5034043.388465873</v>
      </c>
    </row>
    <row r="210" spans="1:9" x14ac:dyDescent="0.25">
      <c r="A210" s="49">
        <f>'A) Base RI'!A201</f>
        <v>5722</v>
      </c>
      <c r="B210" s="32" t="str">
        <f>'A) Base RI'!B201</f>
        <v>Grens</v>
      </c>
      <c r="C210" s="31">
        <f>'D) Ecrêtage'!C199</f>
        <v>22061.884042906917</v>
      </c>
      <c r="D210" s="14">
        <f>'A) Base RI'!V201</f>
        <v>391</v>
      </c>
      <c r="E210" s="10">
        <f t="shared" si="9"/>
        <v>447470.42308788985</v>
      </c>
      <c r="F210" s="14">
        <f>'F) Population'!K202</f>
        <v>48825.829979879265</v>
      </c>
      <c r="G210" s="10">
        <f>'G) Solidarité'!I199</f>
        <v>0</v>
      </c>
      <c r="H210" s="14">
        <f t="shared" si="10"/>
        <v>48825.829979879265</v>
      </c>
      <c r="I210" s="55">
        <f t="shared" si="11"/>
        <v>398644.59310801059</v>
      </c>
    </row>
    <row r="211" spans="1:9" x14ac:dyDescent="0.25">
      <c r="A211" s="49">
        <f>'A) Base RI'!A202</f>
        <v>5723</v>
      </c>
      <c r="B211" s="32" t="str">
        <f>'A) Base RI'!B202</f>
        <v>Mies</v>
      </c>
      <c r="C211" s="31">
        <f>'D) Ecrêtage'!C200</f>
        <v>508753.19533233909</v>
      </c>
      <c r="D211" s="14">
        <f>'A) Base RI'!V202</f>
        <v>2075</v>
      </c>
      <c r="E211" s="10">
        <f t="shared" si="9"/>
        <v>10318792.679715389</v>
      </c>
      <c r="F211" s="14">
        <f>'F) Population'!K203</f>
        <v>500745.72434607637</v>
      </c>
      <c r="G211" s="10">
        <f>'G) Solidarité'!I200</f>
        <v>0</v>
      </c>
      <c r="H211" s="14">
        <f t="shared" si="10"/>
        <v>500745.72434607637</v>
      </c>
      <c r="I211" s="55">
        <f t="shared" si="11"/>
        <v>9818046.9553693123</v>
      </c>
    </row>
    <row r="212" spans="1:9" x14ac:dyDescent="0.25">
      <c r="A212" s="49">
        <f>'A) Base RI'!A203</f>
        <v>5724</v>
      </c>
      <c r="B212" s="32" t="str">
        <f>'A) Base RI'!B203</f>
        <v>Nyon</v>
      </c>
      <c r="C212" s="31">
        <f>'D) Ecrêtage'!C201</f>
        <v>1284648.9485752215</v>
      </c>
      <c r="D212" s="14">
        <f>'A) Base RI'!V203</f>
        <v>21239</v>
      </c>
      <c r="E212" s="10">
        <f t="shared" si="9"/>
        <v>26055907.438385069</v>
      </c>
      <c r="F212" s="14">
        <f>'F) Population'!K204</f>
        <v>16309525.503018107</v>
      </c>
      <c r="G212" s="10">
        <f>'G) Solidarité'!I201</f>
        <v>0</v>
      </c>
      <c r="H212" s="14">
        <f t="shared" si="10"/>
        <v>16309525.503018107</v>
      </c>
      <c r="I212" s="55">
        <f t="shared" si="11"/>
        <v>9746381.9353669621</v>
      </c>
    </row>
    <row r="213" spans="1:9" x14ac:dyDescent="0.25">
      <c r="A213" s="49">
        <f>'A) Base RI'!A204</f>
        <v>5725</v>
      </c>
      <c r="B213" s="32" t="str">
        <f>'A) Base RI'!B204</f>
        <v>Prangins</v>
      </c>
      <c r="C213" s="31">
        <f>'D) Ecrêtage'!C202</f>
        <v>331424.63115044968</v>
      </c>
      <c r="D213" s="14">
        <f>'A) Base RI'!V204</f>
        <v>4040</v>
      </c>
      <c r="E213" s="10">
        <f t="shared" si="9"/>
        <v>6722123.9869729141</v>
      </c>
      <c r="F213" s="14">
        <f>'F) Population'!K205</f>
        <v>1343646.8812877261</v>
      </c>
      <c r="G213" s="10">
        <f>'G) Solidarité'!I202</f>
        <v>0</v>
      </c>
      <c r="H213" s="14">
        <f t="shared" si="10"/>
        <v>1343646.8812877261</v>
      </c>
      <c r="I213" s="55">
        <f t="shared" si="11"/>
        <v>5378477.1056851875</v>
      </c>
    </row>
    <row r="214" spans="1:9" x14ac:dyDescent="0.25">
      <c r="A214" s="49">
        <f>'A) Base RI'!A205</f>
        <v>5726</v>
      </c>
      <c r="B214" s="32" t="str">
        <f>'A) Base RI'!B205</f>
        <v>La Rippe</v>
      </c>
      <c r="C214" s="31">
        <f>'D) Ecrêtage'!C203</f>
        <v>59775.654047436234</v>
      </c>
      <c r="D214" s="14">
        <f>'A) Base RI'!V205</f>
        <v>1161</v>
      </c>
      <c r="E214" s="10">
        <f t="shared" si="9"/>
        <v>1212400.4076415806</v>
      </c>
      <c r="F214" s="14">
        <f>'F) Population'!K206</f>
        <v>181167.55533199193</v>
      </c>
      <c r="G214" s="10">
        <f>'G) Solidarité'!I203</f>
        <v>0</v>
      </c>
      <c r="H214" s="14">
        <f t="shared" si="10"/>
        <v>181167.55533199193</v>
      </c>
      <c r="I214" s="55">
        <f t="shared" si="11"/>
        <v>1031232.8523095886</v>
      </c>
    </row>
    <row r="215" spans="1:9" x14ac:dyDescent="0.25">
      <c r="A215" s="49">
        <f>'A) Base RI'!A206</f>
        <v>5727</v>
      </c>
      <c r="B215" s="32" t="str">
        <f>'A) Base RI'!B206</f>
        <v>Saint-Cergue</v>
      </c>
      <c r="C215" s="31">
        <f>'D) Ecrêtage'!C204</f>
        <v>84837.616861897855</v>
      </c>
      <c r="D215" s="14">
        <f>'A) Base RI'!V206</f>
        <v>2583</v>
      </c>
      <c r="E215" s="10">
        <f t="shared" si="9"/>
        <v>1720719.9637678696</v>
      </c>
      <c r="F215" s="14">
        <f>'F) Population'!K207</f>
        <v>678366.85110663972</v>
      </c>
      <c r="G215" s="10">
        <f>'G) Solidarité'!I204</f>
        <v>536028.9828455603</v>
      </c>
      <c r="H215" s="14">
        <f t="shared" si="10"/>
        <v>1214395.8339522001</v>
      </c>
      <c r="I215" s="55">
        <f t="shared" si="11"/>
        <v>506324.1298156695</v>
      </c>
    </row>
    <row r="216" spans="1:9" x14ac:dyDescent="0.25">
      <c r="A216" s="49">
        <f>'A) Base RI'!A207</f>
        <v>5728</v>
      </c>
      <c r="B216" s="32" t="str">
        <f>'A) Base RI'!B207</f>
        <v>Signy-Avenex</v>
      </c>
      <c r="C216" s="31">
        <f>'D) Ecrêtage'!C205</f>
        <v>43642.129855163919</v>
      </c>
      <c r="D216" s="14">
        <f>'A) Base RI'!V207</f>
        <v>592</v>
      </c>
      <c r="E216" s="10">
        <f t="shared" si="9"/>
        <v>885172.01308677113</v>
      </c>
      <c r="F216" s="14">
        <f>'F) Population'!K208</f>
        <v>73925.553319919505</v>
      </c>
      <c r="G216" s="10">
        <f>'G) Solidarité'!I205</f>
        <v>0</v>
      </c>
      <c r="H216" s="14">
        <f t="shared" si="10"/>
        <v>73925.553319919505</v>
      </c>
      <c r="I216" s="55">
        <f t="shared" si="11"/>
        <v>811246.45976685162</v>
      </c>
    </row>
    <row r="217" spans="1:9" x14ac:dyDescent="0.25">
      <c r="A217" s="49">
        <f>'A) Base RI'!A208</f>
        <v>5729</v>
      </c>
      <c r="B217" s="32" t="str">
        <f>'A) Base RI'!B208</f>
        <v>Tannay</v>
      </c>
      <c r="C217" s="31">
        <f>'D) Ecrêtage'!C206</f>
        <v>140788.91539066879</v>
      </c>
      <c r="D217" s="14">
        <f>'A) Base RI'!V208</f>
        <v>1593</v>
      </c>
      <c r="E217" s="10">
        <f t="shared" si="9"/>
        <v>2855552.8355341149</v>
      </c>
      <c r="F217" s="14">
        <f>'F) Population'!K209</f>
        <v>332215.44265593553</v>
      </c>
      <c r="G217" s="10">
        <f>'G) Solidarité'!I206</f>
        <v>0</v>
      </c>
      <c r="H217" s="14">
        <f t="shared" si="10"/>
        <v>332215.44265593553</v>
      </c>
      <c r="I217" s="55">
        <f t="shared" si="11"/>
        <v>2523337.3928781794</v>
      </c>
    </row>
    <row r="218" spans="1:9" x14ac:dyDescent="0.25">
      <c r="A218" s="49">
        <f>'A) Base RI'!A209</f>
        <v>5730</v>
      </c>
      <c r="B218" s="32" t="str">
        <f>'A) Base RI'!B209</f>
        <v>Trélex</v>
      </c>
      <c r="C218" s="31">
        <f>'D) Ecrêtage'!C207</f>
        <v>159385.15609090315</v>
      </c>
      <c r="D218" s="14">
        <f>'A) Base RI'!V209</f>
        <v>1408</v>
      </c>
      <c r="E218" s="10">
        <f t="shared" si="9"/>
        <v>3232731.3066834756</v>
      </c>
      <c r="F218" s="14">
        <f>'F) Population'!K210</f>
        <v>267530.58350100601</v>
      </c>
      <c r="G218" s="10">
        <f>'G) Solidarité'!I207</f>
        <v>0</v>
      </c>
      <c r="H218" s="14">
        <f t="shared" si="10"/>
        <v>267530.58350100601</v>
      </c>
      <c r="I218" s="55">
        <f t="shared" si="11"/>
        <v>2965200.7231824696</v>
      </c>
    </row>
    <row r="219" spans="1:9" x14ac:dyDescent="0.25">
      <c r="A219" s="49">
        <f>'A) Base RI'!A210</f>
        <v>5731</v>
      </c>
      <c r="B219" s="32" t="str">
        <f>'A) Base RI'!B210</f>
        <v>Le Vaud</v>
      </c>
      <c r="C219" s="31">
        <f>'D) Ecrêtage'!C208</f>
        <v>52787.084696622871</v>
      </c>
      <c r="D219" s="14">
        <f>'A) Base RI'!V210</f>
        <v>1319</v>
      </c>
      <c r="E219" s="10">
        <f t="shared" si="9"/>
        <v>1070654.6674271165</v>
      </c>
      <c r="F219" s="14">
        <f>'F) Population'!K211</f>
        <v>236411.92152917502</v>
      </c>
      <c r="G219" s="10">
        <f>'G) Solidarité'!I208</f>
        <v>141754.1942686394</v>
      </c>
      <c r="H219" s="14">
        <f t="shared" si="10"/>
        <v>378166.11579781445</v>
      </c>
      <c r="I219" s="55">
        <f t="shared" si="11"/>
        <v>692488.55162930209</v>
      </c>
    </row>
    <row r="220" spans="1:9" x14ac:dyDescent="0.25">
      <c r="A220" s="49">
        <f>'A) Base RI'!A211</f>
        <v>5732</v>
      </c>
      <c r="B220" s="32" t="str">
        <f>'A) Base RI'!B211</f>
        <v>Vich</v>
      </c>
      <c r="C220" s="31">
        <f>'D) Ecrêtage'!C209</f>
        <v>63679.159894206758</v>
      </c>
      <c r="D220" s="14">
        <f>'A) Base RI'!V211</f>
        <v>1039</v>
      </c>
      <c r="E220" s="10">
        <f t="shared" si="9"/>
        <v>1291573.3109794548</v>
      </c>
      <c r="F220" s="14">
        <f>'F) Population'!K212</f>
        <v>138510.5130784708</v>
      </c>
      <c r="G220" s="10">
        <f>'G) Solidarité'!I209</f>
        <v>0</v>
      </c>
      <c r="H220" s="14">
        <f t="shared" si="10"/>
        <v>138510.5130784708</v>
      </c>
      <c r="I220" s="55">
        <f t="shared" si="11"/>
        <v>1153062.7979009841</v>
      </c>
    </row>
    <row r="221" spans="1:9" x14ac:dyDescent="0.25">
      <c r="A221" s="49">
        <f>'A) Base RI'!A212</f>
        <v>5741</v>
      </c>
      <c r="B221" s="32" t="str">
        <f>'A) Base RI'!B212</f>
        <v>L'Abergement</v>
      </c>
      <c r="C221" s="31">
        <f>'D) Ecrêtage'!C210</f>
        <v>7417.8594757266228</v>
      </c>
      <c r="D221" s="14">
        <f>'A) Base RI'!V212</f>
        <v>248</v>
      </c>
      <c r="E221" s="10">
        <f t="shared" si="9"/>
        <v>150452.82223197431</v>
      </c>
      <c r="F221" s="14">
        <f>'F) Population'!K213</f>
        <v>30968.812877263576</v>
      </c>
      <c r="G221" s="10">
        <f>'G) Solidarité'!I210</f>
        <v>96499.78387558907</v>
      </c>
      <c r="H221" s="14">
        <f t="shared" si="10"/>
        <v>127468.59675285264</v>
      </c>
      <c r="I221" s="55">
        <f t="shared" si="11"/>
        <v>22984.225479121669</v>
      </c>
    </row>
    <row r="222" spans="1:9" x14ac:dyDescent="0.25">
      <c r="A222" s="49">
        <f>'A) Base RI'!A213</f>
        <v>5742</v>
      </c>
      <c r="B222" s="32" t="str">
        <f>'A) Base RI'!B213</f>
        <v>Agiez</v>
      </c>
      <c r="C222" s="31">
        <f>'D) Ecrêtage'!C211</f>
        <v>9044.2293566491917</v>
      </c>
      <c r="D222" s="14">
        <f>'A) Base RI'!V213</f>
        <v>327</v>
      </c>
      <c r="E222" s="10">
        <f t="shared" si="9"/>
        <v>183439.68850769481</v>
      </c>
      <c r="F222" s="14">
        <f>'F) Population'!K214</f>
        <v>40833.8782696177</v>
      </c>
      <c r="G222" s="10">
        <f>'G) Solidarité'!I211</f>
        <v>128933.4391182712</v>
      </c>
      <c r="H222" s="14">
        <f t="shared" si="10"/>
        <v>169767.31738788891</v>
      </c>
      <c r="I222" s="55">
        <f t="shared" si="11"/>
        <v>13672.371119805903</v>
      </c>
    </row>
    <row r="223" spans="1:9" x14ac:dyDescent="0.25">
      <c r="A223" s="49">
        <f>'A) Base RI'!A214</f>
        <v>5743</v>
      </c>
      <c r="B223" s="32" t="str">
        <f>'A) Base RI'!B214</f>
        <v>Arnex-sur-Orbe</v>
      </c>
      <c r="C223" s="31">
        <f>'D) Ecrêtage'!C212</f>
        <v>18380.074354130466</v>
      </c>
      <c r="D223" s="14">
        <f>'A) Base RI'!V214</f>
        <v>631</v>
      </c>
      <c r="E223" s="10">
        <f t="shared" si="9"/>
        <v>372794.0746871024</v>
      </c>
      <c r="F223" s="14">
        <f>'F) Population'!K215</f>
        <v>78795.64889336015</v>
      </c>
      <c r="G223" s="10">
        <f>'G) Solidarité'!I212</f>
        <v>209884.44030199136</v>
      </c>
      <c r="H223" s="14">
        <f t="shared" si="10"/>
        <v>288680.08919535152</v>
      </c>
      <c r="I223" s="55">
        <f t="shared" si="11"/>
        <v>84113.985491750878</v>
      </c>
    </row>
    <row r="224" spans="1:9" x14ac:dyDescent="0.25">
      <c r="A224" s="49">
        <f>'A) Base RI'!A215</f>
        <v>5744</v>
      </c>
      <c r="B224" s="32" t="str">
        <f>'A) Base RI'!B215</f>
        <v>Ballaigues</v>
      </c>
      <c r="C224" s="31">
        <f>'D) Ecrêtage'!C213</f>
        <v>36664.575000922312</v>
      </c>
      <c r="D224" s="14">
        <f>'A) Base RI'!V215</f>
        <v>1075</v>
      </c>
      <c r="E224" s="10">
        <f t="shared" si="9"/>
        <v>743649.67452882358</v>
      </c>
      <c r="F224" s="14">
        <f>'F) Population'!K216</f>
        <v>151097.83702213276</v>
      </c>
      <c r="G224" s="10">
        <f>'G) Solidarité'!I213</f>
        <v>199587.53041854876</v>
      </c>
      <c r="H224" s="14">
        <f t="shared" si="10"/>
        <v>350685.36744068156</v>
      </c>
      <c r="I224" s="55">
        <f t="shared" si="11"/>
        <v>392964.30708814203</v>
      </c>
    </row>
    <row r="225" spans="1:9" x14ac:dyDescent="0.25">
      <c r="A225" s="49">
        <f>'A) Base RI'!A216</f>
        <v>5745</v>
      </c>
      <c r="B225" s="32" t="str">
        <f>'A) Base RI'!B216</f>
        <v>Baulmes</v>
      </c>
      <c r="C225" s="31">
        <f>'D) Ecrêtage'!C214</f>
        <v>26462.919353923764</v>
      </c>
      <c r="D225" s="14">
        <f>'A) Base RI'!V216</f>
        <v>1027</v>
      </c>
      <c r="E225" s="10">
        <f t="shared" si="9"/>
        <v>536734.47364746162</v>
      </c>
      <c r="F225" s="14">
        <f>'F) Population'!K217</f>
        <v>134314.73843058347</v>
      </c>
      <c r="G225" s="10">
        <f>'G) Solidarité'!I214</f>
        <v>473513.71828797256</v>
      </c>
      <c r="H225" s="14">
        <f t="shared" si="10"/>
        <v>607828.456718556</v>
      </c>
      <c r="I225" s="55">
        <f t="shared" si="11"/>
        <v>-71093.983071094379</v>
      </c>
    </row>
    <row r="226" spans="1:9" x14ac:dyDescent="0.25">
      <c r="A226" s="49">
        <f>'A) Base RI'!A217</f>
        <v>5746</v>
      </c>
      <c r="B226" s="32" t="str">
        <f>'A) Base RI'!B217</f>
        <v>Bavois</v>
      </c>
      <c r="C226" s="31">
        <f>'D) Ecrêtage'!C215</f>
        <v>26553.96285852553</v>
      </c>
      <c r="D226" s="14">
        <f>'A) Base RI'!V217</f>
        <v>942</v>
      </c>
      <c r="E226" s="10">
        <f t="shared" si="9"/>
        <v>538581.06460244639</v>
      </c>
      <c r="F226" s="14">
        <f>'F) Population'!K218</f>
        <v>117631.53923541246</v>
      </c>
      <c r="G226" s="10">
        <f>'G) Solidarité'!I215</f>
        <v>332084.81602729298</v>
      </c>
      <c r="H226" s="14">
        <f t="shared" si="10"/>
        <v>449716.35526270547</v>
      </c>
      <c r="I226" s="55">
        <f t="shared" si="11"/>
        <v>88864.709339740919</v>
      </c>
    </row>
    <row r="227" spans="1:9" x14ac:dyDescent="0.25">
      <c r="A227" s="49">
        <f>'A) Base RI'!A218</f>
        <v>5747</v>
      </c>
      <c r="B227" s="32" t="str">
        <f>'A) Base RI'!B218</f>
        <v>Bofflens</v>
      </c>
      <c r="C227" s="31">
        <f>'D) Ecrêtage'!C216</f>
        <v>4975.9343453180645</v>
      </c>
      <c r="D227" s="14">
        <f>'A) Base RI'!V218</f>
        <v>196</v>
      </c>
      <c r="E227" s="10">
        <f t="shared" si="9"/>
        <v>100924.4469976671</v>
      </c>
      <c r="F227" s="14">
        <f>'F) Population'!K219</f>
        <v>24475.352112676053</v>
      </c>
      <c r="G227" s="10">
        <f>'G) Solidarité'!I216</f>
        <v>72126.781351280733</v>
      </c>
      <c r="H227" s="14">
        <f t="shared" si="10"/>
        <v>96602.133463956794</v>
      </c>
      <c r="I227" s="55">
        <f t="shared" si="11"/>
        <v>4322.3135337103013</v>
      </c>
    </row>
    <row r="228" spans="1:9" x14ac:dyDescent="0.25">
      <c r="A228" s="49">
        <f>'A) Base RI'!A219</f>
        <v>5748</v>
      </c>
      <c r="B228" s="32" t="str">
        <f>'A) Base RI'!B219</f>
        <v>Bretonnières</v>
      </c>
      <c r="C228" s="31">
        <f>'D) Ecrêtage'!C217</f>
        <v>5547.867770022187</v>
      </c>
      <c r="D228" s="14">
        <f>'A) Base RI'!V219</f>
        <v>265</v>
      </c>
      <c r="E228" s="10">
        <f t="shared" si="9"/>
        <v>112524.69342416125</v>
      </c>
      <c r="F228" s="14">
        <f>'F) Population'!K220</f>
        <v>33091.675050301805</v>
      </c>
      <c r="G228" s="10">
        <f>'G) Solidarité'!I217</f>
        <v>130502.64982974769</v>
      </c>
      <c r="H228" s="14">
        <f t="shared" si="10"/>
        <v>163594.32488004951</v>
      </c>
      <c r="I228" s="55">
        <f t="shared" si="11"/>
        <v>-51069.631455888259</v>
      </c>
    </row>
    <row r="229" spans="1:9" x14ac:dyDescent="0.25">
      <c r="A229" s="49">
        <f>'A) Base RI'!A220</f>
        <v>5749</v>
      </c>
      <c r="B229" s="32" t="str">
        <f>'A) Base RI'!B220</f>
        <v>Chavornay</v>
      </c>
      <c r="C229" s="31">
        <f>'D) Ecrêtage'!C218</f>
        <v>136712.84503559873</v>
      </c>
      <c r="D229" s="14">
        <f>'A) Base RI'!V220</f>
        <v>4996</v>
      </c>
      <c r="E229" s="10">
        <f t="shared" si="9"/>
        <v>2772879.8905230742</v>
      </c>
      <c r="F229" s="14">
        <f>'F) Population'!K221</f>
        <v>1821165.9959758548</v>
      </c>
      <c r="G229" s="10">
        <f>'G) Solidarité'!I218</f>
        <v>1798233.3887209089</v>
      </c>
      <c r="H229" s="14">
        <f t="shared" si="10"/>
        <v>3619399.3846967639</v>
      </c>
      <c r="I229" s="55">
        <f t="shared" si="11"/>
        <v>-846519.49417368975</v>
      </c>
    </row>
    <row r="230" spans="1:9" x14ac:dyDescent="0.25">
      <c r="A230" s="49">
        <f>'A) Base RI'!A221</f>
        <v>5750</v>
      </c>
      <c r="B230" s="32" t="str">
        <f>'A) Base RI'!B221</f>
        <v>Les Clées</v>
      </c>
      <c r="C230" s="31">
        <f>'D) Ecrêtage'!C219</f>
        <v>5161.3627278037393</v>
      </c>
      <c r="D230" s="14">
        <f>'A) Base RI'!V221</f>
        <v>185</v>
      </c>
      <c r="E230" s="10">
        <f t="shared" si="9"/>
        <v>104685.40035060816</v>
      </c>
      <c r="F230" s="14">
        <f>'F) Population'!K222</f>
        <v>23101.735412474845</v>
      </c>
      <c r="G230" s="10">
        <f>'G) Solidarité'!I219</f>
        <v>79689.420264833112</v>
      </c>
      <c r="H230" s="14">
        <f t="shared" si="10"/>
        <v>102791.15567730795</v>
      </c>
      <c r="I230" s="55">
        <f t="shared" si="11"/>
        <v>1894.2446733002143</v>
      </c>
    </row>
    <row r="231" spans="1:9" x14ac:dyDescent="0.25">
      <c r="A231" s="49">
        <f>'A) Base RI'!A222</f>
        <v>5752</v>
      </c>
      <c r="B231" s="32" t="str">
        <f>'A) Base RI'!B222</f>
        <v>Croy</v>
      </c>
      <c r="C231" s="31">
        <f>'D) Ecrêtage'!C220</f>
        <v>10757.15843408766</v>
      </c>
      <c r="D231" s="14">
        <f>'A) Base RI'!V222</f>
        <v>404</v>
      </c>
      <c r="E231" s="10">
        <f t="shared" si="9"/>
        <v>218182.19270680341</v>
      </c>
      <c r="F231" s="14">
        <f>'F) Population'!K223</f>
        <v>50449.195171026149</v>
      </c>
      <c r="G231" s="10">
        <f>'G) Solidarité'!I220</f>
        <v>160095.06016234634</v>
      </c>
      <c r="H231" s="14">
        <f t="shared" si="10"/>
        <v>210544.25533337251</v>
      </c>
      <c r="I231" s="55">
        <f t="shared" si="11"/>
        <v>7637.9373734309047</v>
      </c>
    </row>
    <row r="232" spans="1:9" x14ac:dyDescent="0.25">
      <c r="A232" s="49">
        <f>'A) Base RI'!A223</f>
        <v>5754</v>
      </c>
      <c r="B232" s="32" t="str">
        <f>'A) Base RI'!B223</f>
        <v>Juriens</v>
      </c>
      <c r="C232" s="31">
        <f>'D) Ecrêtage'!C221</f>
        <v>8043.6966976741023</v>
      </c>
      <c r="D232" s="14">
        <f>'A) Base RI'!V223</f>
        <v>308</v>
      </c>
      <c r="E232" s="10">
        <f t="shared" si="9"/>
        <v>163146.37306128457</v>
      </c>
      <c r="F232" s="14">
        <f>'F) Population'!K224</f>
        <v>38461.267605633795</v>
      </c>
      <c r="G232" s="10">
        <f>'G) Solidarité'!I221</f>
        <v>143007.31105342554</v>
      </c>
      <c r="H232" s="14">
        <f t="shared" si="10"/>
        <v>181468.57865905933</v>
      </c>
      <c r="I232" s="55">
        <f t="shared" si="11"/>
        <v>-18322.205597774766</v>
      </c>
    </row>
    <row r="233" spans="1:9" x14ac:dyDescent="0.25">
      <c r="A233" s="49">
        <f>'A) Base RI'!A224</f>
        <v>5755</v>
      </c>
      <c r="B233" s="32" t="str">
        <f>'A) Base RI'!B224</f>
        <v>Lignerolle</v>
      </c>
      <c r="C233" s="31">
        <f>'D) Ecrêtage'!C222</f>
        <v>9515.1754002495127</v>
      </c>
      <c r="D233" s="14">
        <f>'A) Base RI'!V224</f>
        <v>422</v>
      </c>
      <c r="E233" s="10">
        <f t="shared" si="9"/>
        <v>192991.65718686828</v>
      </c>
      <c r="F233" s="14">
        <f>'F) Population'!K225</f>
        <v>52696.931589537213</v>
      </c>
      <c r="G233" s="10">
        <f>'G) Solidarité'!I222</f>
        <v>239250.02013489508</v>
      </c>
      <c r="H233" s="14">
        <f t="shared" si="10"/>
        <v>291946.95172443229</v>
      </c>
      <c r="I233" s="55">
        <f t="shared" si="11"/>
        <v>-98955.294537564012</v>
      </c>
    </row>
    <row r="234" spans="1:9" x14ac:dyDescent="0.25">
      <c r="A234" s="49">
        <f>'A) Base RI'!A225</f>
        <v>5756</v>
      </c>
      <c r="B234" s="32" t="str">
        <f>'A) Base RI'!B225</f>
        <v>Montcherand</v>
      </c>
      <c r="C234" s="31">
        <f>'D) Ecrêtage'!C223</f>
        <v>16469.035494125688</v>
      </c>
      <c r="D234" s="14">
        <f>'A) Base RI'!V225</f>
        <v>489</v>
      </c>
      <c r="E234" s="10">
        <f t="shared" si="9"/>
        <v>334033.40648847364</v>
      </c>
      <c r="F234" s="14">
        <f>'F) Population'!K226</f>
        <v>61063.506036217295</v>
      </c>
      <c r="G234" s="10">
        <f>'G) Solidarité'!I223</f>
        <v>112356.53912740503</v>
      </c>
      <c r="H234" s="14">
        <f t="shared" si="10"/>
        <v>173420.04516362233</v>
      </c>
      <c r="I234" s="55">
        <f t="shared" si="11"/>
        <v>160613.36132485131</v>
      </c>
    </row>
    <row r="235" spans="1:9" x14ac:dyDescent="0.25">
      <c r="A235" s="49">
        <f>'A) Base RI'!A226</f>
        <v>5757</v>
      </c>
      <c r="B235" s="32" t="str">
        <f>'A) Base RI'!B226</f>
        <v>Orbe</v>
      </c>
      <c r="C235" s="31">
        <f>'D) Ecrêtage'!C224</f>
        <v>204851.86723579146</v>
      </c>
      <c r="D235" s="14">
        <f>'A) Base RI'!V226</f>
        <v>6942</v>
      </c>
      <c r="E235" s="10">
        <f t="shared" si="9"/>
        <v>4154910.4112808066</v>
      </c>
      <c r="F235" s="14">
        <f>'F) Population'!K227</f>
        <v>2987191.7505030176</v>
      </c>
      <c r="G235" s="10">
        <f>'G) Solidarité'!I224</f>
        <v>2506755.6494377339</v>
      </c>
      <c r="H235" s="14">
        <f t="shared" si="10"/>
        <v>5493947.3999407515</v>
      </c>
      <c r="I235" s="55">
        <f t="shared" si="11"/>
        <v>-1339036.9886599449</v>
      </c>
    </row>
    <row r="236" spans="1:9" x14ac:dyDescent="0.25">
      <c r="A236" s="49">
        <f>'A) Base RI'!A227</f>
        <v>5758</v>
      </c>
      <c r="B236" s="32" t="str">
        <f>'A) Base RI'!B227</f>
        <v>La Praz</v>
      </c>
      <c r="C236" s="31">
        <f>'D) Ecrêtage'!C225</f>
        <v>4452.1612722088212</v>
      </c>
      <c r="D236" s="14">
        <f>'A) Base RI'!V227</f>
        <v>165</v>
      </c>
      <c r="E236" s="10">
        <f t="shared" si="9"/>
        <v>90301.013469940328</v>
      </c>
      <c r="F236" s="14">
        <f>'F) Population'!K228</f>
        <v>20604.250503018106</v>
      </c>
      <c r="G236" s="10">
        <f>'G) Solidarité'!I225</f>
        <v>80647.226186785396</v>
      </c>
      <c r="H236" s="14">
        <f t="shared" si="10"/>
        <v>101251.4766898035</v>
      </c>
      <c r="I236" s="55">
        <f t="shared" si="11"/>
        <v>-10950.463219863173</v>
      </c>
    </row>
    <row r="237" spans="1:9" x14ac:dyDescent="0.25">
      <c r="A237" s="49">
        <f>'A) Base RI'!A228</f>
        <v>5759</v>
      </c>
      <c r="B237" s="32" t="str">
        <f>'A) Base RI'!B228</f>
        <v>Premier</v>
      </c>
      <c r="C237" s="31">
        <f>'D) Ecrêtage'!C226</f>
        <v>4744.8996537773928</v>
      </c>
      <c r="D237" s="14">
        <f>'A) Base RI'!V228</f>
        <v>213</v>
      </c>
      <c r="E237" s="10">
        <f t="shared" si="9"/>
        <v>96238.483143871825</v>
      </c>
      <c r="F237" s="14">
        <f>'F) Population'!K229</f>
        <v>26598.214285714283</v>
      </c>
      <c r="G237" s="10">
        <f>'G) Solidarité'!I226</f>
        <v>125304.27290290809</v>
      </c>
      <c r="H237" s="14">
        <f t="shared" si="10"/>
        <v>151902.48718862238</v>
      </c>
      <c r="I237" s="55">
        <f t="shared" si="11"/>
        <v>-55664.00404475056</v>
      </c>
    </row>
    <row r="238" spans="1:9" x14ac:dyDescent="0.25">
      <c r="A238" s="49">
        <f>'A) Base RI'!A229</f>
        <v>5760</v>
      </c>
      <c r="B238" s="32" t="str">
        <f>'A) Base RI'!B229</f>
        <v>Rances</v>
      </c>
      <c r="C238" s="31">
        <f>'D) Ecrêtage'!C227</f>
        <v>11421.2396274482</v>
      </c>
      <c r="D238" s="14">
        <f>'A) Base RI'!V229</f>
        <v>482</v>
      </c>
      <c r="E238" s="10">
        <f t="shared" si="9"/>
        <v>231651.42733698405</v>
      </c>
      <c r="F238" s="14">
        <f>'F) Population'!K230</f>
        <v>60189.386317907432</v>
      </c>
      <c r="G238" s="10">
        <f>'G) Solidarité'!I227</f>
        <v>246390.85783369219</v>
      </c>
      <c r="H238" s="14">
        <f t="shared" si="10"/>
        <v>306580.24415159965</v>
      </c>
      <c r="I238" s="55">
        <f t="shared" si="11"/>
        <v>-74928.816814615595</v>
      </c>
    </row>
    <row r="239" spans="1:9" x14ac:dyDescent="0.25">
      <c r="A239" s="49">
        <f>'A) Base RI'!A230</f>
        <v>5761</v>
      </c>
      <c r="B239" s="32" t="str">
        <f>'A) Base RI'!B230</f>
        <v>Romainmôtier-Envy</v>
      </c>
      <c r="C239" s="31">
        <f>'D) Ecrêtage'!C228</f>
        <v>14547.39613540147</v>
      </c>
      <c r="D239" s="14">
        <f>'A) Base RI'!V230</f>
        <v>540</v>
      </c>
      <c r="E239" s="10">
        <f t="shared" si="9"/>
        <v>295057.73354964663</v>
      </c>
      <c r="F239" s="14">
        <f>'F) Population'!K231</f>
        <v>67432.092555331983</v>
      </c>
      <c r="G239" s="10">
        <f>'G) Solidarité'!I228</f>
        <v>251978.03464288171</v>
      </c>
      <c r="H239" s="14">
        <f t="shared" si="10"/>
        <v>319410.12719821371</v>
      </c>
      <c r="I239" s="55">
        <f t="shared" si="11"/>
        <v>-24352.393648567086</v>
      </c>
    </row>
    <row r="240" spans="1:9" x14ac:dyDescent="0.25">
      <c r="A240" s="49">
        <f>'A) Base RI'!A231</f>
        <v>5762</v>
      </c>
      <c r="B240" s="32" t="str">
        <f>'A) Base RI'!B231</f>
        <v>Sergey</v>
      </c>
      <c r="C240" s="31">
        <f>'D) Ecrêtage'!C229</f>
        <v>3763.729317622563</v>
      </c>
      <c r="D240" s="14">
        <f>'A) Base RI'!V231</f>
        <v>146</v>
      </c>
      <c r="E240" s="10">
        <f t="shared" si="9"/>
        <v>76337.884238238228</v>
      </c>
      <c r="F240" s="14">
        <f>'F) Population'!K232</f>
        <v>18231.639839034204</v>
      </c>
      <c r="G240" s="10">
        <f>'G) Solidarité'!I229</f>
        <v>67273.936173427166</v>
      </c>
      <c r="H240" s="14">
        <f t="shared" si="10"/>
        <v>85505.576012461373</v>
      </c>
      <c r="I240" s="55">
        <f t="shared" si="11"/>
        <v>-9167.6917742231453</v>
      </c>
    </row>
    <row r="241" spans="1:9" x14ac:dyDescent="0.25">
      <c r="A241" s="49">
        <f>'A) Base RI'!A232</f>
        <v>5763</v>
      </c>
      <c r="B241" s="32" t="str">
        <f>'A) Base RI'!B232</f>
        <v>Valeyres-sous-Rances</v>
      </c>
      <c r="C241" s="31">
        <f>'D) Ecrêtage'!C230</f>
        <v>20916.396171179269</v>
      </c>
      <c r="D241" s="14">
        <f>'A) Base RI'!V232</f>
        <v>622</v>
      </c>
      <c r="E241" s="10">
        <f t="shared" si="9"/>
        <v>424237.05183060537</v>
      </c>
      <c r="F241" s="14">
        <f>'F) Population'!K233</f>
        <v>77671.780684104611</v>
      </c>
      <c r="G241" s="10">
        <f>'G) Solidarité'!I230</f>
        <v>117014.11258762136</v>
      </c>
      <c r="H241" s="14">
        <f t="shared" si="10"/>
        <v>194685.89327172597</v>
      </c>
      <c r="I241" s="55">
        <f t="shared" si="11"/>
        <v>229551.1585588794</v>
      </c>
    </row>
    <row r="242" spans="1:9" x14ac:dyDescent="0.25">
      <c r="A242" s="49">
        <f>'A) Base RI'!A233</f>
        <v>5764</v>
      </c>
      <c r="B242" s="32" t="str">
        <f>'A) Base RI'!B233</f>
        <v>Vallorbe</v>
      </c>
      <c r="C242" s="31">
        <f>'D) Ecrêtage'!C231</f>
        <v>83482.591885585367</v>
      </c>
      <c r="D242" s="14">
        <f>'A) Base RI'!V233</f>
        <v>3852</v>
      </c>
      <c r="E242" s="10">
        <f t="shared" si="9"/>
        <v>1693236.6537175593</v>
      </c>
      <c r="F242" s="14">
        <f>'F) Population'!K234</f>
        <v>1249741.4486921527</v>
      </c>
      <c r="G242" s="10">
        <f>'G) Solidarité'!I231</f>
        <v>1889853.653044929</v>
      </c>
      <c r="H242" s="14">
        <f t="shared" si="10"/>
        <v>3139595.101737082</v>
      </c>
      <c r="I242" s="55">
        <f t="shared" si="11"/>
        <v>-1446358.4480195227</v>
      </c>
    </row>
    <row r="243" spans="1:9" x14ac:dyDescent="0.25">
      <c r="A243" s="49">
        <f>'A) Base RI'!A234</f>
        <v>5765</v>
      </c>
      <c r="B243" s="32" t="str">
        <f>'A) Base RI'!B234</f>
        <v>Vaulion</v>
      </c>
      <c r="C243" s="31">
        <f>'D) Ecrêtage'!C232</f>
        <v>9771.3712818501954</v>
      </c>
      <c r="D243" s="14">
        <f>'A) Base RI'!V234</f>
        <v>469</v>
      </c>
      <c r="E243" s="10">
        <f t="shared" si="9"/>
        <v>198187.95317456702</v>
      </c>
      <c r="F243" s="14">
        <f>'F) Population'!K235</f>
        <v>58566.021126760555</v>
      </c>
      <c r="G243" s="10">
        <f>'G) Solidarité'!I232</f>
        <v>293549.39319912548</v>
      </c>
      <c r="H243" s="14">
        <f t="shared" si="10"/>
        <v>352115.41432588606</v>
      </c>
      <c r="I243" s="55">
        <f t="shared" si="11"/>
        <v>-153927.46115131903</v>
      </c>
    </row>
    <row r="244" spans="1:9" x14ac:dyDescent="0.25">
      <c r="A244" s="49">
        <f>'A) Base RI'!A235</f>
        <v>5766</v>
      </c>
      <c r="B244" s="32" t="str">
        <f>'A) Base RI'!B235</f>
        <v>Vuiteboeuf</v>
      </c>
      <c r="C244" s="31">
        <f>'D) Ecrêtage'!C233</f>
        <v>13156.989379669412</v>
      </c>
      <c r="D244" s="14">
        <f>'A) Base RI'!V235</f>
        <v>584</v>
      </c>
      <c r="E244" s="10">
        <f t="shared" si="9"/>
        <v>266856.79214130325</v>
      </c>
      <c r="F244" s="14">
        <f>'F) Population'!K236</f>
        <v>72926.559356136815</v>
      </c>
      <c r="G244" s="10">
        <f>'G) Solidarité'!I233</f>
        <v>306986.01894125133</v>
      </c>
      <c r="H244" s="14">
        <f t="shared" si="10"/>
        <v>379912.57829738816</v>
      </c>
      <c r="I244" s="55">
        <f t="shared" si="11"/>
        <v>-113055.78615608491</v>
      </c>
    </row>
    <row r="245" spans="1:9" x14ac:dyDescent="0.25">
      <c r="A245" s="49">
        <f>'A) Base RI'!A236</f>
        <v>5785</v>
      </c>
      <c r="B245" s="32" t="str">
        <f>'A) Base RI'!B236</f>
        <v>Corcelles-le-Jorat</v>
      </c>
      <c r="C245" s="31">
        <f>'D) Ecrêtage'!C234</f>
        <v>15572.051048960157</v>
      </c>
      <c r="D245" s="14">
        <f>'A) Base RI'!V236</f>
        <v>445</v>
      </c>
      <c r="E245" s="10">
        <f t="shared" si="9"/>
        <v>315840.30890891666</v>
      </c>
      <c r="F245" s="14">
        <f>'F) Population'!K237</f>
        <v>55569.039235412463</v>
      </c>
      <c r="G245" s="10">
        <f>'G) Solidarité'!I234</f>
        <v>103151.24151827158</v>
      </c>
      <c r="H245" s="14">
        <f t="shared" si="10"/>
        <v>158720.28075368406</v>
      </c>
      <c r="I245" s="55">
        <f t="shared" si="11"/>
        <v>157120.02815523261</v>
      </c>
    </row>
    <row r="246" spans="1:9" x14ac:dyDescent="0.25">
      <c r="A246" s="49">
        <f>'A) Base RI'!A237</f>
        <v>5788</v>
      </c>
      <c r="B246" s="32" t="str">
        <f>'A) Base RI'!B237</f>
        <v>Essertes</v>
      </c>
      <c r="C246" s="31">
        <f>'D) Ecrêtage'!C235</f>
        <v>11883.854268348969</v>
      </c>
      <c r="D246" s="14">
        <f>'A) Base RI'!V237</f>
        <v>374</v>
      </c>
      <c r="E246" s="10">
        <f t="shared" si="9"/>
        <v>241034.41424272265</v>
      </c>
      <c r="F246" s="14">
        <f>'F) Population'!K238</f>
        <v>46702.967806841036</v>
      </c>
      <c r="G246" s="10">
        <f>'G) Solidarité'!I235</f>
        <v>100612.1880676782</v>
      </c>
      <c r="H246" s="14">
        <f t="shared" si="10"/>
        <v>147315.15587451923</v>
      </c>
      <c r="I246" s="55">
        <f t="shared" si="11"/>
        <v>93719.258368203416</v>
      </c>
    </row>
    <row r="247" spans="1:9" x14ac:dyDescent="0.25">
      <c r="A247" s="49">
        <f>'A) Base RI'!A238</f>
        <v>5790</v>
      </c>
      <c r="B247" s="32" t="str">
        <f>'A) Base RI'!B238</f>
        <v>Maracon</v>
      </c>
      <c r="C247" s="31">
        <f>'D) Ecrêtage'!C236</f>
        <v>13256.164125976293</v>
      </c>
      <c r="D247" s="14">
        <f>'A) Base RI'!V238</f>
        <v>492</v>
      </c>
      <c r="E247" s="10">
        <f t="shared" si="9"/>
        <v>268868.30510199443</v>
      </c>
      <c r="F247" s="14">
        <f>'F) Population'!K239</f>
        <v>61438.128772635806</v>
      </c>
      <c r="G247" s="10">
        <f>'G) Solidarité'!I236</f>
        <v>202068.62240697062</v>
      </c>
      <c r="H247" s="14">
        <f t="shared" si="10"/>
        <v>263506.75117960642</v>
      </c>
      <c r="I247" s="55">
        <f t="shared" si="11"/>
        <v>5361.5539223880041</v>
      </c>
    </row>
    <row r="248" spans="1:9" x14ac:dyDescent="0.25">
      <c r="A248" s="49">
        <f>'A) Base RI'!A239</f>
        <v>5792</v>
      </c>
      <c r="B248" s="32" t="str">
        <f>'A) Base RI'!B239</f>
        <v>Montpreveyres</v>
      </c>
      <c r="C248" s="31">
        <f>'D) Ecrêtage'!C237</f>
        <v>18726.471313410195</v>
      </c>
      <c r="D248" s="14">
        <f>'A) Base RI'!V239</f>
        <v>643</v>
      </c>
      <c r="E248" s="10">
        <f t="shared" si="9"/>
        <v>379819.87509579834</v>
      </c>
      <c r="F248" s="14">
        <f>'F) Population'!K240</f>
        <v>80294.139839034193</v>
      </c>
      <c r="G248" s="10">
        <f>'G) Solidarité'!I237</f>
        <v>238030.65216590342</v>
      </c>
      <c r="H248" s="14">
        <f t="shared" si="10"/>
        <v>318324.7920049376</v>
      </c>
      <c r="I248" s="55">
        <f t="shared" si="11"/>
        <v>61495.083090860746</v>
      </c>
    </row>
    <row r="249" spans="1:9" x14ac:dyDescent="0.25">
      <c r="A249" s="49">
        <f>'A) Base RI'!A240</f>
        <v>5798</v>
      </c>
      <c r="B249" s="32" t="str">
        <f>'A) Base RI'!B240</f>
        <v>Ropraz</v>
      </c>
      <c r="C249" s="31">
        <f>'D) Ecrêtage'!C238</f>
        <v>13725.260150883058</v>
      </c>
      <c r="D249" s="14">
        <f>'A) Base RI'!V240</f>
        <v>494</v>
      </c>
      <c r="E249" s="10">
        <f t="shared" si="9"/>
        <v>278382.75075521437</v>
      </c>
      <c r="F249" s="14">
        <f>'F) Population'!K241</f>
        <v>61687.877263581482</v>
      </c>
      <c r="G249" s="10">
        <f>'G) Solidarité'!I238</f>
        <v>201061.29165199512</v>
      </c>
      <c r="H249" s="14">
        <f t="shared" si="10"/>
        <v>262749.16891557659</v>
      </c>
      <c r="I249" s="55">
        <f t="shared" si="11"/>
        <v>15633.581839637773</v>
      </c>
    </row>
    <row r="250" spans="1:9" x14ac:dyDescent="0.25">
      <c r="A250" s="49">
        <f>'A) Base RI'!A241</f>
        <v>5799</v>
      </c>
      <c r="B250" s="32" t="str">
        <f>'A) Base RI'!B241</f>
        <v>Servion</v>
      </c>
      <c r="C250" s="31">
        <f>'D) Ecrêtage'!C239</f>
        <v>68712.576636224549</v>
      </c>
      <c r="D250" s="14">
        <f>'A) Base RI'!V241</f>
        <v>1942</v>
      </c>
      <c r="E250" s="10">
        <f t="shared" si="9"/>
        <v>1393663.6453655837</v>
      </c>
      <c r="F250" s="14">
        <f>'F) Population'!K242</f>
        <v>454242.55533199187</v>
      </c>
      <c r="G250" s="10">
        <f>'G) Solidarité'!I239</f>
        <v>347174.87046310946</v>
      </c>
      <c r="H250" s="14">
        <f t="shared" si="10"/>
        <v>801417.42579510133</v>
      </c>
      <c r="I250" s="55">
        <f t="shared" si="11"/>
        <v>592246.21957048238</v>
      </c>
    </row>
    <row r="251" spans="1:9" x14ac:dyDescent="0.25">
      <c r="A251" s="49">
        <f>'A) Base RI'!A242</f>
        <v>5803</v>
      </c>
      <c r="B251" s="32" t="str">
        <f>'A) Base RI'!B242</f>
        <v>Vulliens</v>
      </c>
      <c r="C251" s="31">
        <f>'D) Ecrêtage'!C240</f>
        <v>16546.34632030463</v>
      </c>
      <c r="D251" s="14">
        <f>'A) Base RI'!V242</f>
        <v>595</v>
      </c>
      <c r="E251" s="10">
        <f t="shared" si="9"/>
        <v>335601.46423151525</v>
      </c>
      <c r="F251" s="14">
        <f>'F) Population'!K243</f>
        <v>74300.176056338023</v>
      </c>
      <c r="G251" s="10">
        <f>'G) Solidarité'!I240</f>
        <v>244943.10656188463</v>
      </c>
      <c r="H251" s="14">
        <f t="shared" si="10"/>
        <v>319243.28261822264</v>
      </c>
      <c r="I251" s="55">
        <f t="shared" si="11"/>
        <v>16358.181613292603</v>
      </c>
    </row>
    <row r="252" spans="1:9" x14ac:dyDescent="0.25">
      <c r="A252" s="49">
        <f>'A) Base RI'!A243</f>
        <v>5804</v>
      </c>
      <c r="B252" s="32" t="str">
        <f>'A) Base RI'!B243</f>
        <v>Jorat-Menthue</v>
      </c>
      <c r="C252" s="31">
        <f>'D) Ecrêtage'!C241</f>
        <v>47504.398266419383</v>
      </c>
      <c r="D252" s="14">
        <f>'A) Base RI'!V243</f>
        <v>1586</v>
      </c>
      <c r="E252" s="10">
        <f t="shared" si="9"/>
        <v>963508.51765284967</v>
      </c>
      <c r="F252" s="14">
        <f>'F) Population'!K244</f>
        <v>329767.907444668</v>
      </c>
      <c r="G252" s="10">
        <f>'G) Solidarité'!I241</f>
        <v>486249.90538907476</v>
      </c>
      <c r="H252" s="14">
        <f t="shared" si="10"/>
        <v>816017.8128337427</v>
      </c>
      <c r="I252" s="55">
        <f t="shared" si="11"/>
        <v>147490.70481910696</v>
      </c>
    </row>
    <row r="253" spans="1:9" x14ac:dyDescent="0.25">
      <c r="A253" s="49">
        <f>'A) Base RI'!A244</f>
        <v>5805</v>
      </c>
      <c r="B253" s="32" t="str">
        <f>'A) Base RI'!B244</f>
        <v>Oron</v>
      </c>
      <c r="C253" s="31">
        <f>'D) Ecrêtage'!C242</f>
        <v>152415.01875763744</v>
      </c>
      <c r="D253" s="14">
        <f>'A) Base RI'!V244</f>
        <v>5501</v>
      </c>
      <c r="E253" s="10">
        <f t="shared" si="9"/>
        <v>3091359.4140821332</v>
      </c>
      <c r="F253" s="14">
        <f>'F) Population'!K245</f>
        <v>2123461.5694164988</v>
      </c>
      <c r="G253" s="10">
        <f>'G) Solidarité'!I242</f>
        <v>1782787.0778085941</v>
      </c>
      <c r="H253" s="14">
        <f t="shared" si="10"/>
        <v>3906248.6472250931</v>
      </c>
      <c r="I253" s="55">
        <f t="shared" si="11"/>
        <v>-814889.23314295989</v>
      </c>
    </row>
    <row r="254" spans="1:9" x14ac:dyDescent="0.25">
      <c r="A254" s="49">
        <f>'A) Base RI'!A245</f>
        <v>5806</v>
      </c>
      <c r="B254" s="32" t="str">
        <f>'A) Base RI'!B245</f>
        <v>Jorat-Mézières</v>
      </c>
      <c r="C254" s="31">
        <f>'D) Ecrêtage'!C243</f>
        <v>89827.60291631594</v>
      </c>
      <c r="D254" s="14">
        <f>'A) Base RI'!V245</f>
        <v>2869</v>
      </c>
      <c r="E254" s="10">
        <f t="shared" si="9"/>
        <v>1821929.4147209499</v>
      </c>
      <c r="F254" s="14">
        <f>'F) Population'!K246</f>
        <v>778366.14688128768</v>
      </c>
      <c r="G254" s="10">
        <f>'G) Solidarité'!I243</f>
        <v>890606.93330572208</v>
      </c>
      <c r="H254" s="14">
        <f t="shared" si="10"/>
        <v>1668973.0801870096</v>
      </c>
      <c r="I254" s="55">
        <f t="shared" si="11"/>
        <v>152956.3345339403</v>
      </c>
    </row>
    <row r="255" spans="1:9" x14ac:dyDescent="0.25">
      <c r="A255" s="49">
        <f>'A) Base RI'!A246</f>
        <v>5812</v>
      </c>
      <c r="B255" s="32" t="str">
        <f>'A) Base RI'!B246</f>
        <v>Champtauroz</v>
      </c>
      <c r="C255" s="31">
        <f>'D) Ecrêtage'!C244</f>
        <v>2432.9524302206905</v>
      </c>
      <c r="D255" s="14">
        <f>'A) Base RI'!V246</f>
        <v>122</v>
      </c>
      <c r="E255" s="10">
        <f t="shared" si="9"/>
        <v>49346.386337008247</v>
      </c>
      <c r="F255" s="14">
        <f>'F) Population'!K247</f>
        <v>15234.657947686115</v>
      </c>
      <c r="G255" s="10">
        <f>'G) Solidarité'!I244</f>
        <v>71571.213608871723</v>
      </c>
      <c r="H255" s="14">
        <f t="shared" si="10"/>
        <v>86805.871556557831</v>
      </c>
      <c r="I255" s="55">
        <f t="shared" si="11"/>
        <v>-37459.485219549584</v>
      </c>
    </row>
    <row r="256" spans="1:9" x14ac:dyDescent="0.25">
      <c r="A256" s="49">
        <f>'A) Base RI'!A247</f>
        <v>5813</v>
      </c>
      <c r="B256" s="32" t="str">
        <f>'A) Base RI'!B247</f>
        <v>Chevroux</v>
      </c>
      <c r="C256" s="31">
        <f>'D) Ecrêtage'!C245</f>
        <v>12841.233936581375</v>
      </c>
      <c r="D256" s="14">
        <f>'A) Base RI'!V247</f>
        <v>480</v>
      </c>
      <c r="E256" s="10">
        <f t="shared" si="9"/>
        <v>260452.47864585929</v>
      </c>
      <c r="F256" s="14">
        <f>'F) Population'!K248</f>
        <v>59939.637826961763</v>
      </c>
      <c r="G256" s="10">
        <f>'G) Solidarité'!I245</f>
        <v>169026.39945858021</v>
      </c>
      <c r="H256" s="14">
        <f t="shared" si="10"/>
        <v>228966.03728554197</v>
      </c>
      <c r="I256" s="55">
        <f t="shared" si="11"/>
        <v>31486.441360317316</v>
      </c>
    </row>
    <row r="257" spans="1:9" x14ac:dyDescent="0.25">
      <c r="A257" s="49">
        <f>'A) Base RI'!A248</f>
        <v>5816</v>
      </c>
      <c r="B257" s="32" t="str">
        <f>'A) Base RI'!B248</f>
        <v>Corcelles-près-Payerne</v>
      </c>
      <c r="C257" s="31">
        <f>'D) Ecrêtage'!C246</f>
        <v>55328.106299465391</v>
      </c>
      <c r="D257" s="14">
        <f>'A) Base RI'!V248</f>
        <v>2479</v>
      </c>
      <c r="E257" s="10">
        <f t="shared" si="9"/>
        <v>1122192.968031365</v>
      </c>
      <c r="F257" s="14">
        <f>'F) Population'!K249</f>
        <v>642003.47082494968</v>
      </c>
      <c r="G257" s="10">
        <f>'G) Solidarité'!I246</f>
        <v>1150123.0392122376</v>
      </c>
      <c r="H257" s="14">
        <f t="shared" si="10"/>
        <v>1792126.5100371873</v>
      </c>
      <c r="I257" s="55">
        <f t="shared" si="11"/>
        <v>-669933.5420058223</v>
      </c>
    </row>
    <row r="258" spans="1:9" x14ac:dyDescent="0.25">
      <c r="A258" s="49">
        <f>'A) Base RI'!A249</f>
        <v>5817</v>
      </c>
      <c r="B258" s="32" t="str">
        <f>'A) Base RI'!B249</f>
        <v>Grandcour</v>
      </c>
      <c r="C258" s="31">
        <f>'D) Ecrêtage'!C247</f>
        <v>23406.066601684674</v>
      </c>
      <c r="D258" s="14">
        <f>'A) Base RI'!V249</f>
        <v>929</v>
      </c>
      <c r="E258" s="10">
        <f t="shared" si="9"/>
        <v>474733.82167677995</v>
      </c>
      <c r="F258" s="14">
        <f>'F) Population'!K250</f>
        <v>116008.17404426557</v>
      </c>
      <c r="G258" s="10">
        <f>'G) Solidarité'!I247</f>
        <v>429951.63256653771</v>
      </c>
      <c r="H258" s="14">
        <f t="shared" si="10"/>
        <v>545959.80661080324</v>
      </c>
      <c r="I258" s="55">
        <f t="shared" si="11"/>
        <v>-71225.98493402329</v>
      </c>
    </row>
    <row r="259" spans="1:9" x14ac:dyDescent="0.25">
      <c r="A259" s="49">
        <f>'A) Base RI'!A250</f>
        <v>5819</v>
      </c>
      <c r="B259" s="32" t="str">
        <f>'A) Base RI'!B250</f>
        <v>Henniez</v>
      </c>
      <c r="C259" s="31">
        <f>'D) Ecrêtage'!C248</f>
        <v>12438.573202549422</v>
      </c>
      <c r="D259" s="14">
        <f>'A) Base RI'!V250</f>
        <v>341</v>
      </c>
      <c r="E259" s="10">
        <f t="shared" si="9"/>
        <v>252285.50756271248</v>
      </c>
      <c r="F259" s="14">
        <f>'F) Population'!K251</f>
        <v>42582.117706237419</v>
      </c>
      <c r="G259" s="10">
        <f>'G) Solidarité'!I248</f>
        <v>53896.193475077504</v>
      </c>
      <c r="H259" s="14">
        <f t="shared" si="10"/>
        <v>96478.31118131493</v>
      </c>
      <c r="I259" s="55">
        <f t="shared" si="11"/>
        <v>155807.19638139755</v>
      </c>
    </row>
    <row r="260" spans="1:9" x14ac:dyDescent="0.25">
      <c r="A260" s="49">
        <f>'A) Base RI'!A251</f>
        <v>5821</v>
      </c>
      <c r="B260" s="32" t="str">
        <f>'A) Base RI'!B251</f>
        <v>Missy</v>
      </c>
      <c r="C260" s="31">
        <f>'D) Ecrêtage'!C249</f>
        <v>8575.631351638991</v>
      </c>
      <c r="D260" s="14">
        <f>'A) Base RI'!V251</f>
        <v>368</v>
      </c>
      <c r="E260" s="10">
        <f t="shared" si="9"/>
        <v>173935.34394889587</v>
      </c>
      <c r="F260" s="14">
        <f>'F) Population'!K252</f>
        <v>45953.722334004015</v>
      </c>
      <c r="G260" s="10">
        <f>'G) Solidarité'!I249</f>
        <v>163263.01793623899</v>
      </c>
      <c r="H260" s="14">
        <f t="shared" si="10"/>
        <v>209216.740270243</v>
      </c>
      <c r="I260" s="55">
        <f t="shared" si="11"/>
        <v>-35281.396321347129</v>
      </c>
    </row>
    <row r="261" spans="1:9" x14ac:dyDescent="0.25">
      <c r="A261" s="49">
        <f>'A) Base RI'!A252</f>
        <v>5822</v>
      </c>
      <c r="B261" s="32" t="str">
        <f>'A) Base RI'!B252</f>
        <v>Payerne</v>
      </c>
      <c r="C261" s="31">
        <f>'D) Ecrêtage'!C250</f>
        <v>236916.04439002261</v>
      </c>
      <c r="D261" s="14">
        <f>'A) Base RI'!V252</f>
        <v>9971</v>
      </c>
      <c r="E261" s="10">
        <f t="shared" si="9"/>
        <v>4805252.4622708624</v>
      </c>
      <c r="F261" s="14">
        <f>'F) Population'!K253</f>
        <v>5045269.164989939</v>
      </c>
      <c r="G261" s="10">
        <f>'G) Solidarité'!I250</f>
        <v>4697985.899157377</v>
      </c>
      <c r="H261" s="14">
        <f t="shared" si="10"/>
        <v>9743255.0641473159</v>
      </c>
      <c r="I261" s="55">
        <f t="shared" si="11"/>
        <v>-4938002.6018764535</v>
      </c>
    </row>
    <row r="262" spans="1:9" x14ac:dyDescent="0.25">
      <c r="A262" s="49">
        <f>'A) Base RI'!A253</f>
        <v>5827</v>
      </c>
      <c r="B262" s="32" t="str">
        <f>'A) Base RI'!B253</f>
        <v>Trey</v>
      </c>
      <c r="C262" s="31">
        <f>'D) Ecrêtage'!C251</f>
        <v>7081.6159611211069</v>
      </c>
      <c r="D262" s="14">
        <f>'A) Base RI'!V253</f>
        <v>267</v>
      </c>
      <c r="E262" s="10">
        <f t="shared" si="9"/>
        <v>143632.95918453601</v>
      </c>
      <c r="F262" s="14">
        <f>'F) Population'!K254</f>
        <v>33341.423541247481</v>
      </c>
      <c r="G262" s="10">
        <f>'G) Solidarité'!I251</f>
        <v>124363.40279754846</v>
      </c>
      <c r="H262" s="14">
        <f t="shared" si="10"/>
        <v>157704.82633879595</v>
      </c>
      <c r="I262" s="55">
        <f t="shared" si="11"/>
        <v>-14071.867154259933</v>
      </c>
    </row>
    <row r="263" spans="1:9" x14ac:dyDescent="0.25">
      <c r="A263" s="49">
        <f>'A) Base RI'!A254</f>
        <v>5828</v>
      </c>
      <c r="B263" s="32" t="str">
        <f>'A) Base RI'!B254</f>
        <v>Treytorrens (Payerne)</v>
      </c>
      <c r="C263" s="31">
        <f>'D) Ecrêtage'!C252</f>
        <v>2673.2421559488716</v>
      </c>
      <c r="D263" s="14">
        <f>'A) Base RI'!V254</f>
        <v>119</v>
      </c>
      <c r="E263" s="10">
        <f t="shared" si="9"/>
        <v>54220.065530777363</v>
      </c>
      <c r="F263" s="14">
        <f>'F) Population'!K255</f>
        <v>14860.035211267603</v>
      </c>
      <c r="G263" s="10">
        <f>'G) Solidarité'!I252</f>
        <v>74660.619793708291</v>
      </c>
      <c r="H263" s="14">
        <f t="shared" si="10"/>
        <v>89520.655004975895</v>
      </c>
      <c r="I263" s="55">
        <f t="shared" si="11"/>
        <v>-35300.589474198532</v>
      </c>
    </row>
    <row r="264" spans="1:9" x14ac:dyDescent="0.25">
      <c r="A264" s="49">
        <f>'A) Base RI'!A255</f>
        <v>5830</v>
      </c>
      <c r="B264" s="32" t="str">
        <f>'A) Base RI'!B255</f>
        <v>Villarzel</v>
      </c>
      <c r="C264" s="31">
        <f>'D) Ecrêtage'!C253</f>
        <v>12117.556810814382</v>
      </c>
      <c r="D264" s="14">
        <f>'A) Base RI'!V255</f>
        <v>446</v>
      </c>
      <c r="E264" s="10">
        <f t="shared" si="9"/>
        <v>245774.4888143382</v>
      </c>
      <c r="F264" s="14">
        <f>'F) Population'!K256</f>
        <v>55693.913480885305</v>
      </c>
      <c r="G264" s="10">
        <f>'G) Solidarité'!I253</f>
        <v>195421.41904925348</v>
      </c>
      <c r="H264" s="14">
        <f t="shared" si="10"/>
        <v>251115.33253013878</v>
      </c>
      <c r="I264" s="55">
        <f t="shared" si="11"/>
        <v>-5340.8437158005836</v>
      </c>
    </row>
    <row r="265" spans="1:9" x14ac:dyDescent="0.25">
      <c r="A265" s="49">
        <f>'A) Base RI'!A256</f>
        <v>5831</v>
      </c>
      <c r="B265" s="32" t="str">
        <f>'A) Base RI'!B256</f>
        <v>Valbroye</v>
      </c>
      <c r="C265" s="31">
        <f>'D) Ecrêtage'!C254</f>
        <v>83651.867392232569</v>
      </c>
      <c r="D265" s="14">
        <f>'A) Base RI'!V256</f>
        <v>3174</v>
      </c>
      <c r="E265" s="10">
        <f t="shared" si="9"/>
        <v>1696669.9861759534</v>
      </c>
      <c r="F265" s="14">
        <f>'F) Population'!K257</f>
        <v>911082.49496981874</v>
      </c>
      <c r="G265" s="10">
        <f>'G) Solidarité'!I254</f>
        <v>1242258.3348537972</v>
      </c>
      <c r="H265" s="14">
        <f t="shared" si="10"/>
        <v>2153340.829823616</v>
      </c>
      <c r="I265" s="55">
        <f t="shared" si="11"/>
        <v>-456670.84364766255</v>
      </c>
    </row>
    <row r="266" spans="1:9" x14ac:dyDescent="0.25">
      <c r="A266" s="49">
        <f>'A) Base RI'!A257</f>
        <v>5841</v>
      </c>
      <c r="B266" s="32" t="str">
        <f>'A) Base RI'!B257</f>
        <v>Château-d'Oex</v>
      </c>
      <c r="C266" s="31">
        <f>'D) Ecrêtage'!C255</f>
        <v>116299.93992329082</v>
      </c>
      <c r="D266" s="14">
        <f>'A) Base RI'!V257</f>
        <v>3460</v>
      </c>
      <c r="E266" s="10">
        <f t="shared" si="9"/>
        <v>2358854.9020274025</v>
      </c>
      <c r="F266" s="14">
        <f>'F) Population'!K258</f>
        <v>1053938.6317907444</v>
      </c>
      <c r="G266" s="10">
        <f>'G) Solidarité'!I255</f>
        <v>1062754.0231472352</v>
      </c>
      <c r="H266" s="14">
        <f t="shared" si="10"/>
        <v>2116692.6549379798</v>
      </c>
      <c r="I266" s="55">
        <f t="shared" si="11"/>
        <v>242162.24708942277</v>
      </c>
    </row>
    <row r="267" spans="1:9" x14ac:dyDescent="0.25">
      <c r="A267" s="49">
        <f>'A) Base RI'!A258</f>
        <v>5842</v>
      </c>
      <c r="B267" s="32" t="str">
        <f>'A) Base RI'!B258</f>
        <v>Rossinière</v>
      </c>
      <c r="C267" s="31">
        <f>'D) Ecrêtage'!C256</f>
        <v>16094.216375513943</v>
      </c>
      <c r="D267" s="14">
        <f>'A) Base RI'!V258</f>
        <v>548</v>
      </c>
      <c r="E267" s="10">
        <f t="shared" si="9"/>
        <v>326431.13329818595</v>
      </c>
      <c r="F267" s="14">
        <f>'F) Population'!K259</f>
        <v>68431.086519114673</v>
      </c>
      <c r="G267" s="10">
        <f>'G) Solidarité'!I256</f>
        <v>220978.26915283914</v>
      </c>
      <c r="H267" s="14">
        <f t="shared" si="10"/>
        <v>289409.35567195382</v>
      </c>
      <c r="I267" s="55">
        <f t="shared" si="11"/>
        <v>37021.777626232128</v>
      </c>
    </row>
    <row r="268" spans="1:9" x14ac:dyDescent="0.25">
      <c r="A268" s="49">
        <f>'A) Base RI'!A259</f>
        <v>5843</v>
      </c>
      <c r="B268" s="32" t="str">
        <f>'A) Base RI'!B259</f>
        <v>Rougemont</v>
      </c>
      <c r="C268" s="31">
        <f>'D) Ecrêtage'!C257</f>
        <v>94148.401666926264</v>
      </c>
      <c r="D268" s="14">
        <f>'A) Base RI'!V259</f>
        <v>882</v>
      </c>
      <c r="E268" s="10">
        <f t="shared" si="9"/>
        <v>1909566.0662985309</v>
      </c>
      <c r="F268" s="14">
        <f>'F) Population'!K260</f>
        <v>110139.08450704224</v>
      </c>
      <c r="G268" s="10">
        <f>'G) Solidarité'!I257</f>
        <v>0</v>
      </c>
      <c r="H268" s="14">
        <f t="shared" si="10"/>
        <v>110139.08450704224</v>
      </c>
      <c r="I268" s="55">
        <f t="shared" si="11"/>
        <v>1799426.9817914886</v>
      </c>
    </row>
    <row r="269" spans="1:9" x14ac:dyDescent="0.25">
      <c r="A269" s="49">
        <f>'A) Base RI'!A260</f>
        <v>5851</v>
      </c>
      <c r="B269" s="32" t="str">
        <f>'A) Base RI'!B260</f>
        <v>Allaman</v>
      </c>
      <c r="C269" s="31">
        <f>'D) Ecrêtage'!C258</f>
        <v>28833.689592297927</v>
      </c>
      <c r="D269" s="14">
        <f>'A) Base RI'!V260</f>
        <v>434</v>
      </c>
      <c r="E269" s="10">
        <f t="shared" si="9"/>
        <v>584819.64894555835</v>
      </c>
      <c r="F269" s="14">
        <f>'F) Population'!K261</f>
        <v>54195.422535211263</v>
      </c>
      <c r="G269" s="10">
        <f>'G) Solidarité'!I258</f>
        <v>0</v>
      </c>
      <c r="H269" s="14">
        <f t="shared" si="10"/>
        <v>54195.422535211263</v>
      </c>
      <c r="I269" s="55">
        <f t="shared" si="11"/>
        <v>530624.22641034704</v>
      </c>
    </row>
    <row r="270" spans="1:9" x14ac:dyDescent="0.25">
      <c r="A270" s="49">
        <f>'A) Base RI'!A261</f>
        <v>5852</v>
      </c>
      <c r="B270" s="32" t="str">
        <f>'A) Base RI'!B261</f>
        <v>Bursinel</v>
      </c>
      <c r="C270" s="31">
        <f>'D) Ecrêtage'!C259</f>
        <v>39695.951591324636</v>
      </c>
      <c r="D270" s="14">
        <f>'A) Base RI'!V261</f>
        <v>471</v>
      </c>
      <c r="E270" s="10">
        <f t="shared" si="9"/>
        <v>805133.60594682791</v>
      </c>
      <c r="F270" s="14">
        <f>'F) Population'!K262</f>
        <v>58815.769617706232</v>
      </c>
      <c r="G270" s="10">
        <f>'G) Solidarité'!I259</f>
        <v>0</v>
      </c>
      <c r="H270" s="14">
        <f t="shared" si="10"/>
        <v>58815.769617706232</v>
      </c>
      <c r="I270" s="55">
        <f t="shared" si="11"/>
        <v>746317.83632912172</v>
      </c>
    </row>
    <row r="271" spans="1:9" x14ac:dyDescent="0.25">
      <c r="A271" s="49">
        <f>'A) Base RI'!A262</f>
        <v>5853</v>
      </c>
      <c r="B271" s="32" t="str">
        <f>'A) Base RI'!B262</f>
        <v>Bursins</v>
      </c>
      <c r="C271" s="31">
        <f>'D) Ecrêtage'!C260</f>
        <v>36570.93565140845</v>
      </c>
      <c r="D271" s="14">
        <f>'A) Base RI'!V262</f>
        <v>752</v>
      </c>
      <c r="E271" s="10">
        <f t="shared" si="9"/>
        <v>741750.43331881857</v>
      </c>
      <c r="F271" s="14">
        <f>'F) Population'!K263</f>
        <v>93905.432595573424</v>
      </c>
      <c r="G271" s="10">
        <f>'G) Solidarité'!I260</f>
        <v>0</v>
      </c>
      <c r="H271" s="14">
        <f t="shared" si="10"/>
        <v>93905.432595573424</v>
      </c>
      <c r="I271" s="55">
        <f t="shared" si="11"/>
        <v>647845.00072324509</v>
      </c>
    </row>
    <row r="272" spans="1:9" x14ac:dyDescent="0.25">
      <c r="A272" s="49">
        <f>'A) Base RI'!A263</f>
        <v>5854</v>
      </c>
      <c r="B272" s="32" t="str">
        <f>'A) Base RI'!B263</f>
        <v>Burtigny</v>
      </c>
      <c r="C272" s="31">
        <f>'D) Ecrêtage'!C261</f>
        <v>15186.776169765042</v>
      </c>
      <c r="D272" s="14">
        <f>'A) Base RI'!V263</f>
        <v>391</v>
      </c>
      <c r="E272" s="10">
        <f t="shared" si="9"/>
        <v>308025.96663138119</v>
      </c>
      <c r="F272" s="14">
        <f>'F) Population'!K264</f>
        <v>48825.829979879265</v>
      </c>
      <c r="G272" s="10">
        <f>'G) Solidarité'!I261</f>
        <v>59549.19086452575</v>
      </c>
      <c r="H272" s="14">
        <f t="shared" si="10"/>
        <v>108375.02084440502</v>
      </c>
      <c r="I272" s="55">
        <f t="shared" si="11"/>
        <v>199650.94578697617</v>
      </c>
    </row>
    <row r="273" spans="1:9" x14ac:dyDescent="0.25">
      <c r="A273" s="49">
        <f>'A) Base RI'!A264</f>
        <v>5855</v>
      </c>
      <c r="B273" s="32" t="str">
        <f>'A) Base RI'!B264</f>
        <v>Dully</v>
      </c>
      <c r="C273" s="31">
        <f>'D) Ecrêtage'!C262</f>
        <v>91369.635498396179</v>
      </c>
      <c r="D273" s="14">
        <f>'A) Base RI'!V264</f>
        <v>635</v>
      </c>
      <c r="E273" s="10">
        <f t="shared" ref="E273:E324" si="12">C273*E$15</f>
        <v>1853205.7087390304</v>
      </c>
      <c r="F273" s="14">
        <f>'F) Population'!K265</f>
        <v>79295.145875251503</v>
      </c>
      <c r="G273" s="10">
        <f>'G) Solidarité'!I262</f>
        <v>0</v>
      </c>
      <c r="H273" s="14">
        <f t="shared" ref="H273:H324" si="13">F273+G273</f>
        <v>79295.145875251503</v>
      </c>
      <c r="I273" s="55">
        <f t="shared" ref="I273:I324" si="14">E273-H273</f>
        <v>1773910.5628637788</v>
      </c>
    </row>
    <row r="274" spans="1:9" x14ac:dyDescent="0.25">
      <c r="A274" s="49">
        <f>'A) Base RI'!A265</f>
        <v>5856</v>
      </c>
      <c r="B274" s="32" t="str">
        <f>'A) Base RI'!B265</f>
        <v>Essertines-sur-Rolle</v>
      </c>
      <c r="C274" s="31">
        <f>'D) Ecrêtage'!C263</f>
        <v>37403.277675115321</v>
      </c>
      <c r="D274" s="14">
        <f>'A) Base RI'!V265</f>
        <v>726</v>
      </c>
      <c r="E274" s="10">
        <f t="shared" si="12"/>
        <v>758632.42022336356</v>
      </c>
      <c r="F274" s="14">
        <f>'F) Population'!K266</f>
        <v>90658.70221327967</v>
      </c>
      <c r="G274" s="10">
        <f>'G) Solidarité'!I263</f>
        <v>0</v>
      </c>
      <c r="H274" s="14">
        <f t="shared" si="13"/>
        <v>90658.70221327967</v>
      </c>
      <c r="I274" s="55">
        <f t="shared" si="14"/>
        <v>667973.71801008389</v>
      </c>
    </row>
    <row r="275" spans="1:9" x14ac:dyDescent="0.25">
      <c r="A275" s="49">
        <f>'A) Base RI'!A266</f>
        <v>5857</v>
      </c>
      <c r="B275" s="32" t="str">
        <f>'A) Base RI'!B266</f>
        <v>Gilly</v>
      </c>
      <c r="C275" s="31">
        <f>'D) Ecrêtage'!C264</f>
        <v>88640.687774331382</v>
      </c>
      <c r="D275" s="14">
        <f>'A) Base RI'!V266</f>
        <v>1324</v>
      </c>
      <c r="E275" s="10">
        <f t="shared" si="12"/>
        <v>1797855.794366481</v>
      </c>
      <c r="F275" s="14">
        <f>'F) Population'!K267</f>
        <v>238160.16096579476</v>
      </c>
      <c r="G275" s="10">
        <f>'G) Solidarité'!I264</f>
        <v>0</v>
      </c>
      <c r="H275" s="14">
        <f t="shared" si="13"/>
        <v>238160.16096579476</v>
      </c>
      <c r="I275" s="55">
        <f t="shared" si="14"/>
        <v>1559695.6334006863</v>
      </c>
    </row>
    <row r="276" spans="1:9" x14ac:dyDescent="0.25">
      <c r="A276" s="49">
        <f>'A) Base RI'!A267</f>
        <v>5858</v>
      </c>
      <c r="B276" s="32" t="str">
        <f>'A) Base RI'!B267</f>
        <v>Luins</v>
      </c>
      <c r="C276" s="31">
        <f>'D) Ecrêtage'!C265</f>
        <v>43780.812152194871</v>
      </c>
      <c r="D276" s="14">
        <f>'A) Base RI'!V267</f>
        <v>613</v>
      </c>
      <c r="E276" s="10">
        <f t="shared" si="12"/>
        <v>887984.83841059892</v>
      </c>
      <c r="F276" s="14">
        <f>'F) Population'!K268</f>
        <v>76547.912474849087</v>
      </c>
      <c r="G276" s="10">
        <f>'G) Solidarité'!I265</f>
        <v>0</v>
      </c>
      <c r="H276" s="14">
        <f t="shared" si="13"/>
        <v>76547.912474849087</v>
      </c>
      <c r="I276" s="55">
        <f t="shared" si="14"/>
        <v>811436.9259357499</v>
      </c>
    </row>
    <row r="277" spans="1:9" x14ac:dyDescent="0.25">
      <c r="A277" s="49">
        <f>'A) Base RI'!A268</f>
        <v>5859</v>
      </c>
      <c r="B277" s="32" t="str">
        <f>'A) Base RI'!B268</f>
        <v>Mont-sur-Rolle</v>
      </c>
      <c r="C277" s="31">
        <f>'D) Ecrêtage'!C266</f>
        <v>142403.85565354835</v>
      </c>
      <c r="D277" s="14">
        <f>'A) Base RI'!V268</f>
        <v>2651</v>
      </c>
      <c r="E277" s="10">
        <f t="shared" si="12"/>
        <v>2888307.8804471861</v>
      </c>
      <c r="F277" s="14">
        <f>'F) Population'!K269</f>
        <v>702142.90744466789</v>
      </c>
      <c r="G277" s="10">
        <f>'G) Solidarité'!I266</f>
        <v>0</v>
      </c>
      <c r="H277" s="14">
        <f t="shared" si="13"/>
        <v>702142.90744466789</v>
      </c>
      <c r="I277" s="55">
        <f t="shared" si="14"/>
        <v>2186164.9730025181</v>
      </c>
    </row>
    <row r="278" spans="1:9" x14ac:dyDescent="0.25">
      <c r="A278" s="49">
        <f>'A) Base RI'!A269</f>
        <v>5860</v>
      </c>
      <c r="B278" s="32" t="str">
        <f>'A) Base RI'!B269</f>
        <v>Perroy</v>
      </c>
      <c r="C278" s="31">
        <f>'D) Ecrêtage'!C267</f>
        <v>95160.687801613312</v>
      </c>
      <c r="D278" s="14">
        <f>'A) Base RI'!V269</f>
        <v>1542</v>
      </c>
      <c r="E278" s="10">
        <f t="shared" si="12"/>
        <v>1930097.7717545773</v>
      </c>
      <c r="F278" s="14">
        <f>'F) Population'!K270</f>
        <v>314383.40040241444</v>
      </c>
      <c r="G278" s="10">
        <f>'G) Solidarité'!I267</f>
        <v>0</v>
      </c>
      <c r="H278" s="14">
        <f t="shared" si="13"/>
        <v>314383.40040241444</v>
      </c>
      <c r="I278" s="55">
        <f t="shared" si="14"/>
        <v>1615714.3713521629</v>
      </c>
    </row>
    <row r="279" spans="1:9" x14ac:dyDescent="0.25">
      <c r="A279" s="49">
        <f>'A) Base RI'!A270</f>
        <v>5861</v>
      </c>
      <c r="B279" s="32" t="str">
        <f>'A) Base RI'!B270</f>
        <v>Rolle</v>
      </c>
      <c r="C279" s="31">
        <f>'D) Ecrêtage'!C268</f>
        <v>574229.10238061741</v>
      </c>
      <c r="D279" s="14">
        <f>'A) Base RI'!V270</f>
        <v>6246</v>
      </c>
      <c r="E279" s="10">
        <f t="shared" si="12"/>
        <v>11646808.536021015</v>
      </c>
      <c r="F279" s="14">
        <f>'F) Population'!K271</f>
        <v>2570011.8712273641</v>
      </c>
      <c r="G279" s="10">
        <f>'G) Solidarité'!I268</f>
        <v>0</v>
      </c>
      <c r="H279" s="14">
        <f t="shared" si="13"/>
        <v>2570011.8712273641</v>
      </c>
      <c r="I279" s="55">
        <f t="shared" si="14"/>
        <v>9076796.6647936516</v>
      </c>
    </row>
    <row r="280" spans="1:9" x14ac:dyDescent="0.25">
      <c r="A280" s="49">
        <f>'A) Base RI'!A271</f>
        <v>5862</v>
      </c>
      <c r="B280" s="32" t="str">
        <f>'A) Base RI'!B271</f>
        <v>Tartegnin</v>
      </c>
      <c r="C280" s="31">
        <f>'D) Ecrêtage'!C269</f>
        <v>12235.59571867773</v>
      </c>
      <c r="D280" s="14">
        <f>'A) Base RI'!V271</f>
        <v>246</v>
      </c>
      <c r="E280" s="10">
        <f t="shared" si="12"/>
        <v>248168.61435410264</v>
      </c>
      <c r="F280" s="14">
        <f>'F) Population'!K272</f>
        <v>30719.064386317903</v>
      </c>
      <c r="G280" s="10">
        <f>'G) Solidarité'!I269</f>
        <v>0</v>
      </c>
      <c r="H280" s="14">
        <f t="shared" si="13"/>
        <v>30719.064386317903</v>
      </c>
      <c r="I280" s="55">
        <f t="shared" si="14"/>
        <v>217449.54996778473</v>
      </c>
    </row>
    <row r="281" spans="1:9" x14ac:dyDescent="0.25">
      <c r="A281" s="49">
        <f>'A) Base RI'!A272</f>
        <v>5863</v>
      </c>
      <c r="B281" s="32" t="str">
        <f>'A) Base RI'!B272</f>
        <v>Vinzel</v>
      </c>
      <c r="C281" s="31">
        <f>'D) Ecrêtage'!C270</f>
        <v>22394.635794374353</v>
      </c>
      <c r="D281" s="14">
        <f>'A) Base RI'!V272</f>
        <v>358</v>
      </c>
      <c r="E281" s="10">
        <f t="shared" si="12"/>
        <v>454219.46440833143</v>
      </c>
      <c r="F281" s="14">
        <f>'F) Population'!K273</f>
        <v>44704.979879275648</v>
      </c>
      <c r="G281" s="10">
        <f>'G) Solidarité'!I270</f>
        <v>0</v>
      </c>
      <c r="H281" s="14">
        <f t="shared" si="13"/>
        <v>44704.979879275648</v>
      </c>
      <c r="I281" s="55">
        <f t="shared" si="14"/>
        <v>409514.48452905577</v>
      </c>
    </row>
    <row r="282" spans="1:9" x14ac:dyDescent="0.25">
      <c r="A282" s="49">
        <f>'A) Base RI'!A273</f>
        <v>5871</v>
      </c>
      <c r="B282" s="32" t="str">
        <f>'A) Base RI'!B273</f>
        <v>L'Abbaye</v>
      </c>
      <c r="C282" s="31">
        <f>'D) Ecrêtage'!C271</f>
        <v>44671.831166364944</v>
      </c>
      <c r="D282" s="14">
        <f>'A) Base RI'!V273</f>
        <v>1481</v>
      </c>
      <c r="E282" s="10">
        <f t="shared" si="12"/>
        <v>906056.94206569099</v>
      </c>
      <c r="F282" s="14">
        <f>'F) Population'!K274</f>
        <v>293054.87927565386</v>
      </c>
      <c r="G282" s="10">
        <f>'G) Solidarité'!I271</f>
        <v>516076.00438186957</v>
      </c>
      <c r="H282" s="14">
        <f t="shared" si="13"/>
        <v>809130.88365752343</v>
      </c>
      <c r="I282" s="55">
        <f t="shared" si="14"/>
        <v>96926.058408167562</v>
      </c>
    </row>
    <row r="283" spans="1:9" x14ac:dyDescent="0.25">
      <c r="A283" s="49">
        <f>'A) Base RI'!A274</f>
        <v>5872</v>
      </c>
      <c r="B283" s="32" t="str">
        <f>'A) Base RI'!B274</f>
        <v>Le Chenit</v>
      </c>
      <c r="C283" s="31">
        <f>'D) Ecrêtage'!C272</f>
        <v>169487.47890245376</v>
      </c>
      <c r="D283" s="14">
        <f>'A) Base RI'!V274</f>
        <v>4605</v>
      </c>
      <c r="E283" s="10">
        <f t="shared" si="12"/>
        <v>3437631.7881592801</v>
      </c>
      <c r="F283" s="14">
        <f>'F) Population'!K275</f>
        <v>1625862.6760563378</v>
      </c>
      <c r="G283" s="10">
        <f>'G) Solidarité'!I272</f>
        <v>681489.21009660617</v>
      </c>
      <c r="H283" s="14">
        <f t="shared" si="13"/>
        <v>2307351.8861529441</v>
      </c>
      <c r="I283" s="55">
        <f t="shared" si="14"/>
        <v>1130279.902006336</v>
      </c>
    </row>
    <row r="284" spans="1:9" x14ac:dyDescent="0.25">
      <c r="A284" s="49">
        <f>'A) Base RI'!A275</f>
        <v>5873</v>
      </c>
      <c r="B284" s="32" t="str">
        <f>'A) Base RI'!B275</f>
        <v>Le Lieu</v>
      </c>
      <c r="C284" s="31">
        <f>'D) Ecrêtage'!C273</f>
        <v>29965.351280448966</v>
      </c>
      <c r="D284" s="14">
        <f>'A) Base RI'!V275</f>
        <v>875</v>
      </c>
      <c r="E284" s="10">
        <f t="shared" si="12"/>
        <v>607772.59047151601</v>
      </c>
      <c r="F284" s="14">
        <f>'F) Population'!K276</f>
        <v>109264.96478873238</v>
      </c>
      <c r="G284" s="10">
        <f>'G) Solidarité'!I273</f>
        <v>180364.28186201901</v>
      </c>
      <c r="H284" s="14">
        <f t="shared" si="13"/>
        <v>289629.24665075139</v>
      </c>
      <c r="I284" s="55">
        <f t="shared" si="14"/>
        <v>318143.34382076462</v>
      </c>
    </row>
    <row r="285" spans="1:9" x14ac:dyDescent="0.25">
      <c r="A285" s="49">
        <f>'A) Base RI'!A276</f>
        <v>5881</v>
      </c>
      <c r="B285" s="32" t="str">
        <f>'A) Base RI'!B276</f>
        <v>Blonay</v>
      </c>
      <c r="C285" s="31">
        <f>'D) Ecrêtage'!C274</f>
        <v>329876.03226063965</v>
      </c>
      <c r="D285" s="14">
        <f>'A) Base RI'!V276</f>
        <v>6175</v>
      </c>
      <c r="E285" s="10">
        <f t="shared" si="12"/>
        <v>6690714.5117409239</v>
      </c>
      <c r="F285" s="14">
        <f>'F) Population'!K277</f>
        <v>2527454.7283702209</v>
      </c>
      <c r="G285" s="10">
        <f>'G) Solidarité'!I274</f>
        <v>0</v>
      </c>
      <c r="H285" s="14">
        <f t="shared" si="13"/>
        <v>2527454.7283702209</v>
      </c>
      <c r="I285" s="55">
        <f t="shared" si="14"/>
        <v>4163259.783370703</v>
      </c>
    </row>
    <row r="286" spans="1:9" x14ac:dyDescent="0.25">
      <c r="A286" s="49">
        <f>'A) Base RI'!A277</f>
        <v>5882</v>
      </c>
      <c r="B286" s="32" t="str">
        <f>'A) Base RI'!B277</f>
        <v>Chardonne</v>
      </c>
      <c r="C286" s="31">
        <f>'D) Ecrêtage'!C275</f>
        <v>160866.12406088383</v>
      </c>
      <c r="D286" s="14">
        <f>'A) Base RI'!V277</f>
        <v>2941</v>
      </c>
      <c r="E286" s="10">
        <f t="shared" si="12"/>
        <v>3262769.0569870328</v>
      </c>
      <c r="F286" s="14">
        <f>'F) Population'!K278</f>
        <v>803540.79476861155</v>
      </c>
      <c r="G286" s="10">
        <f>'G) Solidarité'!I275</f>
        <v>0</v>
      </c>
      <c r="H286" s="14">
        <f t="shared" si="13"/>
        <v>803540.79476861155</v>
      </c>
      <c r="I286" s="55">
        <f t="shared" si="14"/>
        <v>2459228.2622184213</v>
      </c>
    </row>
    <row r="287" spans="1:9" x14ac:dyDescent="0.25">
      <c r="A287" s="49">
        <f>'A) Base RI'!A278</f>
        <v>5883</v>
      </c>
      <c r="B287" s="32" t="str">
        <f>'A) Base RI'!B278</f>
        <v>Corseaux</v>
      </c>
      <c r="C287" s="31">
        <f>'D) Ecrêtage'!C276</f>
        <v>155219.69320868849</v>
      </c>
      <c r="D287" s="14">
        <f>'A) Base RI'!V278</f>
        <v>2282</v>
      </c>
      <c r="E287" s="10">
        <f t="shared" si="12"/>
        <v>3148245.2566871806</v>
      </c>
      <c r="F287" s="14">
        <f>'F) Population'!K279</f>
        <v>573122.83702213271</v>
      </c>
      <c r="G287" s="10">
        <f>'G) Solidarité'!I276</f>
        <v>0</v>
      </c>
      <c r="H287" s="14">
        <f t="shared" si="13"/>
        <v>573122.83702213271</v>
      </c>
      <c r="I287" s="55">
        <f t="shared" si="14"/>
        <v>2575122.4196650479</v>
      </c>
    </row>
    <row r="288" spans="1:9" x14ac:dyDescent="0.25">
      <c r="A288" s="49">
        <f>'A) Base RI'!A279</f>
        <v>5884</v>
      </c>
      <c r="B288" s="32" t="str">
        <f>'A) Base RI'!B279</f>
        <v>Corsier-sur-Vevey</v>
      </c>
      <c r="C288" s="31">
        <f>'D) Ecrêtage'!C277</f>
        <v>113730.49763913798</v>
      </c>
      <c r="D288" s="14">
        <f>'A) Base RI'!V279</f>
        <v>3386</v>
      </c>
      <c r="E288" s="10">
        <f t="shared" si="12"/>
        <v>2306740.1586195547</v>
      </c>
      <c r="F288" s="14">
        <f>'F) Population'!K280</f>
        <v>1016975.8551307846</v>
      </c>
      <c r="G288" s="10">
        <f>'G) Solidarité'!I277</f>
        <v>659042.55532014661</v>
      </c>
      <c r="H288" s="14">
        <f t="shared" si="13"/>
        <v>1676018.4104509312</v>
      </c>
      <c r="I288" s="55">
        <f t="shared" si="14"/>
        <v>630721.74816862354</v>
      </c>
    </row>
    <row r="289" spans="1:9" x14ac:dyDescent="0.25">
      <c r="A289" s="49">
        <f>'A) Base RI'!A280</f>
        <v>5885</v>
      </c>
      <c r="B289" s="32" t="str">
        <f>'A) Base RI'!B280</f>
        <v>Jongny</v>
      </c>
      <c r="C289" s="31">
        <f>'D) Ecrêtage'!C278</f>
        <v>83488.016188395792</v>
      </c>
      <c r="D289" s="14">
        <f>'A) Base RI'!V280</f>
        <v>1536</v>
      </c>
      <c r="E289" s="10">
        <f t="shared" si="12"/>
        <v>1693346.6722032342</v>
      </c>
      <c r="F289" s="14">
        <f>'F) Population'!K281</f>
        <v>312285.51307847083</v>
      </c>
      <c r="G289" s="10">
        <f>'G) Solidarité'!I278</f>
        <v>0</v>
      </c>
      <c r="H289" s="14">
        <f t="shared" si="13"/>
        <v>312285.51307847083</v>
      </c>
      <c r="I289" s="55">
        <f t="shared" si="14"/>
        <v>1381061.1591247632</v>
      </c>
    </row>
    <row r="290" spans="1:9" x14ac:dyDescent="0.25">
      <c r="A290" s="49">
        <f>'A) Base RI'!A281</f>
        <v>5886</v>
      </c>
      <c r="B290" s="32" t="str">
        <f>'A) Base RI'!B281</f>
        <v>Montreux</v>
      </c>
      <c r="C290" s="31">
        <f>'D) Ecrêtage'!C279</f>
        <v>1097840.7322767281</v>
      </c>
      <c r="D290" s="14">
        <f>'A) Base RI'!V281</f>
        <v>26006</v>
      </c>
      <c r="E290" s="10">
        <f t="shared" si="12"/>
        <v>22266967.58987489</v>
      </c>
      <c r="F290" s="14">
        <f>'F) Population'!K282</f>
        <v>21309839.939637825</v>
      </c>
      <c r="G290" s="10">
        <f>'G) Solidarité'!I279</f>
        <v>1140530.1086855766</v>
      </c>
      <c r="H290" s="14">
        <f t="shared" si="13"/>
        <v>22450370.0483234</v>
      </c>
      <c r="I290" s="55">
        <f t="shared" si="14"/>
        <v>-183402.45844851062</v>
      </c>
    </row>
    <row r="291" spans="1:9" x14ac:dyDescent="0.25">
      <c r="A291" s="49">
        <f>'A) Base RI'!A282</f>
        <v>5888</v>
      </c>
      <c r="B291" s="32" t="str">
        <f>'A) Base RI'!B282</f>
        <v>Saint-Légier-La Chiésaz</v>
      </c>
      <c r="C291" s="31">
        <f>'D) Ecrêtage'!C280</f>
        <v>314313.56949265295</v>
      </c>
      <c r="D291" s="14">
        <f>'A) Base RI'!V282</f>
        <v>5185</v>
      </c>
      <c r="E291" s="10">
        <f t="shared" si="12"/>
        <v>6375068.6772538442</v>
      </c>
      <c r="F291" s="14">
        <f>'F) Population'!K283</f>
        <v>1934052.3138832995</v>
      </c>
      <c r="G291" s="10">
        <f>'G) Solidarité'!I280</f>
        <v>0</v>
      </c>
      <c r="H291" s="14">
        <f t="shared" si="13"/>
        <v>1934052.3138832995</v>
      </c>
      <c r="I291" s="55">
        <f t="shared" si="14"/>
        <v>4441016.3633705452</v>
      </c>
    </row>
    <row r="292" spans="1:9" x14ac:dyDescent="0.25">
      <c r="A292" s="49">
        <f>'A) Base RI'!A283</f>
        <v>5889</v>
      </c>
      <c r="B292" s="32" t="str">
        <f>'A) Base RI'!B283</f>
        <v>La Tour-de-Peilz</v>
      </c>
      <c r="C292" s="31">
        <f>'D) Ecrêtage'!C281</f>
        <v>638439.35310298624</v>
      </c>
      <c r="D292" s="14">
        <f>'A) Base RI'!V283</f>
        <v>11871</v>
      </c>
      <c r="E292" s="10">
        <f t="shared" si="12"/>
        <v>12949153.702981291</v>
      </c>
      <c r="F292" s="14">
        <f>'F) Population'!K284</f>
        <v>6658644.4164989935</v>
      </c>
      <c r="G292" s="10">
        <f>'G) Solidarité'!I281</f>
        <v>0</v>
      </c>
      <c r="H292" s="14">
        <f t="shared" si="13"/>
        <v>6658644.4164989935</v>
      </c>
      <c r="I292" s="55">
        <f t="shared" si="14"/>
        <v>6290509.2864822978</v>
      </c>
    </row>
    <row r="293" spans="1:9" x14ac:dyDescent="0.25">
      <c r="A293" s="49">
        <f>'A) Base RI'!A284</f>
        <v>5890</v>
      </c>
      <c r="B293" s="32" t="str">
        <f>'A) Base RI'!B284</f>
        <v>Vevey</v>
      </c>
      <c r="C293" s="31">
        <f>'D) Ecrêtage'!C282</f>
        <v>913497.60631978849</v>
      </c>
      <c r="D293" s="14">
        <f>'A) Base RI'!V284</f>
        <v>19904</v>
      </c>
      <c r="E293" s="10">
        <f t="shared" si="12"/>
        <v>18528025.965267062</v>
      </c>
      <c r="F293" s="14">
        <f>'F) Population'!K285</f>
        <v>14909185.714285713</v>
      </c>
      <c r="G293" s="10">
        <f>'G) Solidarité'!I282</f>
        <v>0</v>
      </c>
      <c r="H293" s="14">
        <f t="shared" si="13"/>
        <v>14909185.714285713</v>
      </c>
      <c r="I293" s="55">
        <f t="shared" si="14"/>
        <v>3618840.2509813495</v>
      </c>
    </row>
    <row r="294" spans="1:9" x14ac:dyDescent="0.25">
      <c r="A294" s="49">
        <f>'A) Base RI'!A285</f>
        <v>5891</v>
      </c>
      <c r="B294" s="32" t="str">
        <f>'A) Base RI'!B285</f>
        <v>Veytaux</v>
      </c>
      <c r="C294" s="31">
        <f>'D) Ecrêtage'!C283</f>
        <v>36119.381724012419</v>
      </c>
      <c r="D294" s="14">
        <f>'A) Base RI'!V285</f>
        <v>884</v>
      </c>
      <c r="E294" s="10">
        <f t="shared" si="12"/>
        <v>732591.78546508448</v>
      </c>
      <c r="F294" s="14">
        <f>'F) Population'!K286</f>
        <v>110388.83299798791</v>
      </c>
      <c r="G294" s="10">
        <f>'G) Solidarité'!I283</f>
        <v>70282.718036823047</v>
      </c>
      <c r="H294" s="14">
        <f t="shared" si="13"/>
        <v>180671.55103481095</v>
      </c>
      <c r="I294" s="55">
        <f t="shared" si="14"/>
        <v>551920.23443027353</v>
      </c>
    </row>
    <row r="295" spans="1:9" x14ac:dyDescent="0.25">
      <c r="A295" s="49">
        <f>'A) Base RI'!A286</f>
        <v>5902</v>
      </c>
      <c r="B295" s="32" t="str">
        <f>'A) Base RI'!B286</f>
        <v>Belmont-sur-Yverdon</v>
      </c>
      <c r="C295" s="31">
        <f>'D) Ecrêtage'!C284</f>
        <v>10311.765900330549</v>
      </c>
      <c r="D295" s="14">
        <f>'A) Base RI'!V286</f>
        <v>384</v>
      </c>
      <c r="E295" s="10">
        <f t="shared" si="12"/>
        <v>209148.51339215945</v>
      </c>
      <c r="F295" s="14">
        <f>'F) Population'!K287</f>
        <v>47951.710261569409</v>
      </c>
      <c r="G295" s="10">
        <f>'G) Solidarité'!I284</f>
        <v>158504.68116491387</v>
      </c>
      <c r="H295" s="14">
        <f t="shared" si="13"/>
        <v>206456.39142648329</v>
      </c>
      <c r="I295" s="55">
        <f t="shared" si="14"/>
        <v>2692.1219656761677</v>
      </c>
    </row>
    <row r="296" spans="1:9" x14ac:dyDescent="0.25">
      <c r="A296" s="49">
        <f>'A) Base RI'!A287</f>
        <v>5903</v>
      </c>
      <c r="B296" s="32" t="str">
        <f>'A) Base RI'!B287</f>
        <v>Bioley-Magnoux</v>
      </c>
      <c r="C296" s="31">
        <f>'D) Ecrêtage'!C285</f>
        <v>5438.478399120967</v>
      </c>
      <c r="D296" s="14">
        <f>'A) Base RI'!V287</f>
        <v>225</v>
      </c>
      <c r="E296" s="10">
        <f t="shared" si="12"/>
        <v>110306.0022197614</v>
      </c>
      <c r="F296" s="14">
        <f>'F) Population'!K288</f>
        <v>28096.705231388325</v>
      </c>
      <c r="G296" s="10">
        <f>'G) Solidarité'!I285</f>
        <v>101192.76642479382</v>
      </c>
      <c r="H296" s="14">
        <f t="shared" si="13"/>
        <v>129289.47165618214</v>
      </c>
      <c r="I296" s="55">
        <f t="shared" si="14"/>
        <v>-18983.469436420739</v>
      </c>
    </row>
    <row r="297" spans="1:9" x14ac:dyDescent="0.25">
      <c r="A297" s="49">
        <f>'A) Base RI'!A288</f>
        <v>5904</v>
      </c>
      <c r="B297" s="32" t="str">
        <f>'A) Base RI'!B288</f>
        <v>Chamblon</v>
      </c>
      <c r="C297" s="31">
        <f>'D) Ecrêtage'!C286</f>
        <v>19974.80164727481</v>
      </c>
      <c r="D297" s="14">
        <f>'A) Base RI'!V288</f>
        <v>542</v>
      </c>
      <c r="E297" s="10">
        <f t="shared" si="12"/>
        <v>405139.14980331989</v>
      </c>
      <c r="F297" s="14">
        <f>'F) Population'!K289</f>
        <v>67681.841046277652</v>
      </c>
      <c r="G297" s="10">
        <f>'G) Solidarité'!I286</f>
        <v>74837.24493622547</v>
      </c>
      <c r="H297" s="14">
        <f t="shared" si="13"/>
        <v>142519.08598250314</v>
      </c>
      <c r="I297" s="55">
        <f t="shared" si="14"/>
        <v>262620.06382081675</v>
      </c>
    </row>
    <row r="298" spans="1:9" x14ac:dyDescent="0.25">
      <c r="A298" s="49">
        <f>'A) Base RI'!A289</f>
        <v>5905</v>
      </c>
      <c r="B298" s="32" t="str">
        <f>'A) Base RI'!B289</f>
        <v>Champvent</v>
      </c>
      <c r="C298" s="31">
        <f>'D) Ecrêtage'!C287</f>
        <v>22958.275896270283</v>
      </c>
      <c r="D298" s="14">
        <f>'A) Base RI'!V289</f>
        <v>685</v>
      </c>
      <c r="E298" s="10">
        <f t="shared" si="12"/>
        <v>465651.50141723605</v>
      </c>
      <c r="F298" s="14">
        <f>'F) Population'!K290</f>
        <v>85538.858148893341</v>
      </c>
      <c r="G298" s="10">
        <f>'G) Solidarité'!I287</f>
        <v>155291.40581171311</v>
      </c>
      <c r="H298" s="14">
        <f t="shared" si="13"/>
        <v>240830.26396060645</v>
      </c>
      <c r="I298" s="55">
        <f t="shared" si="14"/>
        <v>224821.23745662961</v>
      </c>
    </row>
    <row r="299" spans="1:9" x14ac:dyDescent="0.25">
      <c r="A299" s="49">
        <f>'A) Base RI'!A290</f>
        <v>5907</v>
      </c>
      <c r="B299" s="32" t="str">
        <f>'A) Base RI'!B290</f>
        <v>Chavannes-le-Chêne</v>
      </c>
      <c r="C299" s="31">
        <f>'D) Ecrêtage'!C288</f>
        <v>8069.3635983781451</v>
      </c>
      <c r="D299" s="14">
        <f>'A) Base RI'!V290</f>
        <v>308</v>
      </c>
      <c r="E299" s="10">
        <f t="shared" si="12"/>
        <v>163666.96227728517</v>
      </c>
      <c r="F299" s="14">
        <f>'F) Population'!K291</f>
        <v>38461.267605633795</v>
      </c>
      <c r="G299" s="10">
        <f>'G) Solidarité'!I288</f>
        <v>138788.83920384725</v>
      </c>
      <c r="H299" s="14">
        <f t="shared" si="13"/>
        <v>177250.10680948105</v>
      </c>
      <c r="I299" s="55">
        <f t="shared" si="14"/>
        <v>-13583.144532195874</v>
      </c>
    </row>
    <row r="300" spans="1:9" x14ac:dyDescent="0.25">
      <c r="A300" s="49">
        <f>'A) Base RI'!A291</f>
        <v>5908</v>
      </c>
      <c r="B300" s="32" t="str">
        <f>'A) Base RI'!B291</f>
        <v>Chêne-Pâquier</v>
      </c>
      <c r="C300" s="31">
        <f>'D) Ecrêtage'!C289</f>
        <v>3150.4766446398044</v>
      </c>
      <c r="D300" s="14">
        <f>'A) Base RI'!V291</f>
        <v>141</v>
      </c>
      <c r="E300" s="10">
        <f t="shared" si="12"/>
        <v>63899.579671607142</v>
      </c>
      <c r="F300" s="14">
        <f>'F) Population'!K292</f>
        <v>17607.268611670017</v>
      </c>
      <c r="G300" s="10">
        <f>'G) Solidarité'!I289</f>
        <v>78666.845894811471</v>
      </c>
      <c r="H300" s="14">
        <f t="shared" si="13"/>
        <v>96274.114506481492</v>
      </c>
      <c r="I300" s="55">
        <f t="shared" si="14"/>
        <v>-32374.53483487435</v>
      </c>
    </row>
    <row r="301" spans="1:9" x14ac:dyDescent="0.25">
      <c r="A301" s="49">
        <f>'A) Base RI'!A292</f>
        <v>5909</v>
      </c>
      <c r="B301" s="32" t="str">
        <f>'A) Base RI'!B292</f>
        <v>Cheseaux-Noréaz</v>
      </c>
      <c r="C301" s="31">
        <f>'D) Ecrêtage'!C290</f>
        <v>32363.863960310864</v>
      </c>
      <c r="D301" s="14">
        <f>'A) Base RI'!V292</f>
        <v>721</v>
      </c>
      <c r="E301" s="10">
        <f t="shared" si="12"/>
        <v>656420.45216601784</v>
      </c>
      <c r="F301" s="14">
        <f>'F) Population'!K293</f>
        <v>90034.330985915483</v>
      </c>
      <c r="G301" s="10">
        <f>'G) Solidarité'!I290</f>
        <v>0</v>
      </c>
      <c r="H301" s="14">
        <f t="shared" si="13"/>
        <v>90034.330985915483</v>
      </c>
      <c r="I301" s="55">
        <f t="shared" si="14"/>
        <v>566386.12118010235</v>
      </c>
    </row>
    <row r="302" spans="1:9" x14ac:dyDescent="0.25">
      <c r="A302" s="49">
        <f>'A) Base RI'!A293</f>
        <v>5910</v>
      </c>
      <c r="B302" s="32" t="str">
        <f>'A) Base RI'!B293</f>
        <v>Cronay</v>
      </c>
      <c r="C302" s="31">
        <f>'D) Ecrêtage'!C291</f>
        <v>9609.1535349412279</v>
      </c>
      <c r="D302" s="14">
        <f>'A) Base RI'!V293</f>
        <v>385</v>
      </c>
      <c r="E302" s="10">
        <f t="shared" si="12"/>
        <v>194897.76981123557</v>
      </c>
      <c r="F302" s="14">
        <f>'F) Population'!K294</f>
        <v>48076.584507042244</v>
      </c>
      <c r="G302" s="10">
        <f>'G) Solidarité'!I291</f>
        <v>189814.23379857911</v>
      </c>
      <c r="H302" s="14">
        <f t="shared" si="13"/>
        <v>237890.81830562136</v>
      </c>
      <c r="I302" s="55">
        <f t="shared" si="14"/>
        <v>-42993.048494385788</v>
      </c>
    </row>
    <row r="303" spans="1:9" x14ac:dyDescent="0.25">
      <c r="A303" s="49">
        <f>'A) Base RI'!A294</f>
        <v>5911</v>
      </c>
      <c r="B303" s="32" t="str">
        <f>'A) Base RI'!B294</f>
        <v>Cuarny</v>
      </c>
      <c r="C303" s="31">
        <f>'D) Ecrêtage'!C292</f>
        <v>6836.3467697278311</v>
      </c>
      <c r="D303" s="14">
        <f>'A) Base RI'!V294</f>
        <v>243</v>
      </c>
      <c r="E303" s="10">
        <f t="shared" si="12"/>
        <v>138658.28391973424</v>
      </c>
      <c r="F303" s="14">
        <f>'F) Population'!K295</f>
        <v>30344.441649899392</v>
      </c>
      <c r="G303" s="10">
        <f>'G) Solidarité'!I292</f>
        <v>100662.38837348337</v>
      </c>
      <c r="H303" s="14">
        <f t="shared" si="13"/>
        <v>131006.83002338276</v>
      </c>
      <c r="I303" s="55">
        <f t="shared" si="14"/>
        <v>7651.4538963514788</v>
      </c>
    </row>
    <row r="304" spans="1:9" x14ac:dyDescent="0.25">
      <c r="A304" s="49">
        <f>'A) Base RI'!A295</f>
        <v>5912</v>
      </c>
      <c r="B304" s="32" t="str">
        <f>'A) Base RI'!B295</f>
        <v>Démoret</v>
      </c>
      <c r="C304" s="31">
        <f>'D) Ecrêtage'!C293</f>
        <v>3133.4473385194956</v>
      </c>
      <c r="D304" s="14">
        <f>'A) Base RI'!V295</f>
        <v>141</v>
      </c>
      <c r="E304" s="10">
        <f t="shared" si="12"/>
        <v>63554.182569540622</v>
      </c>
      <c r="F304" s="14">
        <f>'F) Population'!K296</f>
        <v>17607.268611670017</v>
      </c>
      <c r="G304" s="10">
        <f>'G) Solidarité'!I293</f>
        <v>83144.679435688231</v>
      </c>
      <c r="H304" s="14">
        <f t="shared" si="13"/>
        <v>100751.94804735825</v>
      </c>
      <c r="I304" s="55">
        <f t="shared" si="14"/>
        <v>-37197.765477817629</v>
      </c>
    </row>
    <row r="305" spans="1:9" x14ac:dyDescent="0.25">
      <c r="A305" s="49">
        <f>'A) Base RI'!A296</f>
        <v>5913</v>
      </c>
      <c r="B305" s="32" t="str">
        <f>'A) Base RI'!B296</f>
        <v>Donneloye</v>
      </c>
      <c r="C305" s="31">
        <f>'D) Ecrêtage'!C294</f>
        <v>20110.628715820858</v>
      </c>
      <c r="D305" s="14">
        <f>'A) Base RI'!V296</f>
        <v>809</v>
      </c>
      <c r="E305" s="10">
        <f t="shared" si="12"/>
        <v>407894.06392175524</v>
      </c>
      <c r="F305" s="14">
        <f>'F) Population'!K297</f>
        <v>101023.26458752513</v>
      </c>
      <c r="G305" s="10">
        <f>'G) Solidarité'!I294</f>
        <v>342289.3141972723</v>
      </c>
      <c r="H305" s="14">
        <f t="shared" si="13"/>
        <v>443312.57878479746</v>
      </c>
      <c r="I305" s="55">
        <f t="shared" si="14"/>
        <v>-35418.514863042219</v>
      </c>
    </row>
    <row r="306" spans="1:9" x14ac:dyDescent="0.25">
      <c r="A306" s="49">
        <f>'A) Base RI'!A297</f>
        <v>5914</v>
      </c>
      <c r="B306" s="32" t="str">
        <f>'A) Base RI'!B297</f>
        <v>Ependes</v>
      </c>
      <c r="C306" s="31">
        <f>'D) Ecrêtage'!C295</f>
        <v>9482.8279280120751</v>
      </c>
      <c r="D306" s="14">
        <f>'A) Base RI'!V297</f>
        <v>360</v>
      </c>
      <c r="E306" s="10">
        <f t="shared" si="12"/>
        <v>192335.56920001461</v>
      </c>
      <c r="F306" s="14">
        <f>'F) Population'!K298</f>
        <v>44954.728370221324</v>
      </c>
      <c r="G306" s="10">
        <f>'G) Solidarité'!I295</f>
        <v>148839.10804546106</v>
      </c>
      <c r="H306" s="14">
        <f t="shared" si="13"/>
        <v>193793.8364156824</v>
      </c>
      <c r="I306" s="55">
        <f t="shared" si="14"/>
        <v>-1458.2672156677872</v>
      </c>
    </row>
    <row r="307" spans="1:9" x14ac:dyDescent="0.25">
      <c r="A307" s="49">
        <f>'A) Base RI'!A298</f>
        <v>5919</v>
      </c>
      <c r="B307" s="32" t="str">
        <f>'A) Base RI'!B298</f>
        <v>Mathod</v>
      </c>
      <c r="C307" s="31">
        <f>'D) Ecrêtage'!C296</f>
        <v>17110.918111251427</v>
      </c>
      <c r="D307" s="14">
        <f>'A) Base RI'!V298</f>
        <v>611</v>
      </c>
      <c r="E307" s="10">
        <f t="shared" si="12"/>
        <v>347052.39823457348</v>
      </c>
      <c r="F307" s="14">
        <f>'F) Population'!K299</f>
        <v>76298.163983903403</v>
      </c>
      <c r="G307" s="10">
        <f>'G) Solidarité'!I296</f>
        <v>211855.27532507895</v>
      </c>
      <c r="H307" s="14">
        <f t="shared" si="13"/>
        <v>288153.43930898234</v>
      </c>
      <c r="I307" s="55">
        <f t="shared" si="14"/>
        <v>58898.958925591141</v>
      </c>
    </row>
    <row r="308" spans="1:9" x14ac:dyDescent="0.25">
      <c r="A308" s="49">
        <f>'A) Base RI'!A299</f>
        <v>5921</v>
      </c>
      <c r="B308" s="32" t="str">
        <f>'A) Base RI'!B299</f>
        <v>Molondin</v>
      </c>
      <c r="C308" s="31">
        <f>'D) Ecrêtage'!C297</f>
        <v>5222.6425850785827</v>
      </c>
      <c r="D308" s="14">
        <f>'A) Base RI'!V299</f>
        <v>235</v>
      </c>
      <c r="E308" s="10">
        <f t="shared" si="12"/>
        <v>105928.30977793588</v>
      </c>
      <c r="F308" s="14">
        <f>'F) Population'!K300</f>
        <v>29345.447686116695</v>
      </c>
      <c r="G308" s="10">
        <f>'G) Solidarité'!I297</f>
        <v>138568.45594541993</v>
      </c>
      <c r="H308" s="14">
        <f t="shared" si="13"/>
        <v>167913.90363153664</v>
      </c>
      <c r="I308" s="55">
        <f t="shared" si="14"/>
        <v>-61985.59385360076</v>
      </c>
    </row>
    <row r="309" spans="1:9" x14ac:dyDescent="0.25">
      <c r="A309" s="49">
        <f>'A) Base RI'!A300</f>
        <v>5922</v>
      </c>
      <c r="B309" s="32" t="str">
        <f>'A) Base RI'!B300</f>
        <v>Montagny-près-Yverdon</v>
      </c>
      <c r="C309" s="31">
        <f>'D) Ecrêtage'!C298</f>
        <v>35584.669450199006</v>
      </c>
      <c r="D309" s="14">
        <f>'A) Base RI'!V300</f>
        <v>738</v>
      </c>
      <c r="E309" s="10">
        <f t="shared" si="12"/>
        <v>721746.47747016267</v>
      </c>
      <c r="F309" s="14">
        <f>'F) Population'!K301</f>
        <v>92157.193158953713</v>
      </c>
      <c r="G309" s="10">
        <f>'G) Solidarité'!I298</f>
        <v>0</v>
      </c>
      <c r="H309" s="14">
        <f t="shared" si="13"/>
        <v>92157.193158953713</v>
      </c>
      <c r="I309" s="55">
        <f t="shared" si="14"/>
        <v>629589.28431120899</v>
      </c>
    </row>
    <row r="310" spans="1:9" x14ac:dyDescent="0.25">
      <c r="A310" s="49">
        <f>'A) Base RI'!A301</f>
        <v>5923</v>
      </c>
      <c r="B310" s="32" t="str">
        <f>'A) Base RI'!B301</f>
        <v>Oppens</v>
      </c>
      <c r="C310" s="31">
        <f>'D) Ecrêtage'!C299</f>
        <v>5170.8107520197709</v>
      </c>
      <c r="D310" s="14">
        <f>'A) Base RI'!V301</f>
        <v>196</v>
      </c>
      <c r="E310" s="10">
        <f t="shared" si="12"/>
        <v>104877.03001310979</v>
      </c>
      <c r="F310" s="14">
        <f>'F) Population'!K302</f>
        <v>24475.352112676053</v>
      </c>
      <c r="G310" s="10">
        <f>'G) Solidarité'!I299</f>
        <v>94311.696317210051</v>
      </c>
      <c r="H310" s="14">
        <f t="shared" si="13"/>
        <v>118787.04842988611</v>
      </c>
      <c r="I310" s="55">
        <f t="shared" si="14"/>
        <v>-13910.018416776322</v>
      </c>
    </row>
    <row r="311" spans="1:9" x14ac:dyDescent="0.25">
      <c r="A311" s="49">
        <f>'A) Base RI'!A302</f>
        <v>5924</v>
      </c>
      <c r="B311" s="32" t="str">
        <f>'A) Base RI'!B302</f>
        <v>Orges</v>
      </c>
      <c r="C311" s="31">
        <f>'D) Ecrêtage'!C300</f>
        <v>10275.510319946678</v>
      </c>
      <c r="D311" s="14">
        <f>'A) Base RI'!V302</f>
        <v>332</v>
      </c>
      <c r="E311" s="10">
        <f t="shared" si="12"/>
        <v>208413.15915577076</v>
      </c>
      <c r="F311" s="14">
        <f>'F) Population'!K303</f>
        <v>41458.249496981887</v>
      </c>
      <c r="G311" s="10">
        <f>'G) Solidarité'!I300</f>
        <v>100306.0899053562</v>
      </c>
      <c r="H311" s="14">
        <f t="shared" si="13"/>
        <v>141764.33940233808</v>
      </c>
      <c r="I311" s="55">
        <f t="shared" si="14"/>
        <v>66648.819753432675</v>
      </c>
    </row>
    <row r="312" spans="1:9" x14ac:dyDescent="0.25">
      <c r="A312" s="49">
        <f>'A) Base RI'!A303</f>
        <v>5925</v>
      </c>
      <c r="B312" s="32" t="str">
        <f>'A) Base RI'!B303</f>
        <v>Orzens</v>
      </c>
      <c r="C312" s="31">
        <f>'D) Ecrêtage'!C301</f>
        <v>5564.160782501971</v>
      </c>
      <c r="D312" s="14">
        <f>'A) Base RI'!V303</f>
        <v>196</v>
      </c>
      <c r="E312" s="10">
        <f t="shared" si="12"/>
        <v>112855.15664178701</v>
      </c>
      <c r="F312" s="14">
        <f>'F) Population'!K304</f>
        <v>24475.352112676053</v>
      </c>
      <c r="G312" s="10">
        <f>'G) Solidarité'!I301</f>
        <v>79950.119235779624</v>
      </c>
      <c r="H312" s="14">
        <f t="shared" si="13"/>
        <v>104425.47134845567</v>
      </c>
      <c r="I312" s="55">
        <f t="shared" si="14"/>
        <v>8429.6852933313348</v>
      </c>
    </row>
    <row r="313" spans="1:9" x14ac:dyDescent="0.25">
      <c r="A313" s="49">
        <f>'A) Base RI'!A304</f>
        <v>5926</v>
      </c>
      <c r="B313" s="32" t="str">
        <f>'A) Base RI'!B304</f>
        <v>Pomy</v>
      </c>
      <c r="C313" s="31">
        <f>'D) Ecrêtage'!C302</f>
        <v>26594.76814227111</v>
      </c>
      <c r="D313" s="14">
        <f>'A) Base RI'!V304</f>
        <v>780</v>
      </c>
      <c r="E313" s="10">
        <f t="shared" si="12"/>
        <v>539408.69825088477</v>
      </c>
      <c r="F313" s="14">
        <f>'F) Population'!K305</f>
        <v>97401.911468812861</v>
      </c>
      <c r="G313" s="10">
        <f>'G) Solidarité'!I302</f>
        <v>167757.78810183151</v>
      </c>
      <c r="H313" s="14">
        <f t="shared" si="13"/>
        <v>265159.69957064436</v>
      </c>
      <c r="I313" s="55">
        <f t="shared" si="14"/>
        <v>274248.99868024042</v>
      </c>
    </row>
    <row r="314" spans="1:9" x14ac:dyDescent="0.25">
      <c r="A314" s="49">
        <f>'A) Base RI'!A305</f>
        <v>5928</v>
      </c>
      <c r="B314" s="32" t="str">
        <f>'A) Base RI'!B305</f>
        <v>Rovray</v>
      </c>
      <c r="C314" s="31">
        <f>'D) Ecrêtage'!C303</f>
        <v>4332.6487869809371</v>
      </c>
      <c r="D314" s="14">
        <f>'A) Base RI'!V305</f>
        <v>180</v>
      </c>
      <c r="E314" s="10">
        <f t="shared" si="12"/>
        <v>87877.000079914375</v>
      </c>
      <c r="F314" s="14">
        <f>'F) Population'!K306</f>
        <v>22477.364185110662</v>
      </c>
      <c r="G314" s="10">
        <f>'G) Solidarité'!I303</f>
        <v>79165.309281175985</v>
      </c>
      <c r="H314" s="14">
        <f t="shared" si="13"/>
        <v>101642.67346628665</v>
      </c>
      <c r="I314" s="55">
        <f t="shared" si="14"/>
        <v>-13765.673386372277</v>
      </c>
    </row>
    <row r="315" spans="1:9" x14ac:dyDescent="0.25">
      <c r="A315" s="49">
        <f>'A) Base RI'!A306</f>
        <v>5929</v>
      </c>
      <c r="B315" s="32" t="str">
        <f>'A) Base RI'!B306</f>
        <v>Suchy</v>
      </c>
      <c r="C315" s="31">
        <f>'D) Ecrêtage'!C304</f>
        <v>17123.573212033476</v>
      </c>
      <c r="D315" s="14">
        <f>'A) Base RI'!V306</f>
        <v>599</v>
      </c>
      <c r="E315" s="10">
        <f t="shared" si="12"/>
        <v>347309.07546531904</v>
      </c>
      <c r="F315" s="14">
        <f>'F) Population'!K307</f>
        <v>74799.673038229361</v>
      </c>
      <c r="G315" s="10">
        <f>'G) Solidarité'!I304</f>
        <v>189521.65383608124</v>
      </c>
      <c r="H315" s="14">
        <f t="shared" si="13"/>
        <v>264321.32687431062</v>
      </c>
      <c r="I315" s="55">
        <f t="shared" si="14"/>
        <v>82987.748591008421</v>
      </c>
    </row>
    <row r="316" spans="1:9" x14ac:dyDescent="0.25">
      <c r="A316" s="49">
        <f>'A) Base RI'!A307</f>
        <v>5930</v>
      </c>
      <c r="B316" s="32" t="str">
        <f>'A) Base RI'!B307</f>
        <v>Suscévaz</v>
      </c>
      <c r="C316" s="31">
        <f>'D) Ecrêtage'!C305</f>
        <v>5845.0713540916349</v>
      </c>
      <c r="D316" s="14">
        <f>'A) Base RI'!V307</f>
        <v>213</v>
      </c>
      <c r="E316" s="10">
        <f t="shared" si="12"/>
        <v>118552.72862043681</v>
      </c>
      <c r="F316" s="14">
        <f>'F) Population'!K308</f>
        <v>26598.214285714283</v>
      </c>
      <c r="G316" s="10">
        <f>'G) Solidarité'!I305</f>
        <v>76327.159045582797</v>
      </c>
      <c r="H316" s="14">
        <f t="shared" si="13"/>
        <v>102925.37333129707</v>
      </c>
      <c r="I316" s="55">
        <f t="shared" si="14"/>
        <v>15627.355289139741</v>
      </c>
    </row>
    <row r="317" spans="1:9" x14ac:dyDescent="0.25">
      <c r="A317" s="49">
        <f>'A) Base RI'!A308</f>
        <v>5931</v>
      </c>
      <c r="B317" s="32" t="str">
        <f>'A) Base RI'!B308</f>
        <v>Treycovagnes</v>
      </c>
      <c r="C317" s="31">
        <f>'D) Ecrêtage'!C306</f>
        <v>12973.113986974873</v>
      </c>
      <c r="D317" s="14">
        <f>'A) Base RI'!V308</f>
        <v>480</v>
      </c>
      <c r="E317" s="10">
        <f t="shared" si="12"/>
        <v>263127.33732210199</v>
      </c>
      <c r="F317" s="14">
        <f>'F) Population'!K309</f>
        <v>59939.637826961763</v>
      </c>
      <c r="G317" s="10">
        <f>'G) Solidarité'!I306</f>
        <v>191085.59742362451</v>
      </c>
      <c r="H317" s="14">
        <f t="shared" si="13"/>
        <v>251025.23525058627</v>
      </c>
      <c r="I317" s="55">
        <f t="shared" si="14"/>
        <v>12102.102071515721</v>
      </c>
    </row>
    <row r="318" spans="1:9" x14ac:dyDescent="0.25">
      <c r="A318" s="49">
        <f>'A) Base RI'!A309</f>
        <v>5932</v>
      </c>
      <c r="B318" s="32" t="str">
        <f>'A) Base RI'!B309</f>
        <v>Ursins</v>
      </c>
      <c r="C318" s="31">
        <f>'D) Ecrêtage'!C307</f>
        <v>6686.217062317166</v>
      </c>
      <c r="D318" s="14">
        <f>'A) Base RI'!V309</f>
        <v>230</v>
      </c>
      <c r="E318" s="10">
        <f t="shared" si="12"/>
        <v>135613.27635997828</v>
      </c>
      <c r="F318" s="14">
        <f>'F) Population'!K310</f>
        <v>28721.076458752512</v>
      </c>
      <c r="G318" s="10">
        <f>'G) Solidarité'!I307</f>
        <v>85431.015227773547</v>
      </c>
      <c r="H318" s="14">
        <f t="shared" si="13"/>
        <v>114152.09168652605</v>
      </c>
      <c r="I318" s="55">
        <f t="shared" si="14"/>
        <v>21461.184673452226</v>
      </c>
    </row>
    <row r="319" spans="1:9" x14ac:dyDescent="0.25">
      <c r="A319" s="49">
        <f>'A) Base RI'!A310</f>
        <v>5933</v>
      </c>
      <c r="B319" s="32" t="str">
        <f>'A) Base RI'!B310</f>
        <v>Valeyres-sous-Montagny</v>
      </c>
      <c r="C319" s="31">
        <f>'D) Ecrêtage'!C308</f>
        <v>22631.763146204292</v>
      </c>
      <c r="D319" s="14">
        <f>'A) Base RI'!V310</f>
        <v>708</v>
      </c>
      <c r="E319" s="10">
        <f t="shared" si="12"/>
        <v>459029.00271624257</v>
      </c>
      <c r="F319" s="14">
        <f>'F) Population'!K311</f>
        <v>88410.965794768592</v>
      </c>
      <c r="G319" s="10">
        <f>'G) Solidarité'!I308</f>
        <v>187679.72026384922</v>
      </c>
      <c r="H319" s="14">
        <f t="shared" si="13"/>
        <v>276090.68605861778</v>
      </c>
      <c r="I319" s="55">
        <f t="shared" si="14"/>
        <v>182938.31665762479</v>
      </c>
    </row>
    <row r="320" spans="1:9" x14ac:dyDescent="0.25">
      <c r="A320" s="49">
        <f>'A) Base RI'!A311</f>
        <v>5934</v>
      </c>
      <c r="B320" s="32" t="str">
        <f>'A) Base RI'!B311</f>
        <v>Valeyres-sous-Ursins</v>
      </c>
      <c r="C320" s="31">
        <f>'D) Ecrêtage'!C309</f>
        <v>7641.8509852223033</v>
      </c>
      <c r="D320" s="14">
        <f>'A) Base RI'!V311</f>
        <v>232</v>
      </c>
      <c r="E320" s="10">
        <f t="shared" si="12"/>
        <v>154995.93266294186</v>
      </c>
      <c r="F320" s="14">
        <f>'F) Population'!K312</f>
        <v>28970.824949698184</v>
      </c>
      <c r="G320" s="10">
        <f>'G) Solidarité'!I309</f>
        <v>68435.652168842847</v>
      </c>
      <c r="H320" s="14">
        <f t="shared" si="13"/>
        <v>97406.477118541035</v>
      </c>
      <c r="I320" s="55">
        <f t="shared" si="14"/>
        <v>57589.455544400829</v>
      </c>
    </row>
    <row r="321" spans="1:9" x14ac:dyDescent="0.25">
      <c r="A321" s="49">
        <f>'A) Base RI'!A312</f>
        <v>5935</v>
      </c>
      <c r="B321" s="32" t="str">
        <f>'A) Base RI'!B312</f>
        <v>Villars-Epeney</v>
      </c>
      <c r="C321" s="31">
        <f>'D) Ecrêtage'!C310</f>
        <v>5591.3819786059366</v>
      </c>
      <c r="D321" s="14">
        <f>'A) Base RI'!V312</f>
        <v>100</v>
      </c>
      <c r="E321" s="10">
        <f t="shared" si="12"/>
        <v>113407.27087255308</v>
      </c>
      <c r="F321" s="14">
        <f>'F) Population'!K313</f>
        <v>12487.424547283701</v>
      </c>
      <c r="G321" s="10">
        <f>'G) Solidarité'!I310</f>
        <v>0</v>
      </c>
      <c r="H321" s="14">
        <f t="shared" si="13"/>
        <v>12487.424547283701</v>
      </c>
      <c r="I321" s="55">
        <f t="shared" si="14"/>
        <v>100919.84632526938</v>
      </c>
    </row>
    <row r="322" spans="1:9" x14ac:dyDescent="0.25">
      <c r="A322" s="49">
        <f>'A) Base RI'!A313</f>
        <v>5937</v>
      </c>
      <c r="B322" s="32" t="str">
        <f>'A) Base RI'!B313</f>
        <v>Vugelles-La Mothe</v>
      </c>
      <c r="C322" s="31">
        <f>'D) Ecrêtage'!C311</f>
        <v>2402.7405651963004</v>
      </c>
      <c r="D322" s="14">
        <f>'A) Base RI'!V313</f>
        <v>132</v>
      </c>
      <c r="E322" s="10">
        <f t="shared" si="12"/>
        <v>48733.613828620211</v>
      </c>
      <c r="F322" s="14">
        <f>'F) Population'!K314</f>
        <v>16483.400402414485</v>
      </c>
      <c r="G322" s="10">
        <f>'G) Solidarité'!I311</f>
        <v>68472.404260595038</v>
      </c>
      <c r="H322" s="14">
        <f t="shared" si="13"/>
        <v>84955.80466300952</v>
      </c>
      <c r="I322" s="55">
        <f t="shared" si="14"/>
        <v>-36222.190834389308</v>
      </c>
    </row>
    <row r="323" spans="1:9" x14ac:dyDescent="0.25">
      <c r="A323" s="49">
        <f>'A) Base RI'!A314</f>
        <v>5938</v>
      </c>
      <c r="B323" s="32" t="str">
        <f>'A) Base RI'!B314</f>
        <v>Yverdon-les-Bains</v>
      </c>
      <c r="C323" s="31">
        <f>'D) Ecrêtage'!C312</f>
        <v>748845.35601358349</v>
      </c>
      <c r="D323" s="14">
        <f>'A) Base RI'!V314</f>
        <v>30211</v>
      </c>
      <c r="E323" s="10">
        <f t="shared" si="12"/>
        <v>15188464.758091807</v>
      </c>
      <c r="F323" s="14">
        <f>'F) Population'!K315</f>
        <v>25720648.038229372</v>
      </c>
      <c r="G323" s="10">
        <f>'G) Solidarité'!I312</f>
        <v>14087645.689773168</v>
      </c>
      <c r="H323" s="14">
        <f t="shared" si="13"/>
        <v>39808293.728002541</v>
      </c>
      <c r="I323" s="55">
        <f t="shared" si="14"/>
        <v>-24619828.969910733</v>
      </c>
    </row>
    <row r="324" spans="1:9" x14ac:dyDescent="0.25">
      <c r="A324" s="49">
        <f>'A) Base RI'!A315</f>
        <v>5939</v>
      </c>
      <c r="B324" s="32" t="str">
        <f>'A) Base RI'!B315</f>
        <v>Yvonand</v>
      </c>
      <c r="C324" s="31">
        <f>'D) Ecrêtage'!C313</f>
        <v>91997.775281850787</v>
      </c>
      <c r="D324" s="14">
        <f>'A) Base RI'!V315</f>
        <v>3426</v>
      </c>
      <c r="E324" s="10">
        <f t="shared" si="12"/>
        <v>1865945.9612992434</v>
      </c>
      <c r="F324" s="14">
        <f>'F) Population'!K316</f>
        <v>1036955.7344064384</v>
      </c>
      <c r="G324" s="10">
        <f>'G) Solidarité'!I313</f>
        <v>1304771.5382857935</v>
      </c>
      <c r="H324" s="14">
        <f t="shared" si="13"/>
        <v>2341727.2726922319</v>
      </c>
      <c r="I324" s="55">
        <f t="shared" si="14"/>
        <v>-475781.31139298854</v>
      </c>
    </row>
    <row r="325" spans="1:9" x14ac:dyDescent="0.25">
      <c r="A325" s="30"/>
      <c r="B325" s="119">
        <f>COUNTA(B16:B324)</f>
        <v>309</v>
      </c>
      <c r="C325" s="120">
        <f>SUM(C16:C324)</f>
        <v>35867536.64913179</v>
      </c>
      <c r="D325" s="11">
        <f>SUM(D16:D324)</f>
        <v>800162</v>
      </c>
      <c r="E325" s="11">
        <f>SUM(E16:E324)</f>
        <v>727483734.76595604</v>
      </c>
      <c r="F325" s="11">
        <f>SUM(F16:F324)</f>
        <v>423998937.14788759</v>
      </c>
      <c r="G325" s="11">
        <f>SUM(G16:G324)</f>
        <v>132207905.99061687</v>
      </c>
      <c r="H325" s="11">
        <f>F325+G325</f>
        <v>556206843.13850451</v>
      </c>
      <c r="I325" s="37">
        <f>E325-H325</f>
        <v>171276891.62745154</v>
      </c>
    </row>
    <row r="326" spans="1:9" x14ac:dyDescent="0.25">
      <c r="C326" s="71"/>
      <c r="D326" s="71"/>
      <c r="E326" s="36"/>
      <c r="H326" s="36"/>
    </row>
    <row r="327" spans="1:9" x14ac:dyDescent="0.25">
      <c r="C327" s="5"/>
      <c r="D327" s="5"/>
      <c r="E327" s="6"/>
      <c r="F327" s="6"/>
      <c r="G327" s="6"/>
      <c r="H327" s="6"/>
      <c r="I327" s="6"/>
    </row>
    <row r="328" spans="1:9" x14ac:dyDescent="0.25">
      <c r="G328" s="12"/>
    </row>
    <row r="330" spans="1:9" x14ac:dyDescent="0.25">
      <c r="F330" s="12"/>
    </row>
    <row r="331" spans="1:9" x14ac:dyDescent="0.25">
      <c r="F331" s="12"/>
    </row>
    <row r="333" spans="1:9" x14ac:dyDescent="0.25">
      <c r="F333" s="107"/>
      <c r="G333" s="107"/>
      <c r="H333" s="107"/>
      <c r="I333" s="107"/>
    </row>
    <row r="334" spans="1:9" x14ac:dyDescent="0.25">
      <c r="E334" s="107"/>
      <c r="F334" s="107"/>
      <c r="G334" s="107"/>
      <c r="H334" s="107"/>
      <c r="I334" s="107"/>
    </row>
    <row r="335" spans="1:9" x14ac:dyDescent="0.25">
      <c r="E335" s="116"/>
      <c r="F335" s="116"/>
      <c r="G335" s="116"/>
      <c r="H335" s="116"/>
      <c r="I335" s="116"/>
    </row>
    <row r="342" spans="3:3" x14ac:dyDescent="0.25">
      <c r="C342" s="48"/>
    </row>
    <row r="343" spans="3:3" x14ac:dyDescent="0.25">
      <c r="C343" s="48"/>
    </row>
    <row r="344" spans="3:3" x14ac:dyDescent="0.25">
      <c r="C344" s="48"/>
    </row>
  </sheetData>
  <mergeCells count="4">
    <mergeCell ref="D14:D15"/>
    <mergeCell ref="C14:C15"/>
    <mergeCell ref="B14:B15"/>
    <mergeCell ref="A14:A15"/>
  </mergeCells>
  <phoneticPr fontId="19" type="noConversion"/>
  <pageMargins left="0.25" right="0.25" top="0.75" bottom="0.75" header="0.3" footer="0.3"/>
  <pageSetup paperSize="9" orientation="landscape" horizontalDpi="4294967292" verticalDpi="4294967292"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rgb="FF00B050"/>
  </sheetPr>
  <dimension ref="A1:Q320"/>
  <sheetViews>
    <sheetView workbookViewId="0">
      <pane ySplit="4" topLeftCell="A5" activePane="bottomLeft" state="frozen"/>
      <selection pane="bottomLeft" activeCell="A5" sqref="A5"/>
    </sheetView>
  </sheetViews>
  <sheetFormatPr baseColWidth="10" defaultColWidth="10.75" defaultRowHeight="15" x14ac:dyDescent="0.25"/>
  <cols>
    <col min="1" max="1" width="7.25" style="13" customWidth="1"/>
    <col min="2" max="2" width="18" style="13" customWidth="1"/>
    <col min="3" max="3" width="14.25" style="6" bestFit="1" customWidth="1"/>
    <col min="4" max="5" width="13.125" style="6" bestFit="1" customWidth="1"/>
    <col min="6" max="6" width="12.25" style="6" bestFit="1" customWidth="1"/>
    <col min="7" max="7" width="13.125" style="6" bestFit="1" customWidth="1"/>
    <col min="8" max="8" width="16.875" style="6" bestFit="1" customWidth="1"/>
    <col min="9" max="9" width="13.25" style="6" bestFit="1" customWidth="1"/>
    <col min="10" max="10" width="12.125" style="6" customWidth="1"/>
    <col min="11" max="11" width="10" style="6" customWidth="1"/>
    <col min="12" max="12" width="11.375" style="6" customWidth="1"/>
    <col min="13" max="13" width="11.875" style="6" customWidth="1"/>
    <col min="14" max="14" width="12.5" style="6" customWidth="1"/>
    <col min="15" max="15" width="12.875" style="6" customWidth="1"/>
    <col min="16" max="16" width="10" style="15" customWidth="1"/>
    <col min="17" max="17" width="2.5" style="13" customWidth="1"/>
    <col min="18" max="16384" width="10.75" style="13"/>
  </cols>
  <sheetData>
    <row r="1" spans="1:17" s="43" customFormat="1" ht="20.25" customHeight="1" x14ac:dyDescent="0.25">
      <c r="A1" s="51" t="s">
        <v>139</v>
      </c>
      <c r="B1" s="42"/>
      <c r="C1" s="44"/>
      <c r="D1" s="44"/>
      <c r="E1" s="44"/>
      <c r="F1" s="44"/>
      <c r="G1" s="44"/>
      <c r="H1" s="44"/>
      <c r="I1" s="44"/>
      <c r="J1" s="44"/>
      <c r="K1" s="289"/>
      <c r="L1" s="44"/>
      <c r="M1" s="289"/>
      <c r="N1" s="44"/>
      <c r="O1" s="44"/>
      <c r="P1" s="135"/>
      <c r="Q1" s="13"/>
    </row>
    <row r="3" spans="1:17" ht="60" customHeight="1" x14ac:dyDescent="0.25">
      <c r="A3" s="501" t="s">
        <v>46</v>
      </c>
      <c r="B3" s="501" t="s">
        <v>96</v>
      </c>
      <c r="C3" s="498" t="s">
        <v>547</v>
      </c>
      <c r="D3" s="498" t="s">
        <v>329</v>
      </c>
      <c r="E3" s="498" t="s">
        <v>330</v>
      </c>
      <c r="F3" s="498" t="s">
        <v>331</v>
      </c>
      <c r="G3" s="498" t="s">
        <v>302</v>
      </c>
      <c r="H3" s="498" t="s">
        <v>44</v>
      </c>
      <c r="I3" s="285" t="s">
        <v>303</v>
      </c>
      <c r="J3" s="285" t="s">
        <v>213</v>
      </c>
      <c r="K3" s="525" t="s">
        <v>214</v>
      </c>
      <c r="L3" s="498" t="s">
        <v>45</v>
      </c>
      <c r="M3" s="285" t="s">
        <v>215</v>
      </c>
      <c r="N3" s="285" t="s">
        <v>213</v>
      </c>
      <c r="O3" s="290" t="s">
        <v>368</v>
      </c>
      <c r="P3" s="325" t="s">
        <v>530</v>
      </c>
    </row>
    <row r="4" spans="1:17" x14ac:dyDescent="0.25">
      <c r="A4" s="502"/>
      <c r="B4" s="503"/>
      <c r="C4" s="499"/>
      <c r="D4" s="500"/>
      <c r="E4" s="499"/>
      <c r="F4" s="500"/>
      <c r="G4" s="499"/>
      <c r="H4" s="500"/>
      <c r="I4" s="287">
        <f>Paramètres!B41</f>
        <v>8</v>
      </c>
      <c r="J4" s="453">
        <f>+Paramètres!C41</f>
        <v>0.72953278949261524</v>
      </c>
      <c r="K4" s="526"/>
      <c r="L4" s="499"/>
      <c r="M4" s="295">
        <f>Paramètres!B42</f>
        <v>1</v>
      </c>
      <c r="N4" s="453">
        <f>+Paramètres!C42</f>
        <v>0.72953278949261524</v>
      </c>
      <c r="O4" s="291" t="s">
        <v>455</v>
      </c>
      <c r="P4" s="327" t="s">
        <v>456</v>
      </c>
    </row>
    <row r="5" spans="1:17" x14ac:dyDescent="0.25">
      <c r="A5" s="46">
        <f>+'A) Base RI'!A7</f>
        <v>5401</v>
      </c>
      <c r="B5" s="294" t="str">
        <f>+'A) Base RI'!B7</f>
        <v>Aigle</v>
      </c>
      <c r="C5" s="305">
        <f>+'D) Ecrêtage'!C5</f>
        <v>264997.06649252231</v>
      </c>
      <c r="D5" s="458">
        <v>4094806</v>
      </c>
      <c r="E5" s="459">
        <v>1357170</v>
      </c>
      <c r="F5" s="458">
        <v>35818</v>
      </c>
      <c r="G5" s="305">
        <f>SUM(D5:F5)</f>
        <v>5487794</v>
      </c>
      <c r="H5" s="286">
        <f>+C5*$I$4</f>
        <v>2119976.5319401785</v>
      </c>
      <c r="I5" s="54">
        <f>IF(G5&gt;H5,G5-H5,0)</f>
        <v>3367817.4680598215</v>
      </c>
      <c r="J5" s="303">
        <f>-I5*J$4</f>
        <v>-2456933.2719756383</v>
      </c>
      <c r="K5" s="463">
        <v>301222</v>
      </c>
      <c r="L5" s="54">
        <f>C5*M$4</f>
        <v>264997.06649252231</v>
      </c>
      <c r="M5" s="69">
        <f>IF(K5&gt;L5,K5-L5,0)</f>
        <v>36224.93350747769</v>
      </c>
      <c r="N5" s="129">
        <f>-M5*N$4</f>
        <v>-26427.276790894706</v>
      </c>
      <c r="O5" s="130">
        <f>N5+J5</f>
        <v>-2483360.5487665329</v>
      </c>
      <c r="P5" s="457">
        <f>+O5/C5</f>
        <v>-9.3712756206552505</v>
      </c>
      <c r="Q5" s="125"/>
    </row>
    <row r="6" spans="1:17" x14ac:dyDescent="0.25">
      <c r="A6" s="49">
        <f>+'A) Base RI'!A8</f>
        <v>5402</v>
      </c>
      <c r="B6" s="294" t="str">
        <f>+'A) Base RI'!B8</f>
        <v>Bex</v>
      </c>
      <c r="C6" s="306">
        <f>+'D) Ecrêtage'!C6</f>
        <v>167576.20795633722</v>
      </c>
      <c r="D6" s="458">
        <v>2719677</v>
      </c>
      <c r="E6" s="460">
        <v>702945</v>
      </c>
      <c r="F6" s="458">
        <v>240284</v>
      </c>
      <c r="G6" s="306">
        <f t="shared" ref="G6:G69" si="0">SUM(D6:F6)</f>
        <v>3662906</v>
      </c>
      <c r="H6" s="286">
        <f t="shared" ref="H6:H69" si="1">+C6*$I$4</f>
        <v>1340609.6636506978</v>
      </c>
      <c r="I6" s="10">
        <f t="shared" ref="I6:I69" si="2">IF(G6&gt;H6,G6-H6,0)</f>
        <v>2322296.336349302</v>
      </c>
      <c r="J6" s="303">
        <f t="shared" ref="J6:J69" si="3">-I6*J$4</f>
        <v>-1694191.3242853868</v>
      </c>
      <c r="K6" s="462">
        <v>421671</v>
      </c>
      <c r="L6" s="10">
        <f t="shared" ref="L6:L69" si="4">C6*M$4</f>
        <v>167576.20795633722</v>
      </c>
      <c r="M6" s="14">
        <f t="shared" ref="M6:M69" si="5">IF(K6&gt;L6,K6-L6,0)</f>
        <v>254094.79204366278</v>
      </c>
      <c r="N6" s="2">
        <f t="shared" ref="N6:N69" si="6">-M6*N$4</f>
        <v>-185370.48243515927</v>
      </c>
      <c r="O6" s="131">
        <f t="shared" ref="O6:O69" si="7">N6+J6</f>
        <v>-1879561.806720546</v>
      </c>
      <c r="P6" s="457">
        <f t="shared" ref="P6:P69" si="8">+O6/C6</f>
        <v>-11.216161468519891</v>
      </c>
      <c r="Q6" s="125"/>
    </row>
    <row r="7" spans="1:17" x14ac:dyDescent="0.25">
      <c r="A7" s="49">
        <f>+'A) Base RI'!A9</f>
        <v>5403</v>
      </c>
      <c r="B7" s="294" t="str">
        <f>+'A) Base RI'!B9</f>
        <v>Chessel</v>
      </c>
      <c r="C7" s="306">
        <f>+'D) Ecrêtage'!C7</f>
        <v>10084.656029543799</v>
      </c>
      <c r="D7" s="458">
        <v>67211</v>
      </c>
      <c r="E7" s="460">
        <v>17320</v>
      </c>
      <c r="F7" s="458">
        <v>16898</v>
      </c>
      <c r="G7" s="306">
        <f t="shared" si="0"/>
        <v>101429</v>
      </c>
      <c r="H7" s="286">
        <f t="shared" si="1"/>
        <v>80677.248236350395</v>
      </c>
      <c r="I7" s="10">
        <f t="shared" si="2"/>
        <v>20751.751763649605</v>
      </c>
      <c r="J7" s="303">
        <f t="shared" si="3"/>
        <v>-15139.083350993595</v>
      </c>
      <c r="K7" s="462">
        <v>50322</v>
      </c>
      <c r="L7" s="10">
        <f t="shared" si="4"/>
        <v>10084.656029543799</v>
      </c>
      <c r="M7" s="14">
        <f t="shared" si="5"/>
        <v>40237.343970456204</v>
      </c>
      <c r="N7" s="2">
        <f t="shared" si="6"/>
        <v>-29354.461788540779</v>
      </c>
      <c r="O7" s="131">
        <f t="shared" si="7"/>
        <v>-44493.54513953437</v>
      </c>
      <c r="P7" s="457">
        <f t="shared" si="8"/>
        <v>-4.4120042378428179</v>
      </c>
      <c r="Q7" s="127"/>
    </row>
    <row r="8" spans="1:17" x14ac:dyDescent="0.25">
      <c r="A8" s="49">
        <f>+'A) Base RI'!A10</f>
        <v>5404</v>
      </c>
      <c r="B8" s="294" t="str">
        <f>+'A) Base RI'!B10</f>
        <v>Corbeyrier</v>
      </c>
      <c r="C8" s="306">
        <f>+'D) Ecrêtage'!C8</f>
        <v>11886.055583598994</v>
      </c>
      <c r="D8" s="458">
        <v>219224</v>
      </c>
      <c r="E8" s="460">
        <v>18781</v>
      </c>
      <c r="F8" s="458">
        <v>33165</v>
      </c>
      <c r="G8" s="306">
        <f t="shared" si="0"/>
        <v>271170</v>
      </c>
      <c r="H8" s="286">
        <f t="shared" si="1"/>
        <v>95088.444668791955</v>
      </c>
      <c r="I8" s="10">
        <f t="shared" si="2"/>
        <v>176081.55533120804</v>
      </c>
      <c r="J8" s="303">
        <f t="shared" si="3"/>
        <v>-128457.26823897449</v>
      </c>
      <c r="K8" s="462">
        <v>37485</v>
      </c>
      <c r="L8" s="10">
        <f t="shared" si="4"/>
        <v>11886.055583598994</v>
      </c>
      <c r="M8" s="14">
        <f t="shared" si="5"/>
        <v>25598.944416401006</v>
      </c>
      <c r="N8" s="2">
        <f t="shared" si="6"/>
        <v>-18675.269328163435</v>
      </c>
      <c r="O8" s="131">
        <f t="shared" si="7"/>
        <v>-147132.53756713792</v>
      </c>
      <c r="P8" s="457">
        <f t="shared" si="8"/>
        <v>-12.378584008151464</v>
      </c>
      <c r="Q8" s="127"/>
    </row>
    <row r="9" spans="1:17" x14ac:dyDescent="0.25">
      <c r="A9" s="49">
        <f>+'A) Base RI'!A11</f>
        <v>5405</v>
      </c>
      <c r="B9" s="294" t="str">
        <f>+'A) Base RI'!B11</f>
        <v>Gryon</v>
      </c>
      <c r="C9" s="306">
        <f>+'D) Ecrêtage'!C9</f>
        <v>67043.99833693559</v>
      </c>
      <c r="D9" s="458">
        <v>1339624</v>
      </c>
      <c r="E9" s="460">
        <v>163141</v>
      </c>
      <c r="F9" s="458">
        <v>46604</v>
      </c>
      <c r="G9" s="306">
        <f t="shared" si="0"/>
        <v>1549369</v>
      </c>
      <c r="H9" s="286">
        <f t="shared" si="1"/>
        <v>536351.98669548472</v>
      </c>
      <c r="I9" s="10">
        <f t="shared" si="2"/>
        <v>1013017.0133045153</v>
      </c>
      <c r="J9" s="303">
        <f t="shared" si="3"/>
        <v>-739029.1275195207</v>
      </c>
      <c r="K9" s="462">
        <v>3083</v>
      </c>
      <c r="L9" s="10">
        <f t="shared" si="4"/>
        <v>67043.99833693559</v>
      </c>
      <c r="M9" s="14">
        <f t="shared" si="5"/>
        <v>0</v>
      </c>
      <c r="N9" s="2">
        <f t="shared" si="6"/>
        <v>0</v>
      </c>
      <c r="O9" s="131">
        <f t="shared" si="7"/>
        <v>-739029.1275195207</v>
      </c>
      <c r="P9" s="457">
        <f t="shared" si="8"/>
        <v>-11.023046743206811</v>
      </c>
      <c r="Q9" s="127"/>
    </row>
    <row r="10" spans="1:17" x14ac:dyDescent="0.25">
      <c r="A10" s="49">
        <f>+'A) Base RI'!A12</f>
        <v>5406</v>
      </c>
      <c r="B10" s="294" t="str">
        <f>+'A) Base RI'!B12</f>
        <v>Lavey-Morcles</v>
      </c>
      <c r="C10" s="306">
        <f>+'D) Ecrêtage'!C10</f>
        <v>21182.431428934582</v>
      </c>
      <c r="D10" s="458">
        <v>220913</v>
      </c>
      <c r="E10" s="460">
        <v>39798</v>
      </c>
      <c r="F10" s="458">
        <v>26575</v>
      </c>
      <c r="G10" s="306">
        <f t="shared" si="0"/>
        <v>287286</v>
      </c>
      <c r="H10" s="286">
        <f t="shared" si="1"/>
        <v>169459.45143147666</v>
      </c>
      <c r="I10" s="10">
        <f t="shared" si="2"/>
        <v>117826.54856852334</v>
      </c>
      <c r="J10" s="303">
        <f t="shared" si="3"/>
        <v>-85958.330653481942</v>
      </c>
      <c r="K10" s="462">
        <v>5405</v>
      </c>
      <c r="L10" s="10">
        <f t="shared" si="4"/>
        <v>21182.431428934582</v>
      </c>
      <c r="M10" s="14">
        <f t="shared" si="5"/>
        <v>0</v>
      </c>
      <c r="N10" s="2">
        <f t="shared" si="6"/>
        <v>0</v>
      </c>
      <c r="O10" s="131">
        <f t="shared" si="7"/>
        <v>-85958.330653481942</v>
      </c>
      <c r="P10" s="457">
        <f t="shared" si="8"/>
        <v>-4.0580011289952944</v>
      </c>
      <c r="Q10" s="127"/>
    </row>
    <row r="11" spans="1:17" x14ac:dyDescent="0.25">
      <c r="A11" s="49">
        <f>+'A) Base RI'!A13</f>
        <v>5407</v>
      </c>
      <c r="B11" s="294" t="str">
        <f>+'A) Base RI'!B13</f>
        <v>Leysin</v>
      </c>
      <c r="C11" s="306">
        <f>+'D) Ecrêtage'!C11</f>
        <v>87800.052646256067</v>
      </c>
      <c r="D11" s="458">
        <v>2249982</v>
      </c>
      <c r="E11" s="460">
        <v>794070</v>
      </c>
      <c r="F11" s="458">
        <v>195389</v>
      </c>
      <c r="G11" s="306">
        <f t="shared" si="0"/>
        <v>3239441</v>
      </c>
      <c r="H11" s="286">
        <f t="shared" si="1"/>
        <v>702400.42117004853</v>
      </c>
      <c r="I11" s="10">
        <f t="shared" si="2"/>
        <v>2537040.5788299516</v>
      </c>
      <c r="J11" s="303">
        <f t="shared" si="3"/>
        <v>-1850854.2905297738</v>
      </c>
      <c r="K11" s="462">
        <v>136928</v>
      </c>
      <c r="L11" s="10">
        <f t="shared" si="4"/>
        <v>87800.052646256067</v>
      </c>
      <c r="M11" s="14">
        <f t="shared" si="5"/>
        <v>49127.947353743933</v>
      </c>
      <c r="N11" s="2">
        <f t="shared" si="6"/>
        <v>-35840.448475023157</v>
      </c>
      <c r="O11" s="131">
        <f t="shared" si="7"/>
        <v>-1886694.7390047971</v>
      </c>
      <c r="P11" s="457">
        <f t="shared" si="8"/>
        <v>-21.488537673277225</v>
      </c>
      <c r="Q11" s="127"/>
    </row>
    <row r="12" spans="1:17" x14ac:dyDescent="0.25">
      <c r="A12" s="49">
        <f>+'A) Base RI'!A14</f>
        <v>5408</v>
      </c>
      <c r="B12" s="294" t="str">
        <f>+'A) Base RI'!B14</f>
        <v>Noville</v>
      </c>
      <c r="C12" s="306">
        <f>+'D) Ecrêtage'!C12</f>
        <v>34485.089397525851</v>
      </c>
      <c r="D12" s="458">
        <v>425397</v>
      </c>
      <c r="E12" s="460">
        <v>68013</v>
      </c>
      <c r="F12" s="458">
        <v>48305</v>
      </c>
      <c r="G12" s="306">
        <f t="shared" si="0"/>
        <v>541715</v>
      </c>
      <c r="H12" s="286">
        <f t="shared" si="1"/>
        <v>275880.71518020681</v>
      </c>
      <c r="I12" s="10">
        <f t="shared" si="2"/>
        <v>265834.28481979319</v>
      </c>
      <c r="J12" s="303">
        <f t="shared" si="3"/>
        <v>-193934.82734735811</v>
      </c>
      <c r="K12" s="462">
        <v>42181</v>
      </c>
      <c r="L12" s="10">
        <f t="shared" si="4"/>
        <v>34485.089397525851</v>
      </c>
      <c r="M12" s="14">
        <f t="shared" si="5"/>
        <v>7695.9106024741486</v>
      </c>
      <c r="N12" s="2">
        <f t="shared" si="6"/>
        <v>-5614.4191295087585</v>
      </c>
      <c r="O12" s="131">
        <f t="shared" si="7"/>
        <v>-199549.24647686686</v>
      </c>
      <c r="P12" s="457">
        <f t="shared" si="8"/>
        <v>-5.7865370211620677</v>
      </c>
      <c r="Q12" s="127"/>
    </row>
    <row r="13" spans="1:17" x14ac:dyDescent="0.25">
      <c r="A13" s="49">
        <f>+'A) Base RI'!A15</f>
        <v>5409</v>
      </c>
      <c r="B13" s="294" t="str">
        <f>+'A) Base RI'!B15</f>
        <v>Ollon</v>
      </c>
      <c r="C13" s="306">
        <f>+'D) Ecrêtage'!C13</f>
        <v>364239.90242657869</v>
      </c>
      <c r="D13" s="458">
        <v>4183204</v>
      </c>
      <c r="E13" s="460">
        <v>1210549</v>
      </c>
      <c r="F13" s="458">
        <v>618814</v>
      </c>
      <c r="G13" s="306">
        <f t="shared" si="0"/>
        <v>6012567</v>
      </c>
      <c r="H13" s="286">
        <f t="shared" si="1"/>
        <v>2913919.2194126295</v>
      </c>
      <c r="I13" s="10">
        <f t="shared" si="2"/>
        <v>3098647.7805873705</v>
      </c>
      <c r="J13" s="303">
        <f t="shared" si="3"/>
        <v>-2260565.1590270055</v>
      </c>
      <c r="K13" s="462">
        <v>438839</v>
      </c>
      <c r="L13" s="10">
        <f t="shared" si="4"/>
        <v>364239.90242657869</v>
      </c>
      <c r="M13" s="14">
        <f t="shared" si="5"/>
        <v>74599.097573421313</v>
      </c>
      <c r="N13" s="2">
        <f t="shared" si="6"/>
        <v>-54422.487746369836</v>
      </c>
      <c r="O13" s="131">
        <f t="shared" si="7"/>
        <v>-2314987.6467733756</v>
      </c>
      <c r="P13" s="457">
        <f t="shared" si="8"/>
        <v>-6.355667326261754</v>
      </c>
      <c r="Q13" s="127"/>
    </row>
    <row r="14" spans="1:17" x14ac:dyDescent="0.25">
      <c r="A14" s="49">
        <f>+'A) Base RI'!A16</f>
        <v>5410</v>
      </c>
      <c r="B14" s="294" t="str">
        <f>+'A) Base RI'!B16</f>
        <v>Ormont-Dessous</v>
      </c>
      <c r="C14" s="306">
        <f>+'D) Ecrêtage'!C14</f>
        <v>43203.907731880769</v>
      </c>
      <c r="D14" s="458">
        <v>1401905</v>
      </c>
      <c r="E14" s="460">
        <v>96013</v>
      </c>
      <c r="F14" s="458">
        <v>66386</v>
      </c>
      <c r="G14" s="306">
        <f t="shared" si="0"/>
        <v>1564304</v>
      </c>
      <c r="H14" s="286">
        <f t="shared" si="1"/>
        <v>345631.26185504615</v>
      </c>
      <c r="I14" s="10">
        <f t="shared" si="2"/>
        <v>1218672.7381449537</v>
      </c>
      <c r="J14" s="303">
        <f t="shared" si="3"/>
        <v>-889061.72213749157</v>
      </c>
      <c r="K14" s="462">
        <v>63872</v>
      </c>
      <c r="L14" s="10">
        <f t="shared" si="4"/>
        <v>43203.907731880769</v>
      </c>
      <c r="M14" s="14">
        <f t="shared" si="5"/>
        <v>20668.092268119231</v>
      </c>
      <c r="N14" s="2">
        <f t="shared" si="6"/>
        <v>-15078.051005851776</v>
      </c>
      <c r="O14" s="131">
        <f t="shared" si="7"/>
        <v>-904139.77314334339</v>
      </c>
      <c r="P14" s="457">
        <f t="shared" si="8"/>
        <v>-20.927268402533088</v>
      </c>
      <c r="Q14" s="127"/>
    </row>
    <row r="15" spans="1:17" x14ac:dyDescent="0.25">
      <c r="A15" s="49">
        <f>+'A) Base RI'!A17</f>
        <v>5411</v>
      </c>
      <c r="B15" s="294" t="str">
        <f>+'A) Base RI'!B17</f>
        <v>Ormont-Dessus</v>
      </c>
      <c r="C15" s="306">
        <f>+'D) Ecrêtage'!C15</f>
        <v>72610.798338858935</v>
      </c>
      <c r="D15" s="458">
        <v>1392368</v>
      </c>
      <c r="E15" s="460">
        <v>216307</v>
      </c>
      <c r="F15" s="458">
        <v>74024</v>
      </c>
      <c r="G15" s="306">
        <f t="shared" si="0"/>
        <v>1682699</v>
      </c>
      <c r="H15" s="286">
        <f t="shared" si="1"/>
        <v>580886.38671087148</v>
      </c>
      <c r="I15" s="10">
        <f t="shared" si="2"/>
        <v>1101812.6132891285</v>
      </c>
      <c r="J15" s="303">
        <f t="shared" si="3"/>
        <v>-803808.42927096609</v>
      </c>
      <c r="K15" s="462">
        <v>136334</v>
      </c>
      <c r="L15" s="10">
        <f t="shared" si="4"/>
        <v>72610.798338858935</v>
      </c>
      <c r="M15" s="14">
        <f t="shared" si="5"/>
        <v>63723.201661141065</v>
      </c>
      <c r="N15" s="2">
        <f t="shared" si="6"/>
        <v>-46488.165063252694</v>
      </c>
      <c r="O15" s="131">
        <f t="shared" si="7"/>
        <v>-850296.59433421877</v>
      </c>
      <c r="P15" s="457">
        <f t="shared" si="8"/>
        <v>-11.710332537125787</v>
      </c>
      <c r="Q15" s="127"/>
    </row>
    <row r="16" spans="1:17" x14ac:dyDescent="0.25">
      <c r="A16" s="49">
        <f>+'A) Base RI'!A18</f>
        <v>5412</v>
      </c>
      <c r="B16" s="294" t="str">
        <f>+'A) Base RI'!B18</f>
        <v>Rennaz</v>
      </c>
      <c r="C16" s="306">
        <f>+'D) Ecrêtage'!C16</f>
        <v>26466.15780602719</v>
      </c>
      <c r="D16" s="458">
        <v>169612</v>
      </c>
      <c r="E16" s="460">
        <v>54088</v>
      </c>
      <c r="F16" s="458">
        <v>35693</v>
      </c>
      <c r="G16" s="306">
        <f t="shared" si="0"/>
        <v>259393</v>
      </c>
      <c r="H16" s="286">
        <f t="shared" si="1"/>
        <v>211729.26244821752</v>
      </c>
      <c r="I16" s="10">
        <f t="shared" si="2"/>
        <v>47663.737551782484</v>
      </c>
      <c r="J16" s="303">
        <f t="shared" si="3"/>
        <v>-34772.259413795793</v>
      </c>
      <c r="K16" s="462">
        <v>23274</v>
      </c>
      <c r="L16" s="10">
        <f t="shared" si="4"/>
        <v>26466.15780602719</v>
      </c>
      <c r="M16" s="14">
        <f t="shared" si="5"/>
        <v>0</v>
      </c>
      <c r="N16" s="2">
        <f t="shared" si="6"/>
        <v>0</v>
      </c>
      <c r="O16" s="131">
        <f t="shared" si="7"/>
        <v>-34772.259413795793</v>
      </c>
      <c r="P16" s="457">
        <f t="shared" si="8"/>
        <v>-1.3138385884586934</v>
      </c>
      <c r="Q16" s="127"/>
    </row>
    <row r="17" spans="1:17" x14ac:dyDescent="0.25">
      <c r="A17" s="49">
        <f>+'A) Base RI'!A19</f>
        <v>5413</v>
      </c>
      <c r="B17" s="294" t="str">
        <f>+'A) Base RI'!B19</f>
        <v>Roche</v>
      </c>
      <c r="C17" s="306">
        <f>+'D) Ecrêtage'!C17</f>
        <v>37990.385509658925</v>
      </c>
      <c r="D17" s="458">
        <v>170351</v>
      </c>
      <c r="E17" s="460">
        <v>109866</v>
      </c>
      <c r="F17" s="458">
        <v>76126</v>
      </c>
      <c r="G17" s="306">
        <f t="shared" si="0"/>
        <v>356343</v>
      </c>
      <c r="H17" s="286">
        <f t="shared" si="1"/>
        <v>303923.0840772714</v>
      </c>
      <c r="I17" s="10">
        <f t="shared" si="2"/>
        <v>52419.9159227286</v>
      </c>
      <c r="J17" s="303">
        <f t="shared" si="3"/>
        <v>-38242.047488076554</v>
      </c>
      <c r="K17" s="462">
        <v>30451</v>
      </c>
      <c r="L17" s="10">
        <f t="shared" si="4"/>
        <v>37990.385509658925</v>
      </c>
      <c r="M17" s="14">
        <f t="shared" si="5"/>
        <v>0</v>
      </c>
      <c r="N17" s="2">
        <f t="shared" si="6"/>
        <v>0</v>
      </c>
      <c r="O17" s="131">
        <f t="shared" si="7"/>
        <v>-38242.047488076554</v>
      </c>
      <c r="P17" s="457">
        <f t="shared" si="8"/>
        <v>-1.0066243596910498</v>
      </c>
      <c r="Q17" s="127"/>
    </row>
    <row r="18" spans="1:17" x14ac:dyDescent="0.25">
      <c r="A18" s="49">
        <f>+'A) Base RI'!A20</f>
        <v>5414</v>
      </c>
      <c r="B18" s="294" t="str">
        <f>+'A) Base RI'!B20</f>
        <v>Villeneuve</v>
      </c>
      <c r="C18" s="306">
        <f>+'D) Ecrêtage'!C18</f>
        <v>165545.36815921174</v>
      </c>
      <c r="D18" s="458">
        <v>2114490</v>
      </c>
      <c r="E18" s="460">
        <v>1281734</v>
      </c>
      <c r="F18" s="458">
        <v>235137</v>
      </c>
      <c r="G18" s="306">
        <f t="shared" si="0"/>
        <v>3631361</v>
      </c>
      <c r="H18" s="286">
        <f t="shared" si="1"/>
        <v>1324362.9452736939</v>
      </c>
      <c r="I18" s="10">
        <f t="shared" si="2"/>
        <v>2306998.0547263063</v>
      </c>
      <c r="J18" s="303">
        <f t="shared" si="3"/>
        <v>-1683030.7262185193</v>
      </c>
      <c r="K18" s="462">
        <v>441834</v>
      </c>
      <c r="L18" s="10">
        <f t="shared" si="4"/>
        <v>165545.36815921174</v>
      </c>
      <c r="M18" s="14">
        <f t="shared" si="5"/>
        <v>276288.63184078829</v>
      </c>
      <c r="N18" s="2">
        <f t="shared" si="6"/>
        <v>-201561.61629190849</v>
      </c>
      <c r="O18" s="131">
        <f t="shared" si="7"/>
        <v>-1884592.3425104278</v>
      </c>
      <c r="P18" s="457">
        <f t="shared" si="8"/>
        <v>-11.384144198452828</v>
      </c>
      <c r="Q18" s="127"/>
    </row>
    <row r="19" spans="1:17" x14ac:dyDescent="0.25">
      <c r="A19" s="49">
        <f>+'A) Base RI'!A21</f>
        <v>5415</v>
      </c>
      <c r="B19" s="294" t="str">
        <f>+'A) Base RI'!B21</f>
        <v>Yvorne</v>
      </c>
      <c r="C19" s="306">
        <f>+'D) Ecrêtage'!C19</f>
        <v>33364.537599401883</v>
      </c>
      <c r="D19" s="458">
        <v>162145</v>
      </c>
      <c r="E19" s="460">
        <v>68141</v>
      </c>
      <c r="F19" s="458">
        <v>170657</v>
      </c>
      <c r="G19" s="306">
        <f t="shared" si="0"/>
        <v>400943</v>
      </c>
      <c r="H19" s="286">
        <f t="shared" si="1"/>
        <v>266916.30079521507</v>
      </c>
      <c r="I19" s="10">
        <f t="shared" si="2"/>
        <v>134026.69920478493</v>
      </c>
      <c r="J19" s="303">
        <f t="shared" si="3"/>
        <v>-97776.871737354435</v>
      </c>
      <c r="K19" s="462">
        <v>47148</v>
      </c>
      <c r="L19" s="10">
        <f t="shared" si="4"/>
        <v>33364.537599401883</v>
      </c>
      <c r="M19" s="14">
        <f t="shared" si="5"/>
        <v>13783.462400598117</v>
      </c>
      <c r="N19" s="2">
        <f t="shared" si="6"/>
        <v>-10055.487773974923</v>
      </c>
      <c r="O19" s="131">
        <f t="shared" si="7"/>
        <v>-107832.35951132936</v>
      </c>
      <c r="P19" s="457">
        <f t="shared" si="8"/>
        <v>-3.2319452709352832</v>
      </c>
      <c r="Q19" s="127"/>
    </row>
    <row r="20" spans="1:17" x14ac:dyDescent="0.25">
      <c r="A20" s="49">
        <f>+'A) Base RI'!A22</f>
        <v>5421</v>
      </c>
      <c r="B20" s="294" t="str">
        <f>+'A) Base RI'!B22</f>
        <v>Apples</v>
      </c>
      <c r="C20" s="306">
        <f>+'D) Ecrêtage'!C20</f>
        <v>66975.284470984901</v>
      </c>
      <c r="D20" s="458">
        <v>398424</v>
      </c>
      <c r="E20" s="460">
        <v>125217</v>
      </c>
      <c r="F20" s="458">
        <v>180466</v>
      </c>
      <c r="G20" s="306">
        <f t="shared" si="0"/>
        <v>704107</v>
      </c>
      <c r="H20" s="286">
        <f t="shared" si="1"/>
        <v>535802.27576787921</v>
      </c>
      <c r="I20" s="10">
        <f t="shared" si="2"/>
        <v>168304.72423212079</v>
      </c>
      <c r="J20" s="303">
        <f t="shared" si="3"/>
        <v>-122783.81495384444</v>
      </c>
      <c r="K20" s="462">
        <v>119227</v>
      </c>
      <c r="L20" s="10">
        <f t="shared" si="4"/>
        <v>66975.284470984901</v>
      </c>
      <c r="M20" s="14">
        <f t="shared" si="5"/>
        <v>52251.715529015099</v>
      </c>
      <c r="N20" s="2">
        <f t="shared" si="6"/>
        <v>-38119.339785656986</v>
      </c>
      <c r="O20" s="131">
        <f t="shared" si="7"/>
        <v>-160903.15473950142</v>
      </c>
      <c r="P20" s="457">
        <f t="shared" si="8"/>
        <v>-2.4024258502284979</v>
      </c>
      <c r="Q20" s="127"/>
    </row>
    <row r="21" spans="1:17" x14ac:dyDescent="0.25">
      <c r="A21" s="49">
        <f>+'A) Base RI'!A23</f>
        <v>5422</v>
      </c>
      <c r="B21" s="294" t="str">
        <f>+'A) Base RI'!B23</f>
        <v>Aubonne</v>
      </c>
      <c r="C21" s="306">
        <f>+'D) Ecrêtage'!C21</f>
        <v>225566.61726643931</v>
      </c>
      <c r="D21" s="458">
        <v>1019306</v>
      </c>
      <c r="E21" s="460">
        <v>132283</v>
      </c>
      <c r="F21" s="458">
        <v>361621</v>
      </c>
      <c r="G21" s="306">
        <f t="shared" si="0"/>
        <v>1513210</v>
      </c>
      <c r="H21" s="286">
        <f t="shared" si="1"/>
        <v>1804532.9381315145</v>
      </c>
      <c r="I21" s="10">
        <f t="shared" si="2"/>
        <v>0</v>
      </c>
      <c r="J21" s="303">
        <f t="shared" si="3"/>
        <v>0</v>
      </c>
      <c r="K21" s="462">
        <v>126812</v>
      </c>
      <c r="L21" s="10">
        <f t="shared" si="4"/>
        <v>225566.61726643931</v>
      </c>
      <c r="M21" s="14">
        <f t="shared" si="5"/>
        <v>0</v>
      </c>
      <c r="N21" s="2">
        <f t="shared" si="6"/>
        <v>0</v>
      </c>
      <c r="O21" s="131">
        <f t="shared" si="7"/>
        <v>0</v>
      </c>
      <c r="P21" s="457">
        <f t="shared" si="8"/>
        <v>0</v>
      </c>
      <c r="Q21" s="127"/>
    </row>
    <row r="22" spans="1:17" x14ac:dyDescent="0.25">
      <c r="A22" s="49">
        <f>+'A) Base RI'!A24</f>
        <v>5423</v>
      </c>
      <c r="B22" s="294" t="str">
        <f>+'A) Base RI'!B24</f>
        <v>Ballens</v>
      </c>
      <c r="C22" s="306">
        <f>+'D) Ecrêtage'!C22</f>
        <v>13546.834391748147</v>
      </c>
      <c r="D22" s="458">
        <v>110757</v>
      </c>
      <c r="E22" s="460">
        <v>45922</v>
      </c>
      <c r="F22" s="458">
        <v>67385</v>
      </c>
      <c r="G22" s="306">
        <f t="shared" si="0"/>
        <v>224064</v>
      </c>
      <c r="H22" s="286">
        <f t="shared" si="1"/>
        <v>108374.67513398518</v>
      </c>
      <c r="I22" s="10">
        <f t="shared" si="2"/>
        <v>115689.32486601482</v>
      </c>
      <c r="J22" s="303">
        <f t="shared" si="3"/>
        <v>-84399.155884021166</v>
      </c>
      <c r="K22" s="462">
        <v>30958</v>
      </c>
      <c r="L22" s="10">
        <f t="shared" si="4"/>
        <v>13546.834391748147</v>
      </c>
      <c r="M22" s="14">
        <f t="shared" si="5"/>
        <v>17411.165608251853</v>
      </c>
      <c r="N22" s="2">
        <f t="shared" si="6"/>
        <v>-12702.016214505862</v>
      </c>
      <c r="O22" s="131">
        <f t="shared" si="7"/>
        <v>-97101.172098527022</v>
      </c>
      <c r="P22" s="457">
        <f t="shared" si="8"/>
        <v>-7.1678127369501734</v>
      </c>
      <c r="Q22" s="127"/>
    </row>
    <row r="23" spans="1:17" x14ac:dyDescent="0.25">
      <c r="A23" s="49">
        <f>+'A) Base RI'!A25</f>
        <v>5424</v>
      </c>
      <c r="B23" s="294" t="str">
        <f>+'A) Base RI'!B25</f>
        <v>Berolle</v>
      </c>
      <c r="C23" s="306">
        <f>+'D) Ecrêtage'!C23</f>
        <v>9307.5930888942275</v>
      </c>
      <c r="D23" s="458">
        <v>54402</v>
      </c>
      <c r="E23" s="460">
        <v>10686</v>
      </c>
      <c r="F23" s="458">
        <v>35508</v>
      </c>
      <c r="G23" s="306">
        <f t="shared" si="0"/>
        <v>100596</v>
      </c>
      <c r="H23" s="286">
        <f t="shared" si="1"/>
        <v>74460.74471115382</v>
      </c>
      <c r="I23" s="10">
        <f t="shared" si="2"/>
        <v>26135.25528884618</v>
      </c>
      <c r="J23" s="303">
        <f t="shared" si="3"/>
        <v>-19066.525694973578</v>
      </c>
      <c r="K23" s="462">
        <v>34485</v>
      </c>
      <c r="L23" s="10">
        <f t="shared" si="4"/>
        <v>9307.5930888942275</v>
      </c>
      <c r="M23" s="14">
        <f t="shared" si="5"/>
        <v>25177.406911105772</v>
      </c>
      <c r="N23" s="2">
        <f t="shared" si="6"/>
        <v>-18367.743896049644</v>
      </c>
      <c r="O23" s="131">
        <f t="shared" si="7"/>
        <v>-37434.269591023221</v>
      </c>
      <c r="P23" s="457">
        <f t="shared" si="8"/>
        <v>-4.0219065480730567</v>
      </c>
      <c r="Q23" s="127"/>
    </row>
    <row r="24" spans="1:17" x14ac:dyDescent="0.25">
      <c r="A24" s="49">
        <f>+'A) Base RI'!A26</f>
        <v>5425</v>
      </c>
      <c r="B24" s="294" t="str">
        <f>+'A) Base RI'!B26</f>
        <v>Bière</v>
      </c>
      <c r="C24" s="306">
        <f>+'D) Ecrêtage'!C24</f>
        <v>38506.775780608448</v>
      </c>
      <c r="D24" s="458">
        <v>544829</v>
      </c>
      <c r="E24" s="460">
        <v>134299</v>
      </c>
      <c r="F24" s="458">
        <v>197824</v>
      </c>
      <c r="G24" s="306">
        <f t="shared" si="0"/>
        <v>876952</v>
      </c>
      <c r="H24" s="286">
        <f t="shared" si="1"/>
        <v>308054.20624486759</v>
      </c>
      <c r="I24" s="10">
        <f t="shared" si="2"/>
        <v>568897.79375513247</v>
      </c>
      <c r="J24" s="303">
        <f t="shared" si="3"/>
        <v>-415029.5944143763</v>
      </c>
      <c r="K24" s="462">
        <v>86540</v>
      </c>
      <c r="L24" s="10">
        <f t="shared" si="4"/>
        <v>38506.775780608448</v>
      </c>
      <c r="M24" s="14">
        <f t="shared" si="5"/>
        <v>48033.224219391552</v>
      </c>
      <c r="N24" s="2">
        <f t="shared" si="6"/>
        <v>-35041.812053096968</v>
      </c>
      <c r="O24" s="131">
        <f t="shared" si="7"/>
        <v>-450071.40646747325</v>
      </c>
      <c r="P24" s="457">
        <f t="shared" si="8"/>
        <v>-11.688109361109476</v>
      </c>
      <c r="Q24" s="127"/>
    </row>
    <row r="25" spans="1:17" x14ac:dyDescent="0.25">
      <c r="A25" s="49">
        <f>+'A) Base RI'!A27</f>
        <v>5426</v>
      </c>
      <c r="B25" s="294" t="str">
        <f>+'A) Base RI'!B27</f>
        <v>Bougy-Villars</v>
      </c>
      <c r="C25" s="306">
        <f>+'D) Ecrêtage'!C25</f>
        <v>50656.587213056948</v>
      </c>
      <c r="D25" s="458">
        <v>158137</v>
      </c>
      <c r="E25" s="460">
        <v>18474</v>
      </c>
      <c r="F25" s="458">
        <v>49890</v>
      </c>
      <c r="G25" s="306">
        <f t="shared" si="0"/>
        <v>226501</v>
      </c>
      <c r="H25" s="286">
        <f t="shared" si="1"/>
        <v>405252.69770445558</v>
      </c>
      <c r="I25" s="10">
        <f t="shared" si="2"/>
        <v>0</v>
      </c>
      <c r="J25" s="303">
        <f t="shared" si="3"/>
        <v>0</v>
      </c>
      <c r="K25" s="462">
        <v>9037</v>
      </c>
      <c r="L25" s="10">
        <f t="shared" si="4"/>
        <v>50656.587213056948</v>
      </c>
      <c r="M25" s="14">
        <f t="shared" si="5"/>
        <v>0</v>
      </c>
      <c r="N25" s="2">
        <f t="shared" si="6"/>
        <v>0</v>
      </c>
      <c r="O25" s="131">
        <f t="shared" si="7"/>
        <v>0</v>
      </c>
      <c r="P25" s="457">
        <f t="shared" si="8"/>
        <v>0</v>
      </c>
      <c r="Q25" s="127"/>
    </row>
    <row r="26" spans="1:17" x14ac:dyDescent="0.25">
      <c r="A26" s="49">
        <f>+'A) Base RI'!A28</f>
        <v>5427</v>
      </c>
      <c r="B26" s="294" t="str">
        <f>+'A) Base RI'!B28</f>
        <v>Féchy</v>
      </c>
      <c r="C26" s="306">
        <f>+'D) Ecrêtage'!C26</f>
        <v>72785.387066428128</v>
      </c>
      <c r="D26" s="458">
        <v>167654</v>
      </c>
      <c r="E26" s="460">
        <v>36217</v>
      </c>
      <c r="F26" s="458">
        <v>100921</v>
      </c>
      <c r="G26" s="306">
        <f t="shared" si="0"/>
        <v>304792</v>
      </c>
      <c r="H26" s="286">
        <f t="shared" si="1"/>
        <v>582283.09653142502</v>
      </c>
      <c r="I26" s="10">
        <f t="shared" si="2"/>
        <v>0</v>
      </c>
      <c r="J26" s="303">
        <f t="shared" si="3"/>
        <v>0</v>
      </c>
      <c r="K26" s="462">
        <v>28007</v>
      </c>
      <c r="L26" s="10">
        <f t="shared" si="4"/>
        <v>72785.387066428128</v>
      </c>
      <c r="M26" s="14">
        <f t="shared" si="5"/>
        <v>0</v>
      </c>
      <c r="N26" s="2">
        <f t="shared" si="6"/>
        <v>0</v>
      </c>
      <c r="O26" s="131">
        <f t="shared" si="7"/>
        <v>0</v>
      </c>
      <c r="P26" s="457">
        <f t="shared" si="8"/>
        <v>0</v>
      </c>
      <c r="Q26" s="127"/>
    </row>
    <row r="27" spans="1:17" x14ac:dyDescent="0.25">
      <c r="A27" s="49">
        <f>+'A) Base RI'!A29</f>
        <v>5428</v>
      </c>
      <c r="B27" s="294" t="str">
        <f>+'A) Base RI'!B29</f>
        <v>Gimel</v>
      </c>
      <c r="C27" s="306">
        <f>+'D) Ecrêtage'!C27</f>
        <v>58910.135180018216</v>
      </c>
      <c r="D27" s="458">
        <v>469112</v>
      </c>
      <c r="E27" s="460">
        <v>95880</v>
      </c>
      <c r="F27" s="458">
        <v>249796</v>
      </c>
      <c r="G27" s="306">
        <f t="shared" si="0"/>
        <v>814788</v>
      </c>
      <c r="H27" s="286">
        <f t="shared" si="1"/>
        <v>471281.08144014573</v>
      </c>
      <c r="I27" s="10">
        <f t="shared" si="2"/>
        <v>343506.91855985427</v>
      </c>
      <c r="J27" s="303">
        <f t="shared" si="3"/>
        <v>-250599.56050698308</v>
      </c>
      <c r="K27" s="462">
        <v>56539</v>
      </c>
      <c r="L27" s="10">
        <f t="shared" si="4"/>
        <v>58910.135180018216</v>
      </c>
      <c r="M27" s="14">
        <f t="shared" si="5"/>
        <v>0</v>
      </c>
      <c r="N27" s="2">
        <f t="shared" si="6"/>
        <v>0</v>
      </c>
      <c r="O27" s="131">
        <f t="shared" si="7"/>
        <v>-250599.56050698308</v>
      </c>
      <c r="P27" s="457">
        <f t="shared" si="8"/>
        <v>-4.2539294765017646</v>
      </c>
      <c r="Q27" s="127"/>
    </row>
    <row r="28" spans="1:17" x14ac:dyDescent="0.25">
      <c r="A28" s="49">
        <f>+'A) Base RI'!A30</f>
        <v>5429</v>
      </c>
      <c r="B28" s="294" t="str">
        <f>+'A) Base RI'!B30</f>
        <v>Longirod</v>
      </c>
      <c r="C28" s="306">
        <f>+'D) Ecrêtage'!C28</f>
        <v>13766.784256066006</v>
      </c>
      <c r="D28" s="458">
        <v>222558</v>
      </c>
      <c r="E28" s="460">
        <v>19100</v>
      </c>
      <c r="F28" s="458">
        <v>45734</v>
      </c>
      <c r="G28" s="306">
        <f t="shared" si="0"/>
        <v>287392</v>
      </c>
      <c r="H28" s="286">
        <f t="shared" si="1"/>
        <v>110134.27404852805</v>
      </c>
      <c r="I28" s="10">
        <f t="shared" si="2"/>
        <v>177257.72595147195</v>
      </c>
      <c r="J28" s="303">
        <f t="shared" si="3"/>
        <v>-129315.32327249486</v>
      </c>
      <c r="K28" s="462">
        <v>20732</v>
      </c>
      <c r="L28" s="10">
        <f t="shared" si="4"/>
        <v>13766.784256066006</v>
      </c>
      <c r="M28" s="14">
        <f t="shared" si="5"/>
        <v>6965.2157439339935</v>
      </c>
      <c r="N28" s="2">
        <f t="shared" si="6"/>
        <v>-5081.3532710900472</v>
      </c>
      <c r="O28" s="131">
        <f t="shared" si="7"/>
        <v>-134396.67654358491</v>
      </c>
      <c r="P28" s="457">
        <f t="shared" si="8"/>
        <v>-9.7623870646746145</v>
      </c>
      <c r="Q28" s="127"/>
    </row>
    <row r="29" spans="1:17" x14ac:dyDescent="0.25">
      <c r="A29" s="49">
        <f>+'A) Base RI'!A31</f>
        <v>5430</v>
      </c>
      <c r="B29" s="294" t="str">
        <f>+'A) Base RI'!B31</f>
        <v>Marchissy</v>
      </c>
      <c r="C29" s="306">
        <f>+'D) Ecrêtage'!C29</f>
        <v>13685.946067131534</v>
      </c>
      <c r="D29" s="458">
        <v>154013</v>
      </c>
      <c r="E29" s="460">
        <v>18842</v>
      </c>
      <c r="F29" s="458">
        <v>48639</v>
      </c>
      <c r="G29" s="306">
        <f t="shared" si="0"/>
        <v>221494</v>
      </c>
      <c r="H29" s="286">
        <f t="shared" si="1"/>
        <v>109487.56853705227</v>
      </c>
      <c r="I29" s="10">
        <f t="shared" si="2"/>
        <v>112006.43146294773</v>
      </c>
      <c r="J29" s="303">
        <f t="shared" si="3"/>
        <v>-81712.364386277681</v>
      </c>
      <c r="K29" s="462">
        <v>-7338</v>
      </c>
      <c r="L29" s="10">
        <f t="shared" si="4"/>
        <v>13685.946067131534</v>
      </c>
      <c r="M29" s="14">
        <f t="shared" si="5"/>
        <v>0</v>
      </c>
      <c r="N29" s="2">
        <f t="shared" si="6"/>
        <v>0</v>
      </c>
      <c r="O29" s="131">
        <f t="shared" si="7"/>
        <v>-81712.364386277681</v>
      </c>
      <c r="P29" s="457">
        <f t="shared" si="8"/>
        <v>-5.9705309362952903</v>
      </c>
      <c r="Q29" s="127"/>
    </row>
    <row r="30" spans="1:17" x14ac:dyDescent="0.25">
      <c r="A30" s="49">
        <f>+'A) Base RI'!A32</f>
        <v>5431</v>
      </c>
      <c r="B30" s="294" t="str">
        <f>+'A) Base RI'!B32</f>
        <v>Mollens</v>
      </c>
      <c r="C30" s="306">
        <f>+'D) Ecrêtage'!C30</f>
        <v>8631.0396252458468</v>
      </c>
      <c r="D30" s="458">
        <v>25905</v>
      </c>
      <c r="E30" s="460">
        <v>10491</v>
      </c>
      <c r="F30" s="458">
        <v>30405</v>
      </c>
      <c r="G30" s="306">
        <f t="shared" si="0"/>
        <v>66801</v>
      </c>
      <c r="H30" s="286">
        <f t="shared" si="1"/>
        <v>69048.317001966774</v>
      </c>
      <c r="I30" s="10">
        <f t="shared" si="2"/>
        <v>0</v>
      </c>
      <c r="J30" s="303">
        <f t="shared" si="3"/>
        <v>0</v>
      </c>
      <c r="K30" s="462">
        <v>84404</v>
      </c>
      <c r="L30" s="10">
        <f t="shared" si="4"/>
        <v>8631.0396252458468</v>
      </c>
      <c r="M30" s="14">
        <f t="shared" si="5"/>
        <v>75772.960374754155</v>
      </c>
      <c r="N30" s="2">
        <f t="shared" si="6"/>
        <v>-55278.859150307799</v>
      </c>
      <c r="O30" s="131">
        <f t="shared" si="7"/>
        <v>-55278.859150307799</v>
      </c>
      <c r="P30" s="457">
        <f t="shared" si="8"/>
        <v>-6.4046582509732408</v>
      </c>
      <c r="Q30" s="127"/>
    </row>
    <row r="31" spans="1:17" x14ac:dyDescent="0.25">
      <c r="A31" s="49">
        <f>+'A) Base RI'!A33</f>
        <v>5432</v>
      </c>
      <c r="B31" s="294" t="str">
        <f>+'A) Base RI'!B33</f>
        <v>Montherod</v>
      </c>
      <c r="C31" s="306">
        <f>+'D) Ecrêtage'!C31</f>
        <v>18119.784125682436</v>
      </c>
      <c r="D31" s="458">
        <v>94830</v>
      </c>
      <c r="E31" s="460">
        <v>21609</v>
      </c>
      <c r="F31" s="458">
        <v>62543</v>
      </c>
      <c r="G31" s="306">
        <f t="shared" si="0"/>
        <v>178982</v>
      </c>
      <c r="H31" s="286">
        <f t="shared" si="1"/>
        <v>144958.27300545949</v>
      </c>
      <c r="I31" s="10">
        <f t="shared" si="2"/>
        <v>34023.726994540513</v>
      </c>
      <c r="J31" s="303">
        <f t="shared" si="3"/>
        <v>-24821.424463262334</v>
      </c>
      <c r="K31" s="462">
        <v>4200</v>
      </c>
      <c r="L31" s="10">
        <f t="shared" si="4"/>
        <v>18119.784125682436</v>
      </c>
      <c r="M31" s="14">
        <f t="shared" si="5"/>
        <v>0</v>
      </c>
      <c r="N31" s="2">
        <f t="shared" si="6"/>
        <v>0</v>
      </c>
      <c r="O31" s="131">
        <f t="shared" si="7"/>
        <v>-24821.424463262334</v>
      </c>
      <c r="P31" s="457">
        <f t="shared" si="8"/>
        <v>-1.369852107017169</v>
      </c>
      <c r="Q31" s="127"/>
    </row>
    <row r="32" spans="1:17" x14ac:dyDescent="0.25">
      <c r="A32" s="49">
        <f>+'A) Base RI'!A34</f>
        <v>5434</v>
      </c>
      <c r="B32" s="294" t="str">
        <f>+'A) Base RI'!B34</f>
        <v>Saint-George</v>
      </c>
      <c r="C32" s="306">
        <f>+'D) Ecrêtage'!C32</f>
        <v>36673.941124861783</v>
      </c>
      <c r="D32" s="458">
        <v>170288</v>
      </c>
      <c r="E32" s="460">
        <v>43272</v>
      </c>
      <c r="F32" s="458">
        <v>122062</v>
      </c>
      <c r="G32" s="306">
        <f t="shared" si="0"/>
        <v>335622</v>
      </c>
      <c r="H32" s="286">
        <f t="shared" si="1"/>
        <v>293391.52899889427</v>
      </c>
      <c r="I32" s="10">
        <f t="shared" si="2"/>
        <v>42230.471001105732</v>
      </c>
      <c r="J32" s="303">
        <f t="shared" si="3"/>
        <v>-30808.51331102366</v>
      </c>
      <c r="K32" s="462">
        <v>141083</v>
      </c>
      <c r="L32" s="10">
        <f t="shared" si="4"/>
        <v>36673.941124861783</v>
      </c>
      <c r="M32" s="14">
        <f t="shared" si="5"/>
        <v>104409.05887513822</v>
      </c>
      <c r="N32" s="2">
        <f t="shared" si="6"/>
        <v>-76169.831969478284</v>
      </c>
      <c r="O32" s="131">
        <f t="shared" si="7"/>
        <v>-106978.34528050195</v>
      </c>
      <c r="P32" s="457">
        <f t="shared" si="8"/>
        <v>-2.9170125162244922</v>
      </c>
      <c r="Q32" s="127"/>
    </row>
    <row r="33" spans="1:17" x14ac:dyDescent="0.25">
      <c r="A33" s="49">
        <f>+'A) Base RI'!A35</f>
        <v>5435</v>
      </c>
      <c r="B33" s="294" t="str">
        <f>+'A) Base RI'!B35</f>
        <v>Saint-Livres</v>
      </c>
      <c r="C33" s="306">
        <f>+'D) Ecrêtage'!C33</f>
        <v>24134.317552979472</v>
      </c>
      <c r="D33" s="458">
        <v>107517</v>
      </c>
      <c r="E33" s="460">
        <v>44666</v>
      </c>
      <c r="F33" s="458">
        <v>79667</v>
      </c>
      <c r="G33" s="306">
        <f t="shared" si="0"/>
        <v>231850</v>
      </c>
      <c r="H33" s="286">
        <f t="shared" si="1"/>
        <v>193074.54042383577</v>
      </c>
      <c r="I33" s="10">
        <f t="shared" si="2"/>
        <v>38775.459576164227</v>
      </c>
      <c r="J33" s="303">
        <f t="shared" si="3"/>
        <v>-28287.969188457228</v>
      </c>
      <c r="K33" s="462">
        <v>-7790</v>
      </c>
      <c r="L33" s="10">
        <f t="shared" si="4"/>
        <v>24134.317552979472</v>
      </c>
      <c r="M33" s="14">
        <f t="shared" si="5"/>
        <v>0</v>
      </c>
      <c r="N33" s="2">
        <f t="shared" si="6"/>
        <v>0</v>
      </c>
      <c r="O33" s="131">
        <f t="shared" si="7"/>
        <v>-28287.969188457228</v>
      </c>
      <c r="P33" s="457">
        <f t="shared" si="8"/>
        <v>-1.1721056179177096</v>
      </c>
      <c r="Q33" s="127"/>
    </row>
    <row r="34" spans="1:17" x14ac:dyDescent="0.25">
      <c r="A34" s="49">
        <f>+'A) Base RI'!A36</f>
        <v>5436</v>
      </c>
      <c r="B34" s="294" t="str">
        <f>+'A) Base RI'!B36</f>
        <v>Saint-Oyens</v>
      </c>
      <c r="C34" s="306">
        <f>+'D) Ecrêtage'!C34</f>
        <v>15081.317332619743</v>
      </c>
      <c r="D34" s="458">
        <v>220209</v>
      </c>
      <c r="E34" s="460">
        <v>9874</v>
      </c>
      <c r="F34" s="458">
        <v>30242</v>
      </c>
      <c r="G34" s="306">
        <f t="shared" si="0"/>
        <v>260325</v>
      </c>
      <c r="H34" s="286">
        <f t="shared" si="1"/>
        <v>120650.53866095794</v>
      </c>
      <c r="I34" s="10">
        <f t="shared" si="2"/>
        <v>139674.46133904206</v>
      </c>
      <c r="J34" s="303">
        <f t="shared" si="3"/>
        <v>-101897.0994015498</v>
      </c>
      <c r="K34" s="462">
        <v>57329</v>
      </c>
      <c r="L34" s="10">
        <f t="shared" si="4"/>
        <v>15081.317332619743</v>
      </c>
      <c r="M34" s="14">
        <f t="shared" si="5"/>
        <v>42247.682667380257</v>
      </c>
      <c r="N34" s="2">
        <f t="shared" si="6"/>
        <v>-30821.06978593273</v>
      </c>
      <c r="O34" s="131">
        <f t="shared" si="7"/>
        <v>-132718.16918748253</v>
      </c>
      <c r="P34" s="457">
        <f t="shared" si="8"/>
        <v>-8.8001708511512593</v>
      </c>
      <c r="Q34" s="127"/>
    </row>
    <row r="35" spans="1:17" x14ac:dyDescent="0.25">
      <c r="A35" s="49">
        <f>+'A) Base RI'!A37</f>
        <v>5437</v>
      </c>
      <c r="B35" s="294" t="str">
        <f>+'A) Base RI'!B37</f>
        <v>Saubraz</v>
      </c>
      <c r="C35" s="306">
        <f>+'D) Ecrêtage'!C35</f>
        <v>11367.539443741156</v>
      </c>
      <c r="D35" s="458">
        <v>67220</v>
      </c>
      <c r="E35" s="460">
        <v>11330</v>
      </c>
      <c r="F35" s="458">
        <v>62983</v>
      </c>
      <c r="G35" s="306">
        <f t="shared" si="0"/>
        <v>141533</v>
      </c>
      <c r="H35" s="286">
        <f t="shared" si="1"/>
        <v>90940.315549929248</v>
      </c>
      <c r="I35" s="10">
        <f t="shared" si="2"/>
        <v>50592.684450070752</v>
      </c>
      <c r="J35" s="303">
        <f t="shared" si="3"/>
        <v>-36909.022214779776</v>
      </c>
      <c r="K35" s="462">
        <v>18453</v>
      </c>
      <c r="L35" s="10">
        <f t="shared" si="4"/>
        <v>11367.539443741156</v>
      </c>
      <c r="M35" s="14">
        <f t="shared" si="5"/>
        <v>7085.460556258844</v>
      </c>
      <c r="N35" s="2">
        <f t="shared" si="6"/>
        <v>-5169.0758044474114</v>
      </c>
      <c r="O35" s="131">
        <f t="shared" si="7"/>
        <v>-42078.098019227189</v>
      </c>
      <c r="P35" s="457">
        <f t="shared" si="8"/>
        <v>-3.701601232832751</v>
      </c>
      <c r="Q35" s="127"/>
    </row>
    <row r="36" spans="1:17" x14ac:dyDescent="0.25">
      <c r="A36" s="49">
        <f>+'A) Base RI'!A38</f>
        <v>5451</v>
      </c>
      <c r="B36" s="294" t="str">
        <f>+'A) Base RI'!B38</f>
        <v>Avenches</v>
      </c>
      <c r="C36" s="306">
        <f>+'D) Ecrêtage'!C36</f>
        <v>129470.05703979287</v>
      </c>
      <c r="D36" s="458">
        <v>1771919</v>
      </c>
      <c r="E36" s="460">
        <v>609505</v>
      </c>
      <c r="F36" s="458">
        <v>540978</v>
      </c>
      <c r="G36" s="306">
        <f t="shared" si="0"/>
        <v>2922402</v>
      </c>
      <c r="H36" s="286">
        <f t="shared" si="1"/>
        <v>1035760.4563183429</v>
      </c>
      <c r="I36" s="10">
        <f t="shared" si="2"/>
        <v>1886641.5436816569</v>
      </c>
      <c r="J36" s="303">
        <f t="shared" si="3"/>
        <v>-1376366.8681347328</v>
      </c>
      <c r="K36" s="462">
        <v>163520</v>
      </c>
      <c r="L36" s="10">
        <f t="shared" si="4"/>
        <v>129470.05703979287</v>
      </c>
      <c r="M36" s="14">
        <f t="shared" si="5"/>
        <v>34049.942960207132</v>
      </c>
      <c r="N36" s="2">
        <f t="shared" si="6"/>
        <v>-24840.549869824346</v>
      </c>
      <c r="O36" s="131">
        <f t="shared" si="7"/>
        <v>-1401207.4180045573</v>
      </c>
      <c r="P36" s="457">
        <f t="shared" si="8"/>
        <v>-10.822636909582062</v>
      </c>
      <c r="Q36" s="127"/>
    </row>
    <row r="37" spans="1:17" x14ac:dyDescent="0.25">
      <c r="A37" s="49">
        <f>+'A) Base RI'!A39</f>
        <v>5456</v>
      </c>
      <c r="B37" s="294" t="str">
        <f>+'A) Base RI'!B39</f>
        <v>Cudrefin</v>
      </c>
      <c r="C37" s="306">
        <f>+'D) Ecrêtage'!C37</f>
        <v>57775.409957876167</v>
      </c>
      <c r="D37" s="458">
        <v>571562</v>
      </c>
      <c r="E37" s="460">
        <v>79378</v>
      </c>
      <c r="F37" s="458">
        <v>222668</v>
      </c>
      <c r="G37" s="306">
        <f t="shared" si="0"/>
        <v>873608</v>
      </c>
      <c r="H37" s="286">
        <f t="shared" si="1"/>
        <v>462203.27966300934</v>
      </c>
      <c r="I37" s="10">
        <f t="shared" si="2"/>
        <v>411404.72033699066</v>
      </c>
      <c r="J37" s="303">
        <f t="shared" si="3"/>
        <v>-300133.23323787405</v>
      </c>
      <c r="K37" s="462">
        <v>22947</v>
      </c>
      <c r="L37" s="10">
        <f t="shared" si="4"/>
        <v>57775.409957876167</v>
      </c>
      <c r="M37" s="14">
        <f t="shared" si="5"/>
        <v>0</v>
      </c>
      <c r="N37" s="2">
        <f t="shared" si="6"/>
        <v>0</v>
      </c>
      <c r="O37" s="131">
        <f t="shared" si="7"/>
        <v>-300133.23323787405</v>
      </c>
      <c r="P37" s="457">
        <f t="shared" si="8"/>
        <v>-5.1948265439691399</v>
      </c>
      <c r="Q37" s="127"/>
    </row>
    <row r="38" spans="1:17" x14ac:dyDescent="0.25">
      <c r="A38" s="49">
        <f>+'A) Base RI'!A40</f>
        <v>5458</v>
      </c>
      <c r="B38" s="294" t="str">
        <f>+'A) Base RI'!B40</f>
        <v>Faoug</v>
      </c>
      <c r="C38" s="306">
        <f>+'D) Ecrêtage'!C38</f>
        <v>30027.038437033407</v>
      </c>
      <c r="D38" s="458">
        <v>208091</v>
      </c>
      <c r="E38" s="460">
        <v>74350</v>
      </c>
      <c r="F38" s="458">
        <v>90652</v>
      </c>
      <c r="G38" s="306">
        <f t="shared" si="0"/>
        <v>373093</v>
      </c>
      <c r="H38" s="286">
        <f t="shared" si="1"/>
        <v>240216.30749626725</v>
      </c>
      <c r="I38" s="10">
        <f t="shared" si="2"/>
        <v>132876.69250373275</v>
      </c>
      <c r="J38" s="303">
        <f t="shared" si="3"/>
        <v>-96937.904140800631</v>
      </c>
      <c r="K38" s="462">
        <v>27320</v>
      </c>
      <c r="L38" s="10">
        <f t="shared" si="4"/>
        <v>30027.038437033407</v>
      </c>
      <c r="M38" s="14">
        <f t="shared" si="5"/>
        <v>0</v>
      </c>
      <c r="N38" s="2">
        <f t="shared" si="6"/>
        <v>0</v>
      </c>
      <c r="O38" s="131">
        <f t="shared" si="7"/>
        <v>-96937.904140800631</v>
      </c>
      <c r="P38" s="457">
        <f t="shared" si="8"/>
        <v>-3.2283538166469223</v>
      </c>
      <c r="Q38" s="127"/>
    </row>
    <row r="39" spans="1:17" x14ac:dyDescent="0.25">
      <c r="A39" s="49">
        <f>+'A) Base RI'!A41</f>
        <v>5464</v>
      </c>
      <c r="B39" s="294" t="str">
        <f>+'A) Base RI'!B41</f>
        <v>Vully-les-Lacs</v>
      </c>
      <c r="C39" s="306">
        <f>+'D) Ecrêtage'!C39</f>
        <v>103697.32714902573</v>
      </c>
      <c r="D39" s="458">
        <v>1138357</v>
      </c>
      <c r="E39" s="460">
        <v>153862</v>
      </c>
      <c r="F39" s="458">
        <v>370117</v>
      </c>
      <c r="G39" s="306">
        <f t="shared" si="0"/>
        <v>1662336</v>
      </c>
      <c r="H39" s="286">
        <f t="shared" si="1"/>
        <v>829578.61719220586</v>
      </c>
      <c r="I39" s="10">
        <f t="shared" si="2"/>
        <v>832757.38280779414</v>
      </c>
      <c r="J39" s="303">
        <f t="shared" si="3"/>
        <v>-607523.81645033974</v>
      </c>
      <c r="K39" s="462">
        <v>50510</v>
      </c>
      <c r="L39" s="10">
        <f t="shared" si="4"/>
        <v>103697.32714902573</v>
      </c>
      <c r="M39" s="14">
        <f t="shared" si="5"/>
        <v>0</v>
      </c>
      <c r="N39" s="2">
        <f t="shared" si="6"/>
        <v>0</v>
      </c>
      <c r="O39" s="131">
        <f t="shared" si="7"/>
        <v>-607523.81645033974</v>
      </c>
      <c r="P39" s="457">
        <f t="shared" si="8"/>
        <v>-5.8586256092912965</v>
      </c>
      <c r="Q39" s="127"/>
    </row>
    <row r="40" spans="1:17" x14ac:dyDescent="0.25">
      <c r="A40" s="49">
        <f>+'A) Base RI'!A42</f>
        <v>5471</v>
      </c>
      <c r="B40" s="294" t="str">
        <f>+'A) Base RI'!B42</f>
        <v>Bettens</v>
      </c>
      <c r="C40" s="306">
        <f>+'D) Ecrêtage'!C40</f>
        <v>18256.794083184803</v>
      </c>
      <c r="D40" s="458">
        <v>128605</v>
      </c>
      <c r="E40" s="460">
        <v>17575</v>
      </c>
      <c r="F40" s="458">
        <v>52619</v>
      </c>
      <c r="G40" s="306">
        <f t="shared" si="0"/>
        <v>198799</v>
      </c>
      <c r="H40" s="286">
        <f t="shared" si="1"/>
        <v>146054.35266547842</v>
      </c>
      <c r="I40" s="10">
        <f t="shared" si="2"/>
        <v>52744.647334521578</v>
      </c>
      <c r="J40" s="303">
        <f t="shared" si="3"/>
        <v>-38478.949700757759</v>
      </c>
      <c r="K40" s="462">
        <v>510</v>
      </c>
      <c r="L40" s="10">
        <f t="shared" si="4"/>
        <v>18256.794083184803</v>
      </c>
      <c r="M40" s="14">
        <f t="shared" si="5"/>
        <v>0</v>
      </c>
      <c r="N40" s="2">
        <f t="shared" si="6"/>
        <v>0</v>
      </c>
      <c r="O40" s="131">
        <f t="shared" si="7"/>
        <v>-38478.949700757759</v>
      </c>
      <c r="P40" s="457">
        <f t="shared" si="8"/>
        <v>-2.1076509668364132</v>
      </c>
      <c r="Q40" s="127"/>
    </row>
    <row r="41" spans="1:17" x14ac:dyDescent="0.25">
      <c r="A41" s="49">
        <f>+'A) Base RI'!A43</f>
        <v>5472</v>
      </c>
      <c r="B41" s="294" t="str">
        <f>+'A) Base RI'!B43</f>
        <v>Bournens</v>
      </c>
      <c r="C41" s="306">
        <f>+'D) Ecrêtage'!C41</f>
        <v>16446.057551579073</v>
      </c>
      <c r="D41" s="458">
        <v>50923</v>
      </c>
      <c r="E41" s="460">
        <v>12830</v>
      </c>
      <c r="F41" s="458">
        <v>22069</v>
      </c>
      <c r="G41" s="306">
        <f t="shared" si="0"/>
        <v>85822</v>
      </c>
      <c r="H41" s="286">
        <f t="shared" si="1"/>
        <v>131568.46041263259</v>
      </c>
      <c r="I41" s="10">
        <f t="shared" si="2"/>
        <v>0</v>
      </c>
      <c r="J41" s="303">
        <f t="shared" si="3"/>
        <v>0</v>
      </c>
      <c r="K41" s="462">
        <v>50392</v>
      </c>
      <c r="L41" s="10">
        <f t="shared" si="4"/>
        <v>16446.057551579073</v>
      </c>
      <c r="M41" s="14">
        <f t="shared" si="5"/>
        <v>33945.94244842093</v>
      </c>
      <c r="N41" s="2">
        <f t="shared" si="6"/>
        <v>-24764.678086352298</v>
      </c>
      <c r="O41" s="131">
        <f t="shared" si="7"/>
        <v>-24764.678086352298</v>
      </c>
      <c r="P41" s="457">
        <f t="shared" si="8"/>
        <v>-1.5058124422028738</v>
      </c>
      <c r="Q41" s="127"/>
    </row>
    <row r="42" spans="1:17" x14ac:dyDescent="0.25">
      <c r="A42" s="49">
        <f>+'A) Base RI'!A44</f>
        <v>5473</v>
      </c>
      <c r="B42" s="294" t="str">
        <f>+'A) Base RI'!B44</f>
        <v>Boussens</v>
      </c>
      <c r="C42" s="306">
        <f>+'D) Ecrêtage'!C42</f>
        <v>35765.75205607291</v>
      </c>
      <c r="D42" s="458">
        <v>60157</v>
      </c>
      <c r="E42" s="460">
        <v>45103</v>
      </c>
      <c r="F42" s="458">
        <v>43120</v>
      </c>
      <c r="G42" s="306">
        <f t="shared" si="0"/>
        <v>148380</v>
      </c>
      <c r="H42" s="286">
        <f t="shared" si="1"/>
        <v>286126.01644858328</v>
      </c>
      <c r="I42" s="10">
        <f t="shared" si="2"/>
        <v>0</v>
      </c>
      <c r="J42" s="303">
        <f t="shared" si="3"/>
        <v>0</v>
      </c>
      <c r="K42" s="462">
        <v>14742</v>
      </c>
      <c r="L42" s="10">
        <f t="shared" si="4"/>
        <v>35765.75205607291</v>
      </c>
      <c r="M42" s="14">
        <f t="shared" si="5"/>
        <v>0</v>
      </c>
      <c r="N42" s="2">
        <f t="shared" si="6"/>
        <v>0</v>
      </c>
      <c r="O42" s="131">
        <f t="shared" si="7"/>
        <v>0</v>
      </c>
      <c r="P42" s="457">
        <f t="shared" si="8"/>
        <v>0</v>
      </c>
      <c r="Q42" s="127"/>
    </row>
    <row r="43" spans="1:17" x14ac:dyDescent="0.25">
      <c r="A43" s="49">
        <f>+'A) Base RI'!A45</f>
        <v>5474</v>
      </c>
      <c r="B43" s="294" t="str">
        <f>+'A) Base RI'!B45</f>
        <v>La Chaux (Cossonay)</v>
      </c>
      <c r="C43" s="306">
        <f>+'D) Ecrêtage'!C43</f>
        <v>12972.284673481885</v>
      </c>
      <c r="D43" s="458">
        <v>180234</v>
      </c>
      <c r="E43" s="460">
        <v>14639</v>
      </c>
      <c r="F43" s="458">
        <v>37243</v>
      </c>
      <c r="G43" s="306">
        <f t="shared" si="0"/>
        <v>232116</v>
      </c>
      <c r="H43" s="286">
        <f t="shared" si="1"/>
        <v>103778.27738785508</v>
      </c>
      <c r="I43" s="10">
        <f t="shared" si="2"/>
        <v>128337.72261214492</v>
      </c>
      <c r="J43" s="303">
        <f t="shared" si="3"/>
        <v>-93626.576774367568</v>
      </c>
      <c r="K43" s="462">
        <v>23487</v>
      </c>
      <c r="L43" s="10">
        <f t="shared" si="4"/>
        <v>12972.284673481885</v>
      </c>
      <c r="M43" s="14">
        <f t="shared" si="5"/>
        <v>10514.715326518115</v>
      </c>
      <c r="N43" s="2">
        <f t="shared" si="6"/>
        <v>-7670.8296028755149</v>
      </c>
      <c r="O43" s="131">
        <f t="shared" si="7"/>
        <v>-101297.40637724308</v>
      </c>
      <c r="P43" s="457">
        <f t="shared" si="8"/>
        <v>-7.8087560462126282</v>
      </c>
      <c r="Q43" s="127"/>
    </row>
    <row r="44" spans="1:17" x14ac:dyDescent="0.25">
      <c r="A44" s="49">
        <f>+'A) Base RI'!A46</f>
        <v>5475</v>
      </c>
      <c r="B44" s="294" t="str">
        <f>+'A) Base RI'!B46</f>
        <v>Chavannes-le-Veyron</v>
      </c>
      <c r="C44" s="306">
        <f>+'D) Ecrêtage'!C44</f>
        <v>4902.1559506290205</v>
      </c>
      <c r="D44" s="458">
        <v>74452</v>
      </c>
      <c r="E44" s="460">
        <v>4915</v>
      </c>
      <c r="F44" s="458">
        <v>27615</v>
      </c>
      <c r="G44" s="306">
        <f t="shared" si="0"/>
        <v>106982</v>
      </c>
      <c r="H44" s="286">
        <f t="shared" si="1"/>
        <v>39217.247605032164</v>
      </c>
      <c r="I44" s="10">
        <f t="shared" si="2"/>
        <v>67764.752394967829</v>
      </c>
      <c r="J44" s="303">
        <f t="shared" si="3"/>
        <v>-49436.608843977257</v>
      </c>
      <c r="K44" s="462">
        <v>4032</v>
      </c>
      <c r="L44" s="10">
        <f t="shared" si="4"/>
        <v>4902.1559506290205</v>
      </c>
      <c r="M44" s="14">
        <f t="shared" si="5"/>
        <v>0</v>
      </c>
      <c r="N44" s="2">
        <f t="shared" si="6"/>
        <v>0</v>
      </c>
      <c r="O44" s="131">
        <f t="shared" si="7"/>
        <v>-49436.608843977257</v>
      </c>
      <c r="P44" s="457">
        <f t="shared" si="8"/>
        <v>-10.084666693974473</v>
      </c>
      <c r="Q44" s="127"/>
    </row>
    <row r="45" spans="1:17" x14ac:dyDescent="0.25">
      <c r="A45" s="49">
        <f>+'A) Base RI'!A47</f>
        <v>5476</v>
      </c>
      <c r="B45" s="294" t="str">
        <f>+'A) Base RI'!B47</f>
        <v>Chevilly</v>
      </c>
      <c r="C45" s="306">
        <f>+'D) Ecrêtage'!C45</f>
        <v>10687.030816086675</v>
      </c>
      <c r="D45" s="458">
        <v>19172</v>
      </c>
      <c r="E45" s="460">
        <v>35012</v>
      </c>
      <c r="F45" s="458">
        <v>68502</v>
      </c>
      <c r="G45" s="306">
        <f t="shared" si="0"/>
        <v>122686</v>
      </c>
      <c r="H45" s="286">
        <f t="shared" si="1"/>
        <v>85496.246528693402</v>
      </c>
      <c r="I45" s="10">
        <f t="shared" si="2"/>
        <v>37189.753471306598</v>
      </c>
      <c r="J45" s="303">
        <f t="shared" si="3"/>
        <v>-27131.144590464974</v>
      </c>
      <c r="K45" s="462">
        <v>-98</v>
      </c>
      <c r="L45" s="10">
        <f t="shared" si="4"/>
        <v>10687.030816086675</v>
      </c>
      <c r="M45" s="14">
        <f t="shared" si="5"/>
        <v>0</v>
      </c>
      <c r="N45" s="2">
        <f t="shared" si="6"/>
        <v>0</v>
      </c>
      <c r="O45" s="131">
        <f t="shared" si="7"/>
        <v>-27131.144590464974</v>
      </c>
      <c r="P45" s="457">
        <f t="shared" si="8"/>
        <v>-2.5386980778258601</v>
      </c>
      <c r="Q45" s="127"/>
    </row>
    <row r="46" spans="1:17" x14ac:dyDescent="0.25">
      <c r="A46" s="49">
        <f>+'A) Base RI'!A48</f>
        <v>5477</v>
      </c>
      <c r="B46" s="294" t="str">
        <f>+'A) Base RI'!B48</f>
        <v>Cossonay</v>
      </c>
      <c r="C46" s="306">
        <f>+'D) Ecrêtage'!C46</f>
        <v>129587.92698014184</v>
      </c>
      <c r="D46" s="458">
        <v>1234939</v>
      </c>
      <c r="E46" s="460">
        <v>331821</v>
      </c>
      <c r="F46" s="458">
        <v>314861</v>
      </c>
      <c r="G46" s="306">
        <f t="shared" si="0"/>
        <v>1881621</v>
      </c>
      <c r="H46" s="286">
        <f t="shared" si="1"/>
        <v>1036703.4158411347</v>
      </c>
      <c r="I46" s="10">
        <f t="shared" si="2"/>
        <v>844917.58415886527</v>
      </c>
      <c r="J46" s="303">
        <f t="shared" si="3"/>
        <v>-616395.08206277853</v>
      </c>
      <c r="K46" s="462">
        <v>7922</v>
      </c>
      <c r="L46" s="10">
        <f t="shared" si="4"/>
        <v>129587.92698014184</v>
      </c>
      <c r="M46" s="14">
        <f t="shared" si="5"/>
        <v>0</v>
      </c>
      <c r="N46" s="2">
        <f t="shared" si="6"/>
        <v>0</v>
      </c>
      <c r="O46" s="131">
        <f t="shared" si="7"/>
        <v>-616395.08206277853</v>
      </c>
      <c r="P46" s="457">
        <f t="shared" si="8"/>
        <v>-4.7565779963224148</v>
      </c>
      <c r="Q46" s="127"/>
    </row>
    <row r="47" spans="1:17" x14ac:dyDescent="0.25">
      <c r="A47" s="49">
        <f>+'A) Base RI'!A49</f>
        <v>5478</v>
      </c>
      <c r="B47" s="294" t="str">
        <f>+'A) Base RI'!B49</f>
        <v>Cottens</v>
      </c>
      <c r="C47" s="306">
        <f>+'D) Ecrêtage'!C47</f>
        <v>14208.71013401275</v>
      </c>
      <c r="D47" s="458">
        <v>75645</v>
      </c>
      <c r="E47" s="460">
        <v>16626</v>
      </c>
      <c r="F47" s="458">
        <v>67345</v>
      </c>
      <c r="G47" s="306">
        <f t="shared" si="0"/>
        <v>159616</v>
      </c>
      <c r="H47" s="286">
        <f t="shared" si="1"/>
        <v>113669.681072102</v>
      </c>
      <c r="I47" s="10">
        <f t="shared" si="2"/>
        <v>45946.318927897999</v>
      </c>
      <c r="J47" s="303">
        <f t="shared" si="3"/>
        <v>-33519.346214386773</v>
      </c>
      <c r="K47" s="462">
        <v>3665</v>
      </c>
      <c r="L47" s="10">
        <f t="shared" si="4"/>
        <v>14208.71013401275</v>
      </c>
      <c r="M47" s="14">
        <f t="shared" si="5"/>
        <v>0</v>
      </c>
      <c r="N47" s="2">
        <f t="shared" si="6"/>
        <v>0</v>
      </c>
      <c r="O47" s="131">
        <f t="shared" si="7"/>
        <v>-33519.346214386773</v>
      </c>
      <c r="P47" s="457">
        <f t="shared" si="8"/>
        <v>-2.3590703095665457</v>
      </c>
      <c r="Q47" s="127"/>
    </row>
    <row r="48" spans="1:17" x14ac:dyDescent="0.25">
      <c r="A48" s="49">
        <f>+'A) Base RI'!A50</f>
        <v>5479</v>
      </c>
      <c r="B48" s="294" t="str">
        <f>+'A) Base RI'!B50</f>
        <v>Cuarnens</v>
      </c>
      <c r="C48" s="306">
        <f>+'D) Ecrêtage'!C48</f>
        <v>16421.228790353522</v>
      </c>
      <c r="D48" s="458">
        <v>108776</v>
      </c>
      <c r="E48" s="460">
        <v>16696</v>
      </c>
      <c r="F48" s="458">
        <v>103861</v>
      </c>
      <c r="G48" s="306">
        <f t="shared" si="0"/>
        <v>229333</v>
      </c>
      <c r="H48" s="286">
        <f t="shared" si="1"/>
        <v>131369.83032282817</v>
      </c>
      <c r="I48" s="10">
        <f t="shared" si="2"/>
        <v>97963.169677171827</v>
      </c>
      <c r="J48" s="303">
        <f t="shared" si="3"/>
        <v>-71467.344442125541</v>
      </c>
      <c r="K48" s="462">
        <v>95436</v>
      </c>
      <c r="L48" s="10">
        <f t="shared" si="4"/>
        <v>16421.228790353522</v>
      </c>
      <c r="M48" s="14">
        <f t="shared" si="5"/>
        <v>79014.771209646482</v>
      </c>
      <c r="N48" s="2">
        <f t="shared" si="6"/>
        <v>-57643.866451694179</v>
      </c>
      <c r="O48" s="131">
        <f t="shared" si="7"/>
        <v>-129111.21089381972</v>
      </c>
      <c r="P48" s="457">
        <f t="shared" si="8"/>
        <v>-7.8624573436102869</v>
      </c>
      <c r="Q48" s="127"/>
    </row>
    <row r="49" spans="1:17" x14ac:dyDescent="0.25">
      <c r="A49" s="49">
        <f>+'A) Base RI'!A51</f>
        <v>5480</v>
      </c>
      <c r="B49" s="294" t="str">
        <f>+'A) Base RI'!B51</f>
        <v>Daillens</v>
      </c>
      <c r="C49" s="306">
        <f>+'D) Ecrêtage'!C49</f>
        <v>41263.325123050025</v>
      </c>
      <c r="D49" s="458">
        <v>351618</v>
      </c>
      <c r="E49" s="460">
        <v>78339</v>
      </c>
      <c r="F49" s="458">
        <v>89342</v>
      </c>
      <c r="G49" s="306">
        <f t="shared" si="0"/>
        <v>519299</v>
      </c>
      <c r="H49" s="286">
        <f t="shared" si="1"/>
        <v>330106.6009844002</v>
      </c>
      <c r="I49" s="10">
        <f t="shared" si="2"/>
        <v>189192.3990155998</v>
      </c>
      <c r="J49" s="303">
        <f t="shared" si="3"/>
        <v>-138022.05860465043</v>
      </c>
      <c r="K49" s="462">
        <v>27620</v>
      </c>
      <c r="L49" s="10">
        <f t="shared" si="4"/>
        <v>41263.325123050025</v>
      </c>
      <c r="M49" s="14">
        <f t="shared" si="5"/>
        <v>0</v>
      </c>
      <c r="N49" s="2">
        <f t="shared" si="6"/>
        <v>0</v>
      </c>
      <c r="O49" s="131">
        <f t="shared" si="7"/>
        <v>-138022.05860465043</v>
      </c>
      <c r="P49" s="457">
        <f t="shared" si="8"/>
        <v>-3.3449087826310491</v>
      </c>
      <c r="Q49" s="127"/>
    </row>
    <row r="50" spans="1:17" x14ac:dyDescent="0.25">
      <c r="A50" s="49">
        <f>+'A) Base RI'!A52</f>
        <v>5481</v>
      </c>
      <c r="B50" s="294" t="str">
        <f>+'A) Base RI'!B52</f>
        <v>Dizy</v>
      </c>
      <c r="C50" s="306">
        <f>+'D) Ecrêtage'!C50</f>
        <v>10892.048755040036</v>
      </c>
      <c r="D50" s="458">
        <v>47773</v>
      </c>
      <c r="E50" s="460">
        <v>0</v>
      </c>
      <c r="F50" s="458">
        <v>19005</v>
      </c>
      <c r="G50" s="306">
        <f t="shared" si="0"/>
        <v>66778</v>
      </c>
      <c r="H50" s="286">
        <f t="shared" si="1"/>
        <v>87136.390040320286</v>
      </c>
      <c r="I50" s="10">
        <f t="shared" si="2"/>
        <v>0</v>
      </c>
      <c r="J50" s="303">
        <f t="shared" si="3"/>
        <v>0</v>
      </c>
      <c r="K50" s="462">
        <v>7296</v>
      </c>
      <c r="L50" s="10">
        <f t="shared" si="4"/>
        <v>10892.048755040036</v>
      </c>
      <c r="M50" s="14">
        <f t="shared" si="5"/>
        <v>0</v>
      </c>
      <c r="N50" s="2">
        <f t="shared" si="6"/>
        <v>0</v>
      </c>
      <c r="O50" s="131">
        <f t="shared" si="7"/>
        <v>0</v>
      </c>
      <c r="P50" s="457">
        <f t="shared" si="8"/>
        <v>0</v>
      </c>
      <c r="Q50" s="127"/>
    </row>
    <row r="51" spans="1:17" x14ac:dyDescent="0.25">
      <c r="A51" s="49">
        <f>+'A) Base RI'!A53</f>
        <v>5482</v>
      </c>
      <c r="B51" s="294" t="str">
        <f>+'A) Base RI'!B53</f>
        <v>Eclépens</v>
      </c>
      <c r="C51" s="306">
        <f>+'D) Ecrêtage'!C51</f>
        <v>46793.329731079626</v>
      </c>
      <c r="D51" s="458">
        <v>186881</v>
      </c>
      <c r="E51" s="460">
        <v>98347</v>
      </c>
      <c r="F51" s="458">
        <v>239993</v>
      </c>
      <c r="G51" s="306">
        <f t="shared" si="0"/>
        <v>525221</v>
      </c>
      <c r="H51" s="286">
        <f t="shared" si="1"/>
        <v>374346.63784863701</v>
      </c>
      <c r="I51" s="10">
        <f t="shared" si="2"/>
        <v>150874.36215136299</v>
      </c>
      <c r="J51" s="303">
        <f t="shared" si="3"/>
        <v>-110067.79428320289</v>
      </c>
      <c r="K51" s="462">
        <v>63736</v>
      </c>
      <c r="L51" s="10">
        <f t="shared" si="4"/>
        <v>46793.329731079626</v>
      </c>
      <c r="M51" s="14">
        <f t="shared" si="5"/>
        <v>16942.670268920374</v>
      </c>
      <c r="N51" s="2">
        <f t="shared" si="6"/>
        <v>-12360.233502739078</v>
      </c>
      <c r="O51" s="131">
        <f t="shared" si="7"/>
        <v>-122428.02778594197</v>
      </c>
      <c r="P51" s="457">
        <f t="shared" si="8"/>
        <v>-2.6163564014258767</v>
      </c>
      <c r="Q51" s="127"/>
    </row>
    <row r="52" spans="1:17" x14ac:dyDescent="0.25">
      <c r="A52" s="49">
        <f>+'A) Base RI'!A54</f>
        <v>5483</v>
      </c>
      <c r="B52" s="294" t="str">
        <f>+'A) Base RI'!B54</f>
        <v>Ferreyres</v>
      </c>
      <c r="C52" s="306">
        <f>+'D) Ecrêtage'!C52</f>
        <v>8879.9356567959585</v>
      </c>
      <c r="D52" s="458">
        <v>26430</v>
      </c>
      <c r="E52" s="460">
        <v>11223</v>
      </c>
      <c r="F52" s="458">
        <v>75506</v>
      </c>
      <c r="G52" s="306">
        <f t="shared" si="0"/>
        <v>113159</v>
      </c>
      <c r="H52" s="286">
        <f t="shared" si="1"/>
        <v>71039.485254367668</v>
      </c>
      <c r="I52" s="10">
        <f t="shared" si="2"/>
        <v>42119.514745632332</v>
      </c>
      <c r="J52" s="303">
        <f t="shared" si="3"/>
        <v>-30727.567084456496</v>
      </c>
      <c r="K52" s="462">
        <v>4491</v>
      </c>
      <c r="L52" s="10">
        <f t="shared" si="4"/>
        <v>8879.9356567959585</v>
      </c>
      <c r="M52" s="14">
        <f t="shared" si="5"/>
        <v>0</v>
      </c>
      <c r="N52" s="2">
        <f t="shared" si="6"/>
        <v>0</v>
      </c>
      <c r="O52" s="131">
        <f t="shared" si="7"/>
        <v>-30727.567084456496</v>
      </c>
      <c r="P52" s="457">
        <f t="shared" si="8"/>
        <v>-3.4603366817123491</v>
      </c>
      <c r="Q52" s="127"/>
    </row>
    <row r="53" spans="1:17" x14ac:dyDescent="0.25">
      <c r="A53" s="49">
        <f>+'A) Base RI'!A55</f>
        <v>5484</v>
      </c>
      <c r="B53" s="294" t="str">
        <f>+'A) Base RI'!B55</f>
        <v>Gollion</v>
      </c>
      <c r="C53" s="306">
        <f>+'D) Ecrêtage'!C53</f>
        <v>31794.268758715236</v>
      </c>
      <c r="D53" s="458">
        <v>218797</v>
      </c>
      <c r="E53" s="460">
        <v>64823</v>
      </c>
      <c r="F53" s="458">
        <v>69909</v>
      </c>
      <c r="G53" s="306">
        <f t="shared" si="0"/>
        <v>353529</v>
      </c>
      <c r="H53" s="286">
        <f t="shared" si="1"/>
        <v>254354.15006972189</v>
      </c>
      <c r="I53" s="10">
        <f t="shared" si="2"/>
        <v>99174.849930278113</v>
      </c>
      <c r="J53" s="303">
        <f t="shared" si="3"/>
        <v>-72351.304917147296</v>
      </c>
      <c r="K53" s="462">
        <v>40281</v>
      </c>
      <c r="L53" s="10">
        <f t="shared" si="4"/>
        <v>31794.268758715236</v>
      </c>
      <c r="M53" s="14">
        <f t="shared" si="5"/>
        <v>8486.7312412847641</v>
      </c>
      <c r="N53" s="2">
        <f t="shared" si="6"/>
        <v>-6191.3487161285993</v>
      </c>
      <c r="O53" s="131">
        <f t="shared" si="7"/>
        <v>-78542.653633275899</v>
      </c>
      <c r="P53" s="457">
        <f t="shared" si="8"/>
        <v>-2.4703399920699955</v>
      </c>
      <c r="Q53" s="127"/>
    </row>
    <row r="54" spans="1:17" x14ac:dyDescent="0.25">
      <c r="A54" s="49">
        <f>+'A) Base RI'!A56</f>
        <v>5485</v>
      </c>
      <c r="B54" s="294" t="str">
        <f>+'A) Base RI'!B56</f>
        <v>Grancy</v>
      </c>
      <c r="C54" s="306">
        <f>+'D) Ecrêtage'!C54</f>
        <v>18552.92429477413</v>
      </c>
      <c r="D54" s="458">
        <v>668138</v>
      </c>
      <c r="E54" s="460">
        <v>14047</v>
      </c>
      <c r="F54" s="458">
        <v>31531</v>
      </c>
      <c r="G54" s="306">
        <f t="shared" si="0"/>
        <v>713716</v>
      </c>
      <c r="H54" s="286">
        <f t="shared" si="1"/>
        <v>148423.39435819304</v>
      </c>
      <c r="I54" s="10">
        <f t="shared" si="2"/>
        <v>565292.60564180696</v>
      </c>
      <c r="J54" s="303">
        <f t="shared" si="3"/>
        <v>-412399.49147341633</v>
      </c>
      <c r="K54" s="462">
        <v>104155</v>
      </c>
      <c r="L54" s="10">
        <f t="shared" si="4"/>
        <v>18552.92429477413</v>
      </c>
      <c r="M54" s="14">
        <f t="shared" si="5"/>
        <v>85602.07570522587</v>
      </c>
      <c r="N54" s="2">
        <f t="shared" si="6"/>
        <v>-62449.52107559146</v>
      </c>
      <c r="O54" s="131">
        <f t="shared" si="7"/>
        <v>-474849.01254900778</v>
      </c>
      <c r="P54" s="457">
        <f t="shared" si="8"/>
        <v>-25.594294732435266</v>
      </c>
      <c r="Q54" s="127"/>
    </row>
    <row r="55" spans="1:17" x14ac:dyDescent="0.25">
      <c r="A55" s="49">
        <f>+'A) Base RI'!A57</f>
        <v>5486</v>
      </c>
      <c r="B55" s="294" t="str">
        <f>+'A) Base RI'!B57</f>
        <v>L'Isle</v>
      </c>
      <c r="C55" s="306">
        <f>+'D) Ecrêtage'!C55</f>
        <v>30546.431240274927</v>
      </c>
      <c r="D55" s="458">
        <v>344760</v>
      </c>
      <c r="E55" s="460">
        <v>71402</v>
      </c>
      <c r="F55" s="458">
        <v>167498</v>
      </c>
      <c r="G55" s="306">
        <f t="shared" si="0"/>
        <v>583660</v>
      </c>
      <c r="H55" s="286">
        <f t="shared" si="1"/>
        <v>244371.44992219942</v>
      </c>
      <c r="I55" s="10">
        <f t="shared" si="2"/>
        <v>339288.55007780058</v>
      </c>
      <c r="J55" s="303">
        <f t="shared" si="3"/>
        <v>-247522.12238116274</v>
      </c>
      <c r="K55" s="462">
        <v>151510</v>
      </c>
      <c r="L55" s="10">
        <f t="shared" si="4"/>
        <v>30546.431240274927</v>
      </c>
      <c r="M55" s="14">
        <f t="shared" si="5"/>
        <v>120963.56875972508</v>
      </c>
      <c r="N55" s="2">
        <f t="shared" si="6"/>
        <v>-88246.889744264001</v>
      </c>
      <c r="O55" s="131">
        <f t="shared" si="7"/>
        <v>-335769.01212542673</v>
      </c>
      <c r="P55" s="457">
        <f t="shared" si="8"/>
        <v>-10.992086423592463</v>
      </c>
      <c r="Q55" s="127"/>
    </row>
    <row r="56" spans="1:17" x14ac:dyDescent="0.25">
      <c r="A56" s="49">
        <f>+'A) Base RI'!A58</f>
        <v>5487</v>
      </c>
      <c r="B56" s="294" t="str">
        <f>+'A) Base RI'!B58</f>
        <v>Lussery-Villars</v>
      </c>
      <c r="C56" s="306">
        <f>+'D) Ecrêtage'!C56</f>
        <v>14615.228333906985</v>
      </c>
      <c r="D56" s="458">
        <v>73331</v>
      </c>
      <c r="E56" s="460">
        <v>35591</v>
      </c>
      <c r="F56" s="458">
        <v>32737</v>
      </c>
      <c r="G56" s="306">
        <f t="shared" si="0"/>
        <v>141659</v>
      </c>
      <c r="H56" s="286">
        <f t="shared" si="1"/>
        <v>116921.82667125588</v>
      </c>
      <c r="I56" s="10">
        <f t="shared" si="2"/>
        <v>24737.173328744117</v>
      </c>
      <c r="J56" s="303">
        <f t="shared" si="3"/>
        <v>-18046.579062681019</v>
      </c>
      <c r="K56" s="462">
        <v>4378</v>
      </c>
      <c r="L56" s="10">
        <f t="shared" si="4"/>
        <v>14615.228333906985</v>
      </c>
      <c r="M56" s="14">
        <f t="shared" si="5"/>
        <v>0</v>
      </c>
      <c r="N56" s="2">
        <f t="shared" si="6"/>
        <v>0</v>
      </c>
      <c r="O56" s="131">
        <f t="shared" si="7"/>
        <v>-18046.579062681019</v>
      </c>
      <c r="P56" s="457">
        <f t="shared" si="8"/>
        <v>-1.2347791392908574</v>
      </c>
      <c r="Q56" s="127"/>
    </row>
    <row r="57" spans="1:17" x14ac:dyDescent="0.25">
      <c r="A57" s="49">
        <f>+'A) Base RI'!A59</f>
        <v>5488</v>
      </c>
      <c r="B57" s="294" t="str">
        <f>+'A) Base RI'!B59</f>
        <v>Mauraz</v>
      </c>
      <c r="C57" s="306">
        <f>+'D) Ecrêtage'!C57</f>
        <v>1907.69174397183</v>
      </c>
      <c r="D57" s="458">
        <v>1167</v>
      </c>
      <c r="E57" s="460">
        <v>0</v>
      </c>
      <c r="F57" s="458">
        <v>10840</v>
      </c>
      <c r="G57" s="306">
        <f t="shared" si="0"/>
        <v>12007</v>
      </c>
      <c r="H57" s="286">
        <f t="shared" si="1"/>
        <v>15261.53395177464</v>
      </c>
      <c r="I57" s="10">
        <f t="shared" si="2"/>
        <v>0</v>
      </c>
      <c r="J57" s="303">
        <f t="shared" si="3"/>
        <v>0</v>
      </c>
      <c r="K57" s="462">
        <v>0</v>
      </c>
      <c r="L57" s="10">
        <f t="shared" si="4"/>
        <v>1907.69174397183</v>
      </c>
      <c r="M57" s="14">
        <f t="shared" si="5"/>
        <v>0</v>
      </c>
      <c r="N57" s="2">
        <f t="shared" si="6"/>
        <v>0</v>
      </c>
      <c r="O57" s="131">
        <f t="shared" si="7"/>
        <v>0</v>
      </c>
      <c r="P57" s="457">
        <f t="shared" si="8"/>
        <v>0</v>
      </c>
      <c r="Q57" s="127"/>
    </row>
    <row r="58" spans="1:17" x14ac:dyDescent="0.25">
      <c r="A58" s="49">
        <f>+'A) Base RI'!A60</f>
        <v>5489</v>
      </c>
      <c r="B58" s="294" t="str">
        <f>+'A) Base RI'!B60</f>
        <v>Mex</v>
      </c>
      <c r="C58" s="306">
        <f>+'D) Ecrêtage'!C58</f>
        <v>59050.274266098029</v>
      </c>
      <c r="D58" s="458">
        <v>217728</v>
      </c>
      <c r="E58" s="460">
        <v>21985</v>
      </c>
      <c r="F58" s="458">
        <v>47729</v>
      </c>
      <c r="G58" s="306">
        <f t="shared" si="0"/>
        <v>287442</v>
      </c>
      <c r="H58" s="286">
        <f t="shared" si="1"/>
        <v>472402.19412878423</v>
      </c>
      <c r="I58" s="10">
        <f t="shared" si="2"/>
        <v>0</v>
      </c>
      <c r="J58" s="303">
        <f t="shared" si="3"/>
        <v>0</v>
      </c>
      <c r="K58" s="462">
        <v>26742</v>
      </c>
      <c r="L58" s="10">
        <f t="shared" si="4"/>
        <v>59050.274266098029</v>
      </c>
      <c r="M58" s="14">
        <f t="shared" si="5"/>
        <v>0</v>
      </c>
      <c r="N58" s="2">
        <f t="shared" si="6"/>
        <v>0</v>
      </c>
      <c r="O58" s="131">
        <f t="shared" si="7"/>
        <v>0</v>
      </c>
      <c r="P58" s="457">
        <f t="shared" si="8"/>
        <v>0</v>
      </c>
      <c r="Q58" s="127"/>
    </row>
    <row r="59" spans="1:17" x14ac:dyDescent="0.25">
      <c r="A59" s="49">
        <f>+'A) Base RI'!A61</f>
        <v>5490</v>
      </c>
      <c r="B59" s="294" t="str">
        <f>+'A) Base RI'!B61</f>
        <v>Moiry</v>
      </c>
      <c r="C59" s="306">
        <f>+'D) Ecrêtage'!C59</f>
        <v>9338.2754275452353</v>
      </c>
      <c r="D59" s="458">
        <v>59859</v>
      </c>
      <c r="E59" s="460">
        <v>11014</v>
      </c>
      <c r="F59" s="458">
        <v>66047</v>
      </c>
      <c r="G59" s="306">
        <f t="shared" si="0"/>
        <v>136920</v>
      </c>
      <c r="H59" s="286">
        <f t="shared" si="1"/>
        <v>74706.203420361882</v>
      </c>
      <c r="I59" s="10">
        <f t="shared" si="2"/>
        <v>62213.796579638118</v>
      </c>
      <c r="J59" s="303">
        <f t="shared" si="3"/>
        <v>-45387.004563669521</v>
      </c>
      <c r="K59" s="462">
        <v>-6288</v>
      </c>
      <c r="L59" s="10">
        <f t="shared" si="4"/>
        <v>9338.2754275452353</v>
      </c>
      <c r="M59" s="14">
        <f t="shared" si="5"/>
        <v>0</v>
      </c>
      <c r="N59" s="2">
        <f t="shared" si="6"/>
        <v>0</v>
      </c>
      <c r="O59" s="131">
        <f t="shared" si="7"/>
        <v>-45387.004563669521</v>
      </c>
      <c r="P59" s="457">
        <f t="shared" si="8"/>
        <v>-4.8603197577350175</v>
      </c>
      <c r="Q59" s="127"/>
    </row>
    <row r="60" spans="1:17" x14ac:dyDescent="0.25">
      <c r="A60" s="49">
        <f>+'A) Base RI'!A62</f>
        <v>5491</v>
      </c>
      <c r="B60" s="294" t="str">
        <f>+'A) Base RI'!B62</f>
        <v>Mont-la-Ville</v>
      </c>
      <c r="C60" s="306">
        <f>+'D) Ecrêtage'!C60</f>
        <v>12342.149373733142</v>
      </c>
      <c r="D60" s="458">
        <v>189049</v>
      </c>
      <c r="E60" s="460">
        <v>22057</v>
      </c>
      <c r="F60" s="458">
        <v>83189</v>
      </c>
      <c r="G60" s="306">
        <f t="shared" si="0"/>
        <v>294295</v>
      </c>
      <c r="H60" s="286">
        <f t="shared" si="1"/>
        <v>98737.194989865136</v>
      </c>
      <c r="I60" s="10">
        <f t="shared" si="2"/>
        <v>195557.80501013488</v>
      </c>
      <c r="J60" s="303">
        <f t="shared" si="3"/>
        <v>-142665.83099609663</v>
      </c>
      <c r="K60" s="462">
        <v>47148</v>
      </c>
      <c r="L60" s="10">
        <f t="shared" si="4"/>
        <v>12342.149373733142</v>
      </c>
      <c r="M60" s="14">
        <f t="shared" si="5"/>
        <v>34805.85062626686</v>
      </c>
      <c r="N60" s="2">
        <f t="shared" si="6"/>
        <v>-25392.009298043751</v>
      </c>
      <c r="O60" s="131">
        <f t="shared" si="7"/>
        <v>-168057.84029414039</v>
      </c>
      <c r="P60" s="457">
        <f t="shared" si="8"/>
        <v>-13.616578053398472</v>
      </c>
      <c r="Q60" s="127"/>
    </row>
    <row r="61" spans="1:17" x14ac:dyDescent="0.25">
      <c r="A61" s="49">
        <f>+'A) Base RI'!A63</f>
        <v>5492</v>
      </c>
      <c r="B61" s="294" t="str">
        <f>+'A) Base RI'!B63</f>
        <v>Montricher</v>
      </c>
      <c r="C61" s="306">
        <f>+'D) Ecrêtage'!C61</f>
        <v>235377.8890618468</v>
      </c>
      <c r="D61" s="458">
        <v>144180</v>
      </c>
      <c r="E61" s="460">
        <v>68734</v>
      </c>
      <c r="F61" s="458">
        <v>117603</v>
      </c>
      <c r="G61" s="306">
        <f t="shared" si="0"/>
        <v>330517</v>
      </c>
      <c r="H61" s="286">
        <f t="shared" si="1"/>
        <v>1883023.1124947744</v>
      </c>
      <c r="I61" s="10">
        <f t="shared" si="2"/>
        <v>0</v>
      </c>
      <c r="J61" s="303">
        <f t="shared" si="3"/>
        <v>0</v>
      </c>
      <c r="K61" s="462">
        <v>304760</v>
      </c>
      <c r="L61" s="10">
        <f t="shared" si="4"/>
        <v>235377.8890618468</v>
      </c>
      <c r="M61" s="14">
        <f t="shared" si="5"/>
        <v>69382.110938153201</v>
      </c>
      <c r="N61" s="2">
        <f t="shared" si="6"/>
        <v>-50616.524933596993</v>
      </c>
      <c r="O61" s="131">
        <f t="shared" si="7"/>
        <v>-50616.524933596993</v>
      </c>
      <c r="P61" s="457">
        <f t="shared" si="8"/>
        <v>-0.21504366929001234</v>
      </c>
      <c r="Q61" s="127"/>
    </row>
    <row r="62" spans="1:17" x14ac:dyDescent="0.25">
      <c r="A62" s="49">
        <f>+'A) Base RI'!A64</f>
        <v>5493</v>
      </c>
      <c r="B62" s="294" t="str">
        <f>+'A) Base RI'!B64</f>
        <v>Orny</v>
      </c>
      <c r="C62" s="306">
        <f>+'D) Ecrêtage'!C62</f>
        <v>10742.508207895562</v>
      </c>
      <c r="D62" s="458">
        <v>992023</v>
      </c>
      <c r="E62" s="460">
        <v>0</v>
      </c>
      <c r="F62" s="458">
        <v>78009</v>
      </c>
      <c r="G62" s="306">
        <f t="shared" si="0"/>
        <v>1070032</v>
      </c>
      <c r="H62" s="286">
        <f t="shared" si="1"/>
        <v>85940.065663164496</v>
      </c>
      <c r="I62" s="10">
        <f t="shared" si="2"/>
        <v>984091.93433683552</v>
      </c>
      <c r="J62" s="303">
        <f t="shared" si="3"/>
        <v>-717927.33397393522</v>
      </c>
      <c r="K62" s="462">
        <v>5216</v>
      </c>
      <c r="L62" s="10">
        <f t="shared" si="4"/>
        <v>10742.508207895562</v>
      </c>
      <c r="M62" s="14">
        <f t="shared" si="5"/>
        <v>0</v>
      </c>
      <c r="N62" s="2">
        <f t="shared" si="6"/>
        <v>0</v>
      </c>
      <c r="O62" s="131">
        <f t="shared" si="7"/>
        <v>-717927.33397393522</v>
      </c>
      <c r="P62" s="457">
        <f t="shared" si="8"/>
        <v>-66.830512956580364</v>
      </c>
      <c r="Q62" s="127"/>
    </row>
    <row r="63" spans="1:17" x14ac:dyDescent="0.25">
      <c r="A63" s="49">
        <f>+'A) Base RI'!A65</f>
        <v>5494</v>
      </c>
      <c r="B63" s="294" t="str">
        <f>+'A) Base RI'!B65</f>
        <v>Pampigny</v>
      </c>
      <c r="C63" s="306">
        <f>+'D) Ecrêtage'!C63</f>
        <v>37463.804333090258</v>
      </c>
      <c r="D63" s="458">
        <v>228864</v>
      </c>
      <c r="E63" s="460">
        <v>78354</v>
      </c>
      <c r="F63" s="458">
        <v>143704</v>
      </c>
      <c r="G63" s="306">
        <f t="shared" si="0"/>
        <v>450922</v>
      </c>
      <c r="H63" s="286">
        <f t="shared" si="1"/>
        <v>299710.43466472207</v>
      </c>
      <c r="I63" s="10">
        <f t="shared" si="2"/>
        <v>151211.56533527793</v>
      </c>
      <c r="J63" s="303">
        <f t="shared" si="3"/>
        <v>-110313.79506259016</v>
      </c>
      <c r="K63" s="462">
        <v>177038</v>
      </c>
      <c r="L63" s="10">
        <f t="shared" si="4"/>
        <v>37463.804333090258</v>
      </c>
      <c r="M63" s="14">
        <f t="shared" si="5"/>
        <v>139574.19566690974</v>
      </c>
      <c r="N63" s="2">
        <f t="shared" si="6"/>
        <v>-101823.95230606875</v>
      </c>
      <c r="O63" s="131">
        <f t="shared" si="7"/>
        <v>-212137.74736865889</v>
      </c>
      <c r="P63" s="457">
        <f t="shared" si="8"/>
        <v>-5.6624721152861195</v>
      </c>
      <c r="Q63" s="127"/>
    </row>
    <row r="64" spans="1:17" x14ac:dyDescent="0.25">
      <c r="A64" s="49">
        <f>+'A) Base RI'!A66</f>
        <v>5495</v>
      </c>
      <c r="B64" s="294" t="str">
        <f>+'A) Base RI'!B66</f>
        <v>Penthalaz</v>
      </c>
      <c r="C64" s="306">
        <f>+'D) Ecrêtage'!C64</f>
        <v>91501.360926624242</v>
      </c>
      <c r="D64" s="458">
        <v>800030</v>
      </c>
      <c r="E64" s="460">
        <v>425213</v>
      </c>
      <c r="F64" s="458">
        <v>269105</v>
      </c>
      <c r="G64" s="306">
        <f t="shared" si="0"/>
        <v>1494348</v>
      </c>
      <c r="H64" s="286">
        <f t="shared" si="1"/>
        <v>732010.88741299394</v>
      </c>
      <c r="I64" s="10">
        <f t="shared" si="2"/>
        <v>762337.11258700606</v>
      </c>
      <c r="J64" s="303">
        <f t="shared" si="3"/>
        <v>-556149.92027934443</v>
      </c>
      <c r="K64" s="462">
        <v>11352</v>
      </c>
      <c r="L64" s="10">
        <f t="shared" si="4"/>
        <v>91501.360926624242</v>
      </c>
      <c r="M64" s="14">
        <f t="shared" si="5"/>
        <v>0</v>
      </c>
      <c r="N64" s="2">
        <f t="shared" si="6"/>
        <v>0</v>
      </c>
      <c r="O64" s="131">
        <f t="shared" si="7"/>
        <v>-556149.92027934443</v>
      </c>
      <c r="P64" s="457">
        <f t="shared" si="8"/>
        <v>-6.0780508032588285</v>
      </c>
      <c r="Q64" s="127"/>
    </row>
    <row r="65" spans="1:17" x14ac:dyDescent="0.25">
      <c r="A65" s="49">
        <f>+'A) Base RI'!A67</f>
        <v>5496</v>
      </c>
      <c r="B65" s="294" t="str">
        <f>+'A) Base RI'!B67</f>
        <v>Penthaz</v>
      </c>
      <c r="C65" s="306">
        <f>+'D) Ecrêtage'!C65</f>
        <v>56734.953960585386</v>
      </c>
      <c r="D65" s="458">
        <v>508718</v>
      </c>
      <c r="E65" s="460">
        <v>134247</v>
      </c>
      <c r="F65" s="458">
        <v>150807</v>
      </c>
      <c r="G65" s="306">
        <f t="shared" si="0"/>
        <v>793772</v>
      </c>
      <c r="H65" s="286">
        <f t="shared" si="1"/>
        <v>453879.63168468309</v>
      </c>
      <c r="I65" s="10">
        <f t="shared" si="2"/>
        <v>339892.36831531691</v>
      </c>
      <c r="J65" s="303">
        <f t="shared" si="3"/>
        <v>-247962.62758432454</v>
      </c>
      <c r="K65" s="462">
        <v>14144</v>
      </c>
      <c r="L65" s="10">
        <f t="shared" si="4"/>
        <v>56734.953960585386</v>
      </c>
      <c r="M65" s="14">
        <f t="shared" si="5"/>
        <v>0</v>
      </c>
      <c r="N65" s="2">
        <f t="shared" si="6"/>
        <v>0</v>
      </c>
      <c r="O65" s="131">
        <f t="shared" si="7"/>
        <v>-247962.62758432454</v>
      </c>
      <c r="P65" s="457">
        <f t="shared" si="8"/>
        <v>-4.3705442637106549</v>
      </c>
      <c r="Q65" s="127"/>
    </row>
    <row r="66" spans="1:17" x14ac:dyDescent="0.25">
      <c r="A66" s="49">
        <f>+'A) Base RI'!A68</f>
        <v>5497</v>
      </c>
      <c r="B66" s="294" t="str">
        <f>+'A) Base RI'!B68</f>
        <v>Pompaples</v>
      </c>
      <c r="C66" s="306">
        <f>+'D) Ecrêtage'!C66</f>
        <v>22161.340037381338</v>
      </c>
      <c r="D66" s="458">
        <v>225631</v>
      </c>
      <c r="E66" s="460">
        <v>29766</v>
      </c>
      <c r="F66" s="458">
        <v>190752</v>
      </c>
      <c r="G66" s="306">
        <f t="shared" si="0"/>
        <v>446149</v>
      </c>
      <c r="H66" s="286">
        <f t="shared" si="1"/>
        <v>177290.72029905071</v>
      </c>
      <c r="I66" s="10">
        <f t="shared" si="2"/>
        <v>268858.27970094932</v>
      </c>
      <c r="J66" s="303">
        <f t="shared" si="3"/>
        <v>-196140.93076841932</v>
      </c>
      <c r="K66" s="462">
        <v>9424</v>
      </c>
      <c r="L66" s="10">
        <f t="shared" si="4"/>
        <v>22161.340037381338</v>
      </c>
      <c r="M66" s="14">
        <f t="shared" si="5"/>
        <v>0</v>
      </c>
      <c r="N66" s="2">
        <f t="shared" si="6"/>
        <v>0</v>
      </c>
      <c r="O66" s="131">
        <f t="shared" si="7"/>
        <v>-196140.93076841932</v>
      </c>
      <c r="P66" s="457">
        <f t="shared" si="8"/>
        <v>-8.8505898306497901</v>
      </c>
      <c r="Q66" s="127"/>
    </row>
    <row r="67" spans="1:17" x14ac:dyDescent="0.25">
      <c r="A67" s="49">
        <f>+'A) Base RI'!A69</f>
        <v>5498</v>
      </c>
      <c r="B67" s="294" t="str">
        <f>+'A) Base RI'!B69</f>
        <v>La Sarraz</v>
      </c>
      <c r="C67" s="306">
        <f>+'D) Ecrêtage'!C67</f>
        <v>77385.435956102505</v>
      </c>
      <c r="D67" s="458">
        <v>713167</v>
      </c>
      <c r="E67" s="460">
        <v>230623</v>
      </c>
      <c r="F67" s="458">
        <v>584605</v>
      </c>
      <c r="G67" s="306">
        <f t="shared" si="0"/>
        <v>1528395</v>
      </c>
      <c r="H67" s="286">
        <f t="shared" si="1"/>
        <v>619083.48764882004</v>
      </c>
      <c r="I67" s="10">
        <f t="shared" si="2"/>
        <v>909311.51235117996</v>
      </c>
      <c r="J67" s="303">
        <f t="shared" si="3"/>
        <v>-663372.56412330503</v>
      </c>
      <c r="K67" s="462">
        <v>30292</v>
      </c>
      <c r="L67" s="10">
        <f t="shared" si="4"/>
        <v>77385.435956102505</v>
      </c>
      <c r="M67" s="14">
        <f t="shared" si="5"/>
        <v>0</v>
      </c>
      <c r="N67" s="2">
        <f t="shared" si="6"/>
        <v>0</v>
      </c>
      <c r="O67" s="131">
        <f t="shared" si="7"/>
        <v>-663372.56412330503</v>
      </c>
      <c r="P67" s="457">
        <f t="shared" si="8"/>
        <v>-8.5723179811199657</v>
      </c>
      <c r="Q67" s="127"/>
    </row>
    <row r="68" spans="1:17" x14ac:dyDescent="0.25">
      <c r="A68" s="49">
        <f>+'A) Base RI'!A70</f>
        <v>5499</v>
      </c>
      <c r="B68" s="294" t="str">
        <f>+'A) Base RI'!B70</f>
        <v>Senarclens</v>
      </c>
      <c r="C68" s="306">
        <f>+'D) Ecrêtage'!C68</f>
        <v>23640.951925367579</v>
      </c>
      <c r="D68" s="458">
        <v>40444</v>
      </c>
      <c r="E68" s="460">
        <v>17602</v>
      </c>
      <c r="F68" s="458">
        <v>40657</v>
      </c>
      <c r="G68" s="306">
        <f t="shared" si="0"/>
        <v>98703</v>
      </c>
      <c r="H68" s="286">
        <f t="shared" si="1"/>
        <v>189127.61540294063</v>
      </c>
      <c r="I68" s="10">
        <f t="shared" si="2"/>
        <v>0</v>
      </c>
      <c r="J68" s="303">
        <f t="shared" si="3"/>
        <v>0</v>
      </c>
      <c r="K68" s="462">
        <v>15288</v>
      </c>
      <c r="L68" s="10">
        <f t="shared" si="4"/>
        <v>23640.951925367579</v>
      </c>
      <c r="M68" s="14">
        <f t="shared" si="5"/>
        <v>0</v>
      </c>
      <c r="N68" s="2">
        <f t="shared" si="6"/>
        <v>0</v>
      </c>
      <c r="O68" s="131">
        <f t="shared" si="7"/>
        <v>0</v>
      </c>
      <c r="P68" s="457">
        <f t="shared" si="8"/>
        <v>0</v>
      </c>
      <c r="Q68" s="127"/>
    </row>
    <row r="69" spans="1:17" x14ac:dyDescent="0.25">
      <c r="A69" s="49">
        <f>+'A) Base RI'!A71</f>
        <v>5500</v>
      </c>
      <c r="B69" s="294" t="str">
        <f>+'A) Base RI'!B71</f>
        <v>Sévery</v>
      </c>
      <c r="C69" s="306">
        <f>+'D) Ecrêtage'!C69</f>
        <v>6301.5037699957575</v>
      </c>
      <c r="D69" s="458">
        <v>62957</v>
      </c>
      <c r="E69" s="460">
        <v>12182</v>
      </c>
      <c r="F69" s="458">
        <v>24657</v>
      </c>
      <c r="G69" s="306">
        <f t="shared" si="0"/>
        <v>99796</v>
      </c>
      <c r="H69" s="286">
        <f t="shared" si="1"/>
        <v>50412.03015996606</v>
      </c>
      <c r="I69" s="10">
        <f t="shared" si="2"/>
        <v>49383.96984003394</v>
      </c>
      <c r="J69" s="303">
        <f t="shared" si="3"/>
        <v>-36027.225273619144</v>
      </c>
      <c r="K69" s="462">
        <v>5472</v>
      </c>
      <c r="L69" s="10">
        <f t="shared" si="4"/>
        <v>6301.5037699957575</v>
      </c>
      <c r="M69" s="14">
        <f t="shared" si="5"/>
        <v>0</v>
      </c>
      <c r="N69" s="2">
        <f t="shared" si="6"/>
        <v>0</v>
      </c>
      <c r="O69" s="131">
        <f t="shared" si="7"/>
        <v>-36027.225273619144</v>
      </c>
      <c r="P69" s="457">
        <f t="shared" si="8"/>
        <v>-5.7172425168037941</v>
      </c>
      <c r="Q69" s="127"/>
    </row>
    <row r="70" spans="1:17" x14ac:dyDescent="0.25">
      <c r="A70" s="49">
        <f>+'A) Base RI'!A72</f>
        <v>5501</v>
      </c>
      <c r="B70" s="294" t="str">
        <f>+'A) Base RI'!B72</f>
        <v>Sullens</v>
      </c>
      <c r="C70" s="306">
        <f>+'D) Ecrêtage'!C70</f>
        <v>37513.894014769903</v>
      </c>
      <c r="D70" s="458">
        <v>208973</v>
      </c>
      <c r="E70" s="460">
        <v>30773</v>
      </c>
      <c r="F70" s="458">
        <v>38027</v>
      </c>
      <c r="G70" s="306">
        <f t="shared" ref="G70:G133" si="9">SUM(D70:F70)</f>
        <v>277773</v>
      </c>
      <c r="H70" s="286">
        <f t="shared" ref="H70:H133" si="10">+C70*$I$4</f>
        <v>300111.15211815923</v>
      </c>
      <c r="I70" s="10">
        <f t="shared" ref="I70:I133" si="11">IF(G70&gt;H70,G70-H70,0)</f>
        <v>0</v>
      </c>
      <c r="J70" s="303">
        <f t="shared" ref="J70:J133" si="12">-I70*J$4</f>
        <v>0</v>
      </c>
      <c r="K70" s="462">
        <v>47449</v>
      </c>
      <c r="L70" s="10">
        <f t="shared" ref="L70:L133" si="13">C70*M$4</f>
        <v>37513.894014769903</v>
      </c>
      <c r="M70" s="14">
        <f t="shared" ref="M70:M133" si="14">IF(K70&gt;L70,K70-L70,0)</f>
        <v>9935.1059852300968</v>
      </c>
      <c r="N70" s="2">
        <f t="shared" ref="N70:N133" si="15">-M70*N$4</f>
        <v>-7247.9855833096899</v>
      </c>
      <c r="O70" s="131">
        <f t="shared" ref="O70:O133" si="16">N70+J70</f>
        <v>-7247.9855833096899</v>
      </c>
      <c r="P70" s="457">
        <f t="shared" ref="P70:P133" si="17">+O70/C70</f>
        <v>-0.19320803061543079</v>
      </c>
      <c r="Q70" s="127"/>
    </row>
    <row r="71" spans="1:17" x14ac:dyDescent="0.25">
      <c r="A71" s="49">
        <f>+'A) Base RI'!A73</f>
        <v>5503</v>
      </c>
      <c r="B71" s="294" t="str">
        <f>+'A) Base RI'!B73</f>
        <v>Vufflens-la-Ville</v>
      </c>
      <c r="C71" s="306">
        <f>+'D) Ecrêtage'!C71</f>
        <v>71529.073769442432</v>
      </c>
      <c r="D71" s="458">
        <v>167256</v>
      </c>
      <c r="E71" s="460">
        <v>111885</v>
      </c>
      <c r="F71" s="458">
        <v>109840</v>
      </c>
      <c r="G71" s="306">
        <f t="shared" si="9"/>
        <v>388981</v>
      </c>
      <c r="H71" s="286">
        <f t="shared" si="10"/>
        <v>572232.59015553945</v>
      </c>
      <c r="I71" s="10">
        <f t="shared" si="11"/>
        <v>0</v>
      </c>
      <c r="J71" s="303">
        <f t="shared" si="12"/>
        <v>0</v>
      </c>
      <c r="K71" s="462">
        <v>44403</v>
      </c>
      <c r="L71" s="10">
        <f t="shared" si="13"/>
        <v>71529.073769442432</v>
      </c>
      <c r="M71" s="14">
        <f t="shared" si="14"/>
        <v>0</v>
      </c>
      <c r="N71" s="2">
        <f t="shared" si="15"/>
        <v>0</v>
      </c>
      <c r="O71" s="131">
        <f t="shared" si="16"/>
        <v>0</v>
      </c>
      <c r="P71" s="457">
        <f t="shared" si="17"/>
        <v>0</v>
      </c>
      <c r="Q71" s="127"/>
    </row>
    <row r="72" spans="1:17" x14ac:dyDescent="0.25">
      <c r="A72" s="49">
        <f>+'A) Base RI'!A74</f>
        <v>5511</v>
      </c>
      <c r="B72" s="294" t="str">
        <f>+'A) Base RI'!B74</f>
        <v>Assens</v>
      </c>
      <c r="C72" s="306">
        <f>+'D) Ecrêtage'!C72</f>
        <v>42924.75672243804</v>
      </c>
      <c r="D72" s="458">
        <v>640941</v>
      </c>
      <c r="E72" s="460">
        <v>81908</v>
      </c>
      <c r="F72" s="458">
        <v>98087</v>
      </c>
      <c r="G72" s="306">
        <f t="shared" si="9"/>
        <v>820936</v>
      </c>
      <c r="H72" s="286">
        <f t="shared" si="10"/>
        <v>343398.05377950432</v>
      </c>
      <c r="I72" s="10">
        <f t="shared" si="11"/>
        <v>477537.94622049568</v>
      </c>
      <c r="J72" s="303">
        <f t="shared" si="12"/>
        <v>-348379.58999481268</v>
      </c>
      <c r="K72" s="462">
        <v>6413</v>
      </c>
      <c r="L72" s="10">
        <f t="shared" si="13"/>
        <v>42924.75672243804</v>
      </c>
      <c r="M72" s="14">
        <f t="shared" si="14"/>
        <v>0</v>
      </c>
      <c r="N72" s="2">
        <f t="shared" si="15"/>
        <v>0</v>
      </c>
      <c r="O72" s="131">
        <f t="shared" si="16"/>
        <v>-348379.58999481268</v>
      </c>
      <c r="P72" s="457">
        <f t="shared" si="17"/>
        <v>-8.116052753601382</v>
      </c>
      <c r="Q72" s="127"/>
    </row>
    <row r="73" spans="1:17" x14ac:dyDescent="0.25">
      <c r="A73" s="49">
        <f>+'A) Base RI'!A75</f>
        <v>5512</v>
      </c>
      <c r="B73" s="294" t="str">
        <f>+'A) Base RI'!B75</f>
        <v>Bercher</v>
      </c>
      <c r="C73" s="306">
        <f>+'D) Ecrêtage'!C73</f>
        <v>37044.132282785904</v>
      </c>
      <c r="D73" s="458">
        <v>302213</v>
      </c>
      <c r="E73" s="460">
        <v>93467</v>
      </c>
      <c r="F73" s="458">
        <v>111929</v>
      </c>
      <c r="G73" s="306">
        <f t="shared" si="9"/>
        <v>507609</v>
      </c>
      <c r="H73" s="286">
        <f t="shared" si="10"/>
        <v>296353.05826228723</v>
      </c>
      <c r="I73" s="10">
        <f t="shared" si="11"/>
        <v>211255.94173771277</v>
      </c>
      <c r="J73" s="303">
        <f t="shared" si="12"/>
        <v>-154118.13647280299</v>
      </c>
      <c r="K73" s="462">
        <v>32807</v>
      </c>
      <c r="L73" s="10">
        <f t="shared" si="13"/>
        <v>37044.132282785904</v>
      </c>
      <c r="M73" s="14">
        <f t="shared" si="14"/>
        <v>0</v>
      </c>
      <c r="N73" s="2">
        <f t="shared" si="15"/>
        <v>0</v>
      </c>
      <c r="O73" s="131">
        <f t="shared" si="16"/>
        <v>-154118.13647280299</v>
      </c>
      <c r="P73" s="457">
        <f t="shared" si="17"/>
        <v>-4.1603926715384389</v>
      </c>
      <c r="Q73" s="127"/>
    </row>
    <row r="74" spans="1:17" x14ac:dyDescent="0.25">
      <c r="A74" s="49">
        <f>+'A) Base RI'!A76</f>
        <v>5513</v>
      </c>
      <c r="B74" s="294" t="str">
        <f>+'A) Base RI'!B76</f>
        <v>Bioley-Orjulaz</v>
      </c>
      <c r="C74" s="306">
        <f>+'D) Ecrêtage'!C74</f>
        <v>21181.93028195855</v>
      </c>
      <c r="D74" s="458">
        <v>119232</v>
      </c>
      <c r="E74" s="460">
        <v>15279</v>
      </c>
      <c r="F74" s="458">
        <v>45743</v>
      </c>
      <c r="G74" s="306">
        <f t="shared" si="9"/>
        <v>180254</v>
      </c>
      <c r="H74" s="286">
        <f t="shared" si="10"/>
        <v>169455.4422556684</v>
      </c>
      <c r="I74" s="10">
        <f t="shared" si="11"/>
        <v>10798.5577443316</v>
      </c>
      <c r="J74" s="303">
        <f t="shared" si="12"/>
        <v>-7877.9019537193153</v>
      </c>
      <c r="K74" s="462">
        <v>12446</v>
      </c>
      <c r="L74" s="10">
        <f t="shared" si="13"/>
        <v>21181.93028195855</v>
      </c>
      <c r="M74" s="14">
        <f t="shared" si="14"/>
        <v>0</v>
      </c>
      <c r="N74" s="2">
        <f t="shared" si="15"/>
        <v>0</v>
      </c>
      <c r="O74" s="131">
        <f t="shared" si="16"/>
        <v>-7877.9019537193153</v>
      </c>
      <c r="P74" s="457">
        <f t="shared" si="17"/>
        <v>-0.37191614970186271</v>
      </c>
      <c r="Q74" s="127"/>
    </row>
    <row r="75" spans="1:17" x14ac:dyDescent="0.25">
      <c r="A75" s="49">
        <f>+'A) Base RI'!A77</f>
        <v>5514</v>
      </c>
      <c r="B75" s="294" t="str">
        <f>+'A) Base RI'!B77</f>
        <v>Bottens</v>
      </c>
      <c r="C75" s="306">
        <f>+'D) Ecrêtage'!C75</f>
        <v>44638.492368569219</v>
      </c>
      <c r="D75" s="458">
        <v>129953</v>
      </c>
      <c r="E75" s="460">
        <v>58009</v>
      </c>
      <c r="F75" s="458">
        <v>115779</v>
      </c>
      <c r="G75" s="306">
        <f t="shared" si="9"/>
        <v>303741</v>
      </c>
      <c r="H75" s="286">
        <f t="shared" si="10"/>
        <v>357107.93894855375</v>
      </c>
      <c r="I75" s="10">
        <f t="shared" si="11"/>
        <v>0</v>
      </c>
      <c r="J75" s="303">
        <f t="shared" si="12"/>
        <v>0</v>
      </c>
      <c r="K75" s="462">
        <v>16906</v>
      </c>
      <c r="L75" s="10">
        <f t="shared" si="13"/>
        <v>44638.492368569219</v>
      </c>
      <c r="M75" s="14">
        <f t="shared" si="14"/>
        <v>0</v>
      </c>
      <c r="N75" s="2">
        <f t="shared" si="15"/>
        <v>0</v>
      </c>
      <c r="O75" s="131">
        <f t="shared" si="16"/>
        <v>0</v>
      </c>
      <c r="P75" s="457">
        <f t="shared" si="17"/>
        <v>0</v>
      </c>
      <c r="Q75" s="127"/>
    </row>
    <row r="76" spans="1:17" x14ac:dyDescent="0.25">
      <c r="A76" s="49">
        <f>+'A) Base RI'!A78</f>
        <v>5515</v>
      </c>
      <c r="B76" s="294" t="str">
        <f>+'A) Base RI'!B78</f>
        <v>Bretigny-sur-Morrens</v>
      </c>
      <c r="C76" s="306">
        <f>+'D) Ecrêtage'!C76</f>
        <v>28831.158924958156</v>
      </c>
      <c r="D76" s="458">
        <v>200312</v>
      </c>
      <c r="E76" s="460">
        <v>37892</v>
      </c>
      <c r="F76" s="458">
        <v>47321</v>
      </c>
      <c r="G76" s="306">
        <f t="shared" si="9"/>
        <v>285525</v>
      </c>
      <c r="H76" s="286">
        <f t="shared" si="10"/>
        <v>230649.27139966525</v>
      </c>
      <c r="I76" s="10">
        <f t="shared" si="11"/>
        <v>54875.728600334754</v>
      </c>
      <c r="J76" s="303">
        <f t="shared" si="12"/>
        <v>-40033.643361241899</v>
      </c>
      <c r="K76" s="462">
        <v>40009</v>
      </c>
      <c r="L76" s="10">
        <f t="shared" si="13"/>
        <v>28831.158924958156</v>
      </c>
      <c r="M76" s="14">
        <f t="shared" si="14"/>
        <v>11177.841075041844</v>
      </c>
      <c r="N76" s="2">
        <f t="shared" si="15"/>
        <v>-8154.60157998041</v>
      </c>
      <c r="O76" s="131">
        <f t="shared" si="16"/>
        <v>-48188.244941222307</v>
      </c>
      <c r="P76" s="457">
        <f t="shared" si="17"/>
        <v>-1.6713946555754779</v>
      </c>
      <c r="Q76" s="127"/>
    </row>
    <row r="77" spans="1:17" x14ac:dyDescent="0.25">
      <c r="A77" s="49">
        <f>+'A) Base RI'!A79</f>
        <v>5516</v>
      </c>
      <c r="B77" s="294" t="str">
        <f>+'A) Base RI'!B79</f>
        <v>Cugy</v>
      </c>
      <c r="C77" s="306">
        <f>+'D) Ecrêtage'!C77</f>
        <v>111243.36559703569</v>
      </c>
      <c r="D77" s="458">
        <v>745482</v>
      </c>
      <c r="E77" s="460">
        <v>126031</v>
      </c>
      <c r="F77" s="458">
        <v>205538</v>
      </c>
      <c r="G77" s="306">
        <f t="shared" si="9"/>
        <v>1077051</v>
      </c>
      <c r="H77" s="286">
        <f t="shared" si="10"/>
        <v>889946.92477628554</v>
      </c>
      <c r="I77" s="10">
        <f t="shared" si="11"/>
        <v>187104.07522371446</v>
      </c>
      <c r="J77" s="303">
        <f t="shared" si="12"/>
        <v>-136498.55792339254</v>
      </c>
      <c r="K77" s="462">
        <v>26010</v>
      </c>
      <c r="L77" s="10">
        <f t="shared" si="13"/>
        <v>111243.36559703569</v>
      </c>
      <c r="M77" s="14">
        <f t="shared" si="14"/>
        <v>0</v>
      </c>
      <c r="N77" s="2">
        <f t="shared" si="15"/>
        <v>0</v>
      </c>
      <c r="O77" s="131">
        <f t="shared" si="16"/>
        <v>-136498.55792339254</v>
      </c>
      <c r="P77" s="457">
        <f t="shared" si="17"/>
        <v>-1.2270265034756358</v>
      </c>
      <c r="Q77" s="127"/>
    </row>
    <row r="78" spans="1:17" x14ac:dyDescent="0.25">
      <c r="A78" s="49">
        <f>+'A) Base RI'!A80</f>
        <v>5518</v>
      </c>
      <c r="B78" s="294" t="str">
        <f>+'A) Base RI'!B80</f>
        <v>Echallens</v>
      </c>
      <c r="C78" s="306">
        <f>+'D) Ecrêtage'!C78</f>
        <v>180959.47694399237</v>
      </c>
      <c r="D78" s="458">
        <v>1865968</v>
      </c>
      <c r="E78" s="460">
        <v>438474</v>
      </c>
      <c r="F78" s="458">
        <v>525086</v>
      </c>
      <c r="G78" s="306">
        <f t="shared" si="9"/>
        <v>2829528</v>
      </c>
      <c r="H78" s="286">
        <f t="shared" si="10"/>
        <v>1447675.815551939</v>
      </c>
      <c r="I78" s="10">
        <f t="shared" si="11"/>
        <v>1381852.184448061</v>
      </c>
      <c r="J78" s="303">
        <f t="shared" si="12"/>
        <v>-1008106.4787868578</v>
      </c>
      <c r="K78" s="462">
        <v>61801</v>
      </c>
      <c r="L78" s="10">
        <f t="shared" si="13"/>
        <v>180959.47694399237</v>
      </c>
      <c r="M78" s="14">
        <f t="shared" si="14"/>
        <v>0</v>
      </c>
      <c r="N78" s="2">
        <f t="shared" si="15"/>
        <v>0</v>
      </c>
      <c r="O78" s="131">
        <f t="shared" si="16"/>
        <v>-1008106.4787868578</v>
      </c>
      <c r="P78" s="457">
        <f t="shared" si="17"/>
        <v>-5.5708962902167896</v>
      </c>
      <c r="Q78" s="127"/>
    </row>
    <row r="79" spans="1:17" x14ac:dyDescent="0.25">
      <c r="A79" s="49">
        <f>+'A) Base RI'!A81</f>
        <v>5520</v>
      </c>
      <c r="B79" s="294" t="str">
        <f>+'A) Base RI'!B81</f>
        <v>Essertines-sur-Yverdon</v>
      </c>
      <c r="C79" s="306">
        <f>+'D) Ecrêtage'!C79</f>
        <v>31792.947431853896</v>
      </c>
      <c r="D79" s="458">
        <v>215179</v>
      </c>
      <c r="E79" s="460">
        <v>60675</v>
      </c>
      <c r="F79" s="458">
        <v>89928</v>
      </c>
      <c r="G79" s="306">
        <f t="shared" si="9"/>
        <v>365782</v>
      </c>
      <c r="H79" s="286">
        <f t="shared" si="10"/>
        <v>254343.57945483117</v>
      </c>
      <c r="I79" s="10">
        <f t="shared" si="11"/>
        <v>111438.42054516883</v>
      </c>
      <c r="J79" s="303">
        <f t="shared" si="12"/>
        <v>-81297.98179696819</v>
      </c>
      <c r="K79" s="462">
        <v>92765</v>
      </c>
      <c r="L79" s="10">
        <f t="shared" si="13"/>
        <v>31792.947431853896</v>
      </c>
      <c r="M79" s="14">
        <f t="shared" si="14"/>
        <v>60972.0525681461</v>
      </c>
      <c r="N79" s="2">
        <f t="shared" si="15"/>
        <v>-44481.11159113</v>
      </c>
      <c r="O79" s="131">
        <f t="shared" si="16"/>
        <v>-125779.09338809819</v>
      </c>
      <c r="P79" s="457">
        <f t="shared" si="17"/>
        <v>-3.9561948025642306</v>
      </c>
      <c r="Q79" s="127"/>
    </row>
    <row r="80" spans="1:17" x14ac:dyDescent="0.25">
      <c r="A80" s="49">
        <f>+'A) Base RI'!A82</f>
        <v>5521</v>
      </c>
      <c r="B80" s="294" t="str">
        <f>+'A) Base RI'!B82</f>
        <v>Etagnières</v>
      </c>
      <c r="C80" s="306">
        <f>+'D) Ecrêtage'!C80</f>
        <v>41863.452740254725</v>
      </c>
      <c r="D80" s="458">
        <v>178634</v>
      </c>
      <c r="E80" s="460">
        <v>85659</v>
      </c>
      <c r="F80" s="458">
        <v>102579</v>
      </c>
      <c r="G80" s="306">
        <f t="shared" si="9"/>
        <v>366872</v>
      </c>
      <c r="H80" s="286">
        <f t="shared" si="10"/>
        <v>334907.6219220378</v>
      </c>
      <c r="I80" s="10">
        <f t="shared" si="11"/>
        <v>31964.378077962203</v>
      </c>
      <c r="J80" s="303">
        <f t="shared" si="12"/>
        <v>-23319.061903612364</v>
      </c>
      <c r="K80" s="462">
        <v>1323</v>
      </c>
      <c r="L80" s="10">
        <f t="shared" si="13"/>
        <v>41863.452740254725</v>
      </c>
      <c r="M80" s="14">
        <f t="shared" si="14"/>
        <v>0</v>
      </c>
      <c r="N80" s="2">
        <f t="shared" si="15"/>
        <v>0</v>
      </c>
      <c r="O80" s="131">
        <f t="shared" si="16"/>
        <v>-23319.061903612364</v>
      </c>
      <c r="P80" s="457">
        <f t="shared" si="17"/>
        <v>-0.55702672324467417</v>
      </c>
      <c r="Q80" s="127"/>
    </row>
    <row r="81" spans="1:17" x14ac:dyDescent="0.25">
      <c r="A81" s="49">
        <f>+'A) Base RI'!A83</f>
        <v>5522</v>
      </c>
      <c r="B81" s="294" t="str">
        <f>+'A) Base RI'!B83</f>
        <v>Fey</v>
      </c>
      <c r="C81" s="306">
        <f>+'D) Ecrêtage'!C81</f>
        <v>21530.578579692767</v>
      </c>
      <c r="D81" s="458">
        <v>88947</v>
      </c>
      <c r="E81" s="460">
        <v>53814</v>
      </c>
      <c r="F81" s="458">
        <v>64444</v>
      </c>
      <c r="G81" s="306">
        <f t="shared" si="9"/>
        <v>207205</v>
      </c>
      <c r="H81" s="286">
        <f t="shared" si="10"/>
        <v>172244.62863754213</v>
      </c>
      <c r="I81" s="10">
        <f t="shared" si="11"/>
        <v>34960.371362457867</v>
      </c>
      <c r="J81" s="303">
        <f t="shared" si="12"/>
        <v>-25504.737241751631</v>
      </c>
      <c r="K81" s="462">
        <v>37002</v>
      </c>
      <c r="L81" s="10">
        <f t="shared" si="13"/>
        <v>21530.578579692767</v>
      </c>
      <c r="M81" s="14">
        <f t="shared" si="14"/>
        <v>15471.421420307233</v>
      </c>
      <c r="N81" s="2">
        <f t="shared" si="15"/>
        <v>-11286.909226172535</v>
      </c>
      <c r="O81" s="131">
        <f t="shared" si="16"/>
        <v>-36791.646467924162</v>
      </c>
      <c r="P81" s="457">
        <f t="shared" si="17"/>
        <v>-1.7088090007309578</v>
      </c>
      <c r="Q81" s="127"/>
    </row>
    <row r="82" spans="1:17" x14ac:dyDescent="0.25">
      <c r="A82" s="49">
        <f>+'A) Base RI'!A84</f>
        <v>5523</v>
      </c>
      <c r="B82" s="294" t="str">
        <f>+'A) Base RI'!B84</f>
        <v>Froideville</v>
      </c>
      <c r="C82" s="306">
        <f>+'D) Ecrêtage'!C82</f>
        <v>82933.673531693348</v>
      </c>
      <c r="D82" s="458">
        <v>475148</v>
      </c>
      <c r="E82" s="460">
        <v>117625</v>
      </c>
      <c r="F82" s="458">
        <v>178584</v>
      </c>
      <c r="G82" s="306">
        <f t="shared" si="9"/>
        <v>771357</v>
      </c>
      <c r="H82" s="286">
        <f t="shared" si="10"/>
        <v>663469.38825354679</v>
      </c>
      <c r="I82" s="10">
        <f t="shared" si="11"/>
        <v>107887.61174645321</v>
      </c>
      <c r="J82" s="303">
        <f t="shared" si="12"/>
        <v>-78707.550349086261</v>
      </c>
      <c r="K82" s="462">
        <v>4224</v>
      </c>
      <c r="L82" s="10">
        <f t="shared" si="13"/>
        <v>82933.673531693348</v>
      </c>
      <c r="M82" s="14">
        <f t="shared" si="14"/>
        <v>0</v>
      </c>
      <c r="N82" s="2">
        <f t="shared" si="15"/>
        <v>0</v>
      </c>
      <c r="O82" s="131">
        <f t="shared" si="16"/>
        <v>-78707.550349086261</v>
      </c>
      <c r="P82" s="457">
        <f t="shared" si="17"/>
        <v>-0.94904213207205801</v>
      </c>
      <c r="Q82" s="127"/>
    </row>
    <row r="83" spans="1:17" x14ac:dyDescent="0.25">
      <c r="A83" s="49">
        <f>+'A) Base RI'!A85</f>
        <v>5527</v>
      </c>
      <c r="B83" s="294" t="str">
        <f>+'A) Base RI'!B85</f>
        <v>Morrens</v>
      </c>
      <c r="C83" s="306">
        <f>+'D) Ecrêtage'!C83</f>
        <v>37846.307885294293</v>
      </c>
      <c r="D83" s="458">
        <v>244241</v>
      </c>
      <c r="E83" s="460">
        <v>33437</v>
      </c>
      <c r="F83" s="458">
        <v>64883</v>
      </c>
      <c r="G83" s="306">
        <f t="shared" si="9"/>
        <v>342561</v>
      </c>
      <c r="H83" s="286">
        <f t="shared" si="10"/>
        <v>302770.46308235434</v>
      </c>
      <c r="I83" s="10">
        <f t="shared" si="11"/>
        <v>39790.536917645659</v>
      </c>
      <c r="J83" s="303">
        <f t="shared" si="12"/>
        <v>-29028.501392938924</v>
      </c>
      <c r="K83" s="462">
        <v>27049</v>
      </c>
      <c r="L83" s="10">
        <f t="shared" si="13"/>
        <v>37846.307885294293</v>
      </c>
      <c r="M83" s="14">
        <f t="shared" si="14"/>
        <v>0</v>
      </c>
      <c r="N83" s="2">
        <f t="shared" si="15"/>
        <v>0</v>
      </c>
      <c r="O83" s="131">
        <f t="shared" si="16"/>
        <v>-29028.501392938924</v>
      </c>
      <c r="P83" s="457">
        <f t="shared" si="17"/>
        <v>-0.76701012634889942</v>
      </c>
      <c r="Q83" s="127"/>
    </row>
    <row r="84" spans="1:17" x14ac:dyDescent="0.25">
      <c r="A84" s="49">
        <f>+'A) Base RI'!A86</f>
        <v>5529</v>
      </c>
      <c r="B84" s="294" t="str">
        <f>+'A) Base RI'!B86</f>
        <v>Oulens-sous-Echallens</v>
      </c>
      <c r="C84" s="306">
        <f>+'D) Ecrêtage'!C84</f>
        <v>21232.684624593807</v>
      </c>
      <c r="D84" s="458">
        <v>276842</v>
      </c>
      <c r="E84" s="460">
        <v>17667</v>
      </c>
      <c r="F84" s="458">
        <v>52894</v>
      </c>
      <c r="G84" s="306">
        <f t="shared" si="9"/>
        <v>347403</v>
      </c>
      <c r="H84" s="286">
        <f t="shared" si="10"/>
        <v>169861.47699675045</v>
      </c>
      <c r="I84" s="10">
        <f t="shared" si="11"/>
        <v>177541.52300324955</v>
      </c>
      <c r="J84" s="303">
        <f t="shared" si="12"/>
        <v>-129522.36252732796</v>
      </c>
      <c r="K84" s="462">
        <v>-24770</v>
      </c>
      <c r="L84" s="10">
        <f t="shared" si="13"/>
        <v>21232.684624593807</v>
      </c>
      <c r="M84" s="14">
        <f t="shared" si="14"/>
        <v>0</v>
      </c>
      <c r="N84" s="2">
        <f t="shared" si="15"/>
        <v>0</v>
      </c>
      <c r="O84" s="131">
        <f t="shared" si="16"/>
        <v>-129522.36252732796</v>
      </c>
      <c r="P84" s="457">
        <f t="shared" si="17"/>
        <v>-6.1001406471842134</v>
      </c>
      <c r="Q84" s="127"/>
    </row>
    <row r="85" spans="1:17" x14ac:dyDescent="0.25">
      <c r="A85" s="49">
        <f>+'A) Base RI'!A87</f>
        <v>5530</v>
      </c>
      <c r="B85" s="294" t="str">
        <f>+'A) Base RI'!B87</f>
        <v>Pailly</v>
      </c>
      <c r="C85" s="306">
        <f>+'D) Ecrêtage'!C85</f>
        <v>16822.836054480296</v>
      </c>
      <c r="D85" s="458">
        <v>361706</v>
      </c>
      <c r="E85" s="460">
        <v>16627</v>
      </c>
      <c r="F85" s="458">
        <v>49777</v>
      </c>
      <c r="G85" s="306">
        <f t="shared" si="9"/>
        <v>428110</v>
      </c>
      <c r="H85" s="286">
        <f t="shared" si="10"/>
        <v>134582.68843584237</v>
      </c>
      <c r="I85" s="10">
        <f t="shared" si="11"/>
        <v>293527.3115641576</v>
      </c>
      <c r="J85" s="303">
        <f t="shared" si="12"/>
        <v>-214137.79839766788</v>
      </c>
      <c r="K85" s="462">
        <v>41107</v>
      </c>
      <c r="L85" s="10">
        <f t="shared" si="13"/>
        <v>16822.836054480296</v>
      </c>
      <c r="M85" s="14">
        <f t="shared" si="14"/>
        <v>24284.163945519704</v>
      </c>
      <c r="N85" s="2">
        <f t="shared" si="15"/>
        <v>-17716.093863670983</v>
      </c>
      <c r="O85" s="131">
        <f t="shared" si="16"/>
        <v>-231853.89226133886</v>
      </c>
      <c r="P85" s="457">
        <f t="shared" si="17"/>
        <v>-13.782093073396563</v>
      </c>
      <c r="Q85" s="127"/>
    </row>
    <row r="86" spans="1:17" x14ac:dyDescent="0.25">
      <c r="A86" s="49">
        <f>+'A) Base RI'!A88</f>
        <v>5531</v>
      </c>
      <c r="B86" s="294" t="str">
        <f>+'A) Base RI'!B88</f>
        <v>Penthéréaz</v>
      </c>
      <c r="C86" s="306">
        <f>+'D) Ecrêtage'!C86</f>
        <v>14989.425098501475</v>
      </c>
      <c r="D86" s="458">
        <v>122063</v>
      </c>
      <c r="E86" s="460">
        <v>12799</v>
      </c>
      <c r="F86" s="458">
        <v>38318</v>
      </c>
      <c r="G86" s="306">
        <f t="shared" si="9"/>
        <v>173180</v>
      </c>
      <c r="H86" s="286">
        <f t="shared" si="10"/>
        <v>119915.4007880118</v>
      </c>
      <c r="I86" s="10">
        <f t="shared" si="11"/>
        <v>53264.599211988199</v>
      </c>
      <c r="J86" s="303">
        <f t="shared" si="12"/>
        <v>-38858.271644327906</v>
      </c>
      <c r="K86" s="462">
        <v>27345</v>
      </c>
      <c r="L86" s="10">
        <f t="shared" si="13"/>
        <v>14989.425098501475</v>
      </c>
      <c r="M86" s="14">
        <f t="shared" si="14"/>
        <v>12355.574901498525</v>
      </c>
      <c r="N86" s="2">
        <f t="shared" si="15"/>
        <v>-9013.7970236751644</v>
      </c>
      <c r="O86" s="131">
        <f t="shared" si="16"/>
        <v>-47872.06866800307</v>
      </c>
      <c r="P86" s="457">
        <f t="shared" si="17"/>
        <v>-3.1937227981337952</v>
      </c>
      <c r="Q86" s="127"/>
    </row>
    <row r="87" spans="1:17" x14ac:dyDescent="0.25">
      <c r="A87" s="49">
        <f>+'A) Base RI'!A89</f>
        <v>5533</v>
      </c>
      <c r="B87" s="294" t="str">
        <f>+'A) Base RI'!B89</f>
        <v>Poliez-Pittet</v>
      </c>
      <c r="C87" s="306">
        <f>+'D) Ecrêtage'!C87</f>
        <v>25275.822973621725</v>
      </c>
      <c r="D87" s="458">
        <v>93786</v>
      </c>
      <c r="E87" s="460">
        <v>25996</v>
      </c>
      <c r="F87" s="458">
        <v>77553</v>
      </c>
      <c r="G87" s="306">
        <f t="shared" si="9"/>
        <v>197335</v>
      </c>
      <c r="H87" s="286">
        <f t="shared" si="10"/>
        <v>202206.5837889738</v>
      </c>
      <c r="I87" s="10">
        <f t="shared" si="11"/>
        <v>0</v>
      </c>
      <c r="J87" s="303">
        <f t="shared" si="12"/>
        <v>0</v>
      </c>
      <c r="K87" s="462">
        <v>67191</v>
      </c>
      <c r="L87" s="10">
        <f t="shared" si="13"/>
        <v>25275.822973621725</v>
      </c>
      <c r="M87" s="14">
        <f t="shared" si="14"/>
        <v>41915.177026378275</v>
      </c>
      <c r="N87" s="2">
        <f t="shared" si="15"/>
        <v>-30578.496018130525</v>
      </c>
      <c r="O87" s="131">
        <f t="shared" si="16"/>
        <v>-30578.496018130525</v>
      </c>
      <c r="P87" s="457">
        <f t="shared" si="17"/>
        <v>-1.2097923003354929</v>
      </c>
      <c r="Q87" s="127"/>
    </row>
    <row r="88" spans="1:17" x14ac:dyDescent="0.25">
      <c r="A88" s="49">
        <f>+'A) Base RI'!A90</f>
        <v>5534</v>
      </c>
      <c r="B88" s="294" t="str">
        <f>+'A) Base RI'!B90</f>
        <v>Rueyres</v>
      </c>
      <c r="C88" s="306">
        <f>+'D) Ecrêtage'!C88</f>
        <v>8313.1321594227738</v>
      </c>
      <c r="D88" s="458">
        <v>45900</v>
      </c>
      <c r="E88" s="460">
        <v>15739</v>
      </c>
      <c r="F88" s="458">
        <v>23559</v>
      </c>
      <c r="G88" s="306">
        <f t="shared" si="9"/>
        <v>85198</v>
      </c>
      <c r="H88" s="286">
        <f t="shared" si="10"/>
        <v>66505.057275382191</v>
      </c>
      <c r="I88" s="10">
        <f t="shared" si="11"/>
        <v>18692.942724617809</v>
      </c>
      <c r="J88" s="303">
        <f t="shared" si="12"/>
        <v>-13637.114649716117</v>
      </c>
      <c r="K88" s="462">
        <v>21112</v>
      </c>
      <c r="L88" s="10">
        <f t="shared" si="13"/>
        <v>8313.1321594227738</v>
      </c>
      <c r="M88" s="14">
        <f t="shared" si="14"/>
        <v>12798.867840577226</v>
      </c>
      <c r="N88" s="2">
        <f t="shared" si="15"/>
        <v>-9337.1937580836293</v>
      </c>
      <c r="O88" s="131">
        <f t="shared" si="16"/>
        <v>-22974.308407799748</v>
      </c>
      <c r="P88" s="457">
        <f t="shared" si="17"/>
        <v>-2.7636164044088742</v>
      </c>
      <c r="Q88" s="127"/>
    </row>
    <row r="89" spans="1:17" x14ac:dyDescent="0.25">
      <c r="A89" s="49">
        <f>+'A) Base RI'!A91</f>
        <v>5535</v>
      </c>
      <c r="B89" s="294" t="str">
        <f>+'A) Base RI'!B91</f>
        <v>Saint-Barthélemy</v>
      </c>
      <c r="C89" s="306">
        <f>+'D) Ecrêtage'!C89</f>
        <v>21802.428816169639</v>
      </c>
      <c r="D89" s="458">
        <v>38362</v>
      </c>
      <c r="E89" s="460">
        <v>23546</v>
      </c>
      <c r="F89" s="458">
        <v>70494</v>
      </c>
      <c r="G89" s="306">
        <f t="shared" si="9"/>
        <v>132402</v>
      </c>
      <c r="H89" s="286">
        <f t="shared" si="10"/>
        <v>174419.43052935711</v>
      </c>
      <c r="I89" s="10">
        <f t="shared" si="11"/>
        <v>0</v>
      </c>
      <c r="J89" s="303">
        <f t="shared" si="12"/>
        <v>0</v>
      </c>
      <c r="K89" s="462">
        <v>22018</v>
      </c>
      <c r="L89" s="10">
        <f t="shared" si="13"/>
        <v>21802.428816169639</v>
      </c>
      <c r="M89" s="14">
        <f t="shared" si="14"/>
        <v>215.57118383036141</v>
      </c>
      <c r="N89" s="2">
        <f t="shared" si="15"/>
        <v>-157.26624707398892</v>
      </c>
      <c r="O89" s="131">
        <f t="shared" si="16"/>
        <v>-157.26624707398892</v>
      </c>
      <c r="P89" s="457">
        <f t="shared" si="17"/>
        <v>-7.2132443774958399E-3</v>
      </c>
      <c r="Q89" s="127"/>
    </row>
    <row r="90" spans="1:17" x14ac:dyDescent="0.25">
      <c r="A90" s="49">
        <f>+'A) Base RI'!A92</f>
        <v>5537</v>
      </c>
      <c r="B90" s="294" t="str">
        <f>+'A) Base RI'!B92</f>
        <v>Villars-le-Terroir</v>
      </c>
      <c r="C90" s="306">
        <f>+'D) Ecrêtage'!C90</f>
        <v>37312.302103659451</v>
      </c>
      <c r="D90" s="458">
        <v>170479</v>
      </c>
      <c r="E90" s="460">
        <v>52819</v>
      </c>
      <c r="F90" s="458">
        <v>105421</v>
      </c>
      <c r="G90" s="306">
        <f t="shared" si="9"/>
        <v>328719</v>
      </c>
      <c r="H90" s="286">
        <f t="shared" si="10"/>
        <v>298498.41682927561</v>
      </c>
      <c r="I90" s="10">
        <f t="shared" si="11"/>
        <v>30220.583170724392</v>
      </c>
      <c r="J90" s="303">
        <f t="shared" si="12"/>
        <v>-22046.906340632147</v>
      </c>
      <c r="K90" s="462">
        <v>16561</v>
      </c>
      <c r="L90" s="10">
        <f t="shared" si="13"/>
        <v>37312.302103659451</v>
      </c>
      <c r="M90" s="14">
        <f t="shared" si="14"/>
        <v>0</v>
      </c>
      <c r="N90" s="2">
        <f t="shared" si="15"/>
        <v>0</v>
      </c>
      <c r="O90" s="131">
        <f t="shared" si="16"/>
        <v>-22046.906340632147</v>
      </c>
      <c r="P90" s="457">
        <f t="shared" si="17"/>
        <v>-0.59087499558141365</v>
      </c>
      <c r="Q90" s="127"/>
    </row>
    <row r="91" spans="1:17" x14ac:dyDescent="0.25">
      <c r="A91" s="49">
        <f>+'A) Base RI'!A93</f>
        <v>5539</v>
      </c>
      <c r="B91" s="294" t="str">
        <f>+'A) Base RI'!B93</f>
        <v>Vuarrens</v>
      </c>
      <c r="C91" s="306">
        <f>+'D) Ecrêtage'!C91</f>
        <v>28863.357859136209</v>
      </c>
      <c r="D91" s="458">
        <v>128213</v>
      </c>
      <c r="E91" s="460">
        <v>46067</v>
      </c>
      <c r="F91" s="458">
        <v>91945</v>
      </c>
      <c r="G91" s="306">
        <f t="shared" si="9"/>
        <v>266225</v>
      </c>
      <c r="H91" s="286">
        <f t="shared" si="10"/>
        <v>230906.86287308967</v>
      </c>
      <c r="I91" s="10">
        <f t="shared" si="11"/>
        <v>35318.137126910326</v>
      </c>
      <c r="J91" s="303">
        <f t="shared" si="12"/>
        <v>-25765.739097877591</v>
      </c>
      <c r="K91" s="462">
        <v>102094</v>
      </c>
      <c r="L91" s="10">
        <f t="shared" si="13"/>
        <v>28863.357859136209</v>
      </c>
      <c r="M91" s="14">
        <f t="shared" si="14"/>
        <v>73230.642140863783</v>
      </c>
      <c r="N91" s="2">
        <f t="shared" si="15"/>
        <v>-53424.154637359818</v>
      </c>
      <c r="O91" s="131">
        <f t="shared" si="16"/>
        <v>-79189.893735237405</v>
      </c>
      <c r="P91" s="457">
        <f t="shared" si="17"/>
        <v>-2.7436133426233074</v>
      </c>
      <c r="Q91" s="127"/>
    </row>
    <row r="92" spans="1:17" x14ac:dyDescent="0.25">
      <c r="A92" s="49">
        <f>+'A) Base RI'!A94</f>
        <v>5540</v>
      </c>
      <c r="B92" s="294" t="str">
        <f>+'A) Base RI'!B94</f>
        <v>Montilliez</v>
      </c>
      <c r="C92" s="306">
        <f>+'D) Ecrêtage'!C92</f>
        <v>59091.740495657374</v>
      </c>
      <c r="D92" s="458">
        <v>1053075</v>
      </c>
      <c r="E92" s="460">
        <v>132506</v>
      </c>
      <c r="F92" s="458">
        <v>158681</v>
      </c>
      <c r="G92" s="306">
        <f t="shared" si="9"/>
        <v>1344262</v>
      </c>
      <c r="H92" s="286">
        <f t="shared" si="10"/>
        <v>472733.92396525899</v>
      </c>
      <c r="I92" s="10">
        <f t="shared" si="11"/>
        <v>871528.07603474101</v>
      </c>
      <c r="J92" s="303">
        <f t="shared" si="12"/>
        <v>-635808.30843075668</v>
      </c>
      <c r="K92" s="462">
        <v>75636</v>
      </c>
      <c r="L92" s="10">
        <f t="shared" si="13"/>
        <v>59091.740495657374</v>
      </c>
      <c r="M92" s="14">
        <f t="shared" si="14"/>
        <v>16544.259504342626</v>
      </c>
      <c r="N92" s="2">
        <f t="shared" si="15"/>
        <v>-12069.579786292788</v>
      </c>
      <c r="O92" s="131">
        <f t="shared" si="16"/>
        <v>-647877.88821704942</v>
      </c>
      <c r="P92" s="457">
        <f t="shared" si="17"/>
        <v>-10.963933077325107</v>
      </c>
      <c r="Q92" s="127"/>
    </row>
    <row r="93" spans="1:17" x14ac:dyDescent="0.25">
      <c r="A93" s="49">
        <f>+'A) Base RI'!A95</f>
        <v>5541</v>
      </c>
      <c r="B93" s="294" t="str">
        <f>+'A) Base RI'!B95</f>
        <v>Goumoëns</v>
      </c>
      <c r="C93" s="306">
        <f>+'D) Ecrêtage'!C93</f>
        <v>35230.967112736034</v>
      </c>
      <c r="D93" s="458">
        <v>197296</v>
      </c>
      <c r="E93" s="460">
        <v>33988</v>
      </c>
      <c r="F93" s="458">
        <v>101754</v>
      </c>
      <c r="G93" s="306">
        <f t="shared" si="9"/>
        <v>333038</v>
      </c>
      <c r="H93" s="286">
        <f t="shared" si="10"/>
        <v>281847.73690188827</v>
      </c>
      <c r="I93" s="10">
        <f t="shared" si="11"/>
        <v>51190.263098111725</v>
      </c>
      <c r="J93" s="303">
        <f t="shared" si="12"/>
        <v>-37344.97543282633</v>
      </c>
      <c r="K93" s="462">
        <v>92915</v>
      </c>
      <c r="L93" s="10">
        <f t="shared" si="13"/>
        <v>35230.967112736034</v>
      </c>
      <c r="M93" s="14">
        <f t="shared" si="14"/>
        <v>57684.032887263966</v>
      </c>
      <c r="N93" s="2">
        <f t="shared" si="15"/>
        <v>-42082.393421429435</v>
      </c>
      <c r="O93" s="131">
        <f t="shared" si="16"/>
        <v>-79427.368854255765</v>
      </c>
      <c r="P93" s="457">
        <f t="shared" si="17"/>
        <v>-2.2544759728024237</v>
      </c>
      <c r="Q93" s="127"/>
    </row>
    <row r="94" spans="1:17" x14ac:dyDescent="0.25">
      <c r="A94" s="49">
        <f>+'A) Base RI'!A96</f>
        <v>5551</v>
      </c>
      <c r="B94" s="294" t="str">
        <f>+'A) Base RI'!B96</f>
        <v>Bonvillars</v>
      </c>
      <c r="C94" s="306">
        <f>+'D) Ecrêtage'!C94</f>
        <v>21415.305138743261</v>
      </c>
      <c r="D94" s="458">
        <v>105809</v>
      </c>
      <c r="E94" s="460">
        <v>30616</v>
      </c>
      <c r="F94" s="458">
        <v>75855</v>
      </c>
      <c r="G94" s="306">
        <f t="shared" si="9"/>
        <v>212280</v>
      </c>
      <c r="H94" s="286">
        <f t="shared" si="10"/>
        <v>171322.44110994608</v>
      </c>
      <c r="I94" s="10">
        <f t="shared" si="11"/>
        <v>40957.558890053915</v>
      </c>
      <c r="J94" s="303">
        <f t="shared" si="12"/>
        <v>-29879.882187869094</v>
      </c>
      <c r="K94" s="462">
        <v>64217</v>
      </c>
      <c r="L94" s="10">
        <f t="shared" si="13"/>
        <v>21415.305138743261</v>
      </c>
      <c r="M94" s="14">
        <f t="shared" si="14"/>
        <v>42801.694861256736</v>
      </c>
      <c r="N94" s="2">
        <f t="shared" si="15"/>
        <v>-31225.239847144363</v>
      </c>
      <c r="O94" s="131">
        <f t="shared" si="16"/>
        <v>-61105.122035013454</v>
      </c>
      <c r="P94" s="457">
        <f t="shared" si="17"/>
        <v>-2.8533388452385768</v>
      </c>
      <c r="Q94" s="127"/>
    </row>
    <row r="95" spans="1:17" x14ac:dyDescent="0.25">
      <c r="A95" s="49">
        <f>+'A) Base RI'!A97</f>
        <v>5552</v>
      </c>
      <c r="B95" s="294" t="str">
        <f>+'A) Base RI'!B97</f>
        <v>Bullet</v>
      </c>
      <c r="C95" s="306">
        <f>+'D) Ecrêtage'!C95</f>
        <v>17732.087898586105</v>
      </c>
      <c r="D95" s="458">
        <v>294704</v>
      </c>
      <c r="E95" s="460">
        <v>40016</v>
      </c>
      <c r="F95" s="458">
        <v>51488</v>
      </c>
      <c r="G95" s="306">
        <f t="shared" si="9"/>
        <v>386208</v>
      </c>
      <c r="H95" s="286">
        <f t="shared" si="10"/>
        <v>141856.70318868884</v>
      </c>
      <c r="I95" s="10">
        <f t="shared" si="11"/>
        <v>244351.29681131116</v>
      </c>
      <c r="J95" s="303">
        <f t="shared" si="12"/>
        <v>-178262.28317889382</v>
      </c>
      <c r="K95" s="462">
        <v>63448</v>
      </c>
      <c r="L95" s="10">
        <f t="shared" si="13"/>
        <v>17732.087898586105</v>
      </c>
      <c r="M95" s="14">
        <f t="shared" si="14"/>
        <v>45715.912101413895</v>
      </c>
      <c r="N95" s="2">
        <f t="shared" si="15"/>
        <v>-33351.256879543682</v>
      </c>
      <c r="O95" s="131">
        <f t="shared" si="16"/>
        <v>-211613.5400584375</v>
      </c>
      <c r="P95" s="457">
        <f t="shared" si="17"/>
        <v>-11.933932499585163</v>
      </c>
      <c r="Q95" s="127"/>
    </row>
    <row r="96" spans="1:17" x14ac:dyDescent="0.25">
      <c r="A96" s="49">
        <f>+'A) Base RI'!A98</f>
        <v>5553</v>
      </c>
      <c r="B96" s="294" t="str">
        <f>+'A) Base RI'!B98</f>
        <v>Champagne</v>
      </c>
      <c r="C96" s="306">
        <f>+'D) Ecrêtage'!C96</f>
        <v>38083.02347761167</v>
      </c>
      <c r="D96" s="458">
        <v>481561</v>
      </c>
      <c r="E96" s="460">
        <v>63520</v>
      </c>
      <c r="F96" s="458">
        <v>168057</v>
      </c>
      <c r="G96" s="306">
        <f t="shared" si="9"/>
        <v>713138</v>
      </c>
      <c r="H96" s="286">
        <f t="shared" si="10"/>
        <v>304664.18782089336</v>
      </c>
      <c r="I96" s="10">
        <f t="shared" si="11"/>
        <v>408473.81217910664</v>
      </c>
      <c r="J96" s="303">
        <f t="shared" si="12"/>
        <v>-297995.03963370627</v>
      </c>
      <c r="K96" s="462">
        <v>33898</v>
      </c>
      <c r="L96" s="10">
        <f t="shared" si="13"/>
        <v>38083.02347761167</v>
      </c>
      <c r="M96" s="14">
        <f t="shared" si="14"/>
        <v>0</v>
      </c>
      <c r="N96" s="2">
        <f t="shared" si="15"/>
        <v>0</v>
      </c>
      <c r="O96" s="131">
        <f t="shared" si="16"/>
        <v>-297995.03963370627</v>
      </c>
      <c r="P96" s="457">
        <f t="shared" si="17"/>
        <v>-7.8248787102970496</v>
      </c>
      <c r="Q96" s="127"/>
    </row>
    <row r="97" spans="1:17" x14ac:dyDescent="0.25">
      <c r="A97" s="49">
        <f>+'A) Base RI'!A99</f>
        <v>5554</v>
      </c>
      <c r="B97" s="294" t="str">
        <f>+'A) Base RI'!B99</f>
        <v>Concise</v>
      </c>
      <c r="C97" s="306">
        <f>+'D) Ecrêtage'!C97</f>
        <v>29757.199499444905</v>
      </c>
      <c r="D97" s="458">
        <v>195838</v>
      </c>
      <c r="E97" s="460">
        <v>79911</v>
      </c>
      <c r="F97" s="458">
        <v>146399</v>
      </c>
      <c r="G97" s="306">
        <f t="shared" si="9"/>
        <v>422148</v>
      </c>
      <c r="H97" s="286">
        <f t="shared" si="10"/>
        <v>238057.59599555924</v>
      </c>
      <c r="I97" s="10">
        <f t="shared" si="11"/>
        <v>184090.40400444076</v>
      </c>
      <c r="J97" s="303">
        <f t="shared" si="12"/>
        <v>-134299.98595218218</v>
      </c>
      <c r="K97" s="462">
        <v>25993</v>
      </c>
      <c r="L97" s="10">
        <f t="shared" si="13"/>
        <v>29757.199499444905</v>
      </c>
      <c r="M97" s="14">
        <f t="shared" si="14"/>
        <v>0</v>
      </c>
      <c r="N97" s="2">
        <f t="shared" si="15"/>
        <v>0</v>
      </c>
      <c r="O97" s="131">
        <f t="shared" si="16"/>
        <v>-134299.98595218218</v>
      </c>
      <c r="P97" s="457">
        <f t="shared" si="17"/>
        <v>-4.5131930494563992</v>
      </c>
      <c r="Q97" s="127"/>
    </row>
    <row r="98" spans="1:17" x14ac:dyDescent="0.25">
      <c r="A98" s="49">
        <f>+'A) Base RI'!A100</f>
        <v>5555</v>
      </c>
      <c r="B98" s="294" t="str">
        <f>+'A) Base RI'!B100</f>
        <v>Corcelles-près-Concise</v>
      </c>
      <c r="C98" s="306">
        <f>+'D) Ecrêtage'!C98</f>
        <v>13026.26930420642</v>
      </c>
      <c r="D98" s="458">
        <v>211816</v>
      </c>
      <c r="E98" s="460">
        <v>23318</v>
      </c>
      <c r="F98" s="458">
        <v>55741</v>
      </c>
      <c r="G98" s="306">
        <f t="shared" si="9"/>
        <v>290875</v>
      </c>
      <c r="H98" s="286">
        <f t="shared" si="10"/>
        <v>104210.15443365136</v>
      </c>
      <c r="I98" s="10">
        <f t="shared" si="11"/>
        <v>186664.84556634864</v>
      </c>
      <c r="J98" s="303">
        <f t="shared" si="12"/>
        <v>-136178.12548622655</v>
      </c>
      <c r="K98" s="462">
        <v>41579</v>
      </c>
      <c r="L98" s="10">
        <f t="shared" si="13"/>
        <v>13026.26930420642</v>
      </c>
      <c r="M98" s="14">
        <f t="shared" si="14"/>
        <v>28552.73069579358</v>
      </c>
      <c r="N98" s="2">
        <f t="shared" si="15"/>
        <v>-20830.15327213371</v>
      </c>
      <c r="O98" s="131">
        <f t="shared" si="16"/>
        <v>-157008.27875836025</v>
      </c>
      <c r="P98" s="457">
        <f t="shared" si="17"/>
        <v>-12.053203806224044</v>
      </c>
      <c r="Q98" s="127"/>
    </row>
    <row r="99" spans="1:17" x14ac:dyDescent="0.25">
      <c r="A99" s="49">
        <f>+'A) Base RI'!A101</f>
        <v>5556</v>
      </c>
      <c r="B99" s="294" t="str">
        <f>+'A) Base RI'!B101</f>
        <v>Fiez</v>
      </c>
      <c r="C99" s="306">
        <f>+'D) Ecrêtage'!C99</f>
        <v>12681.485348367609</v>
      </c>
      <c r="D99" s="458">
        <v>53965</v>
      </c>
      <c r="E99" s="460">
        <v>17524</v>
      </c>
      <c r="F99" s="458">
        <v>77189</v>
      </c>
      <c r="G99" s="306">
        <f t="shared" si="9"/>
        <v>148678</v>
      </c>
      <c r="H99" s="286">
        <f t="shared" si="10"/>
        <v>101451.88278694087</v>
      </c>
      <c r="I99" s="10">
        <f t="shared" si="11"/>
        <v>47226.117213059129</v>
      </c>
      <c r="J99" s="303">
        <f t="shared" si="12"/>
        <v>-34453.00102734824</v>
      </c>
      <c r="K99" s="462">
        <v>-5990</v>
      </c>
      <c r="L99" s="10">
        <f t="shared" si="13"/>
        <v>12681.485348367609</v>
      </c>
      <c r="M99" s="14">
        <f t="shared" si="14"/>
        <v>0</v>
      </c>
      <c r="N99" s="2">
        <f t="shared" si="15"/>
        <v>0</v>
      </c>
      <c r="O99" s="131">
        <f t="shared" si="16"/>
        <v>-34453.00102734824</v>
      </c>
      <c r="P99" s="457">
        <f t="shared" si="17"/>
        <v>-2.7167953974557966</v>
      </c>
      <c r="Q99" s="127"/>
    </row>
    <row r="100" spans="1:17" x14ac:dyDescent="0.25">
      <c r="A100" s="49">
        <f>+'A) Base RI'!A102</f>
        <v>5557</v>
      </c>
      <c r="B100" s="294" t="str">
        <f>+'A) Base RI'!B102</f>
        <v>Fontaines-sur-Grandson</v>
      </c>
      <c r="C100" s="306">
        <f>+'D) Ecrêtage'!C100</f>
        <v>5466.9806268353996</v>
      </c>
      <c r="D100" s="458">
        <v>46730</v>
      </c>
      <c r="E100" s="460">
        <v>8660</v>
      </c>
      <c r="F100" s="458">
        <v>34240</v>
      </c>
      <c r="G100" s="306">
        <f t="shared" si="9"/>
        <v>89630</v>
      </c>
      <c r="H100" s="286">
        <f t="shared" si="10"/>
        <v>43735.845014683196</v>
      </c>
      <c r="I100" s="10">
        <f t="shared" si="11"/>
        <v>45894.154985316804</v>
      </c>
      <c r="J100" s="303">
        <f t="shared" si="12"/>
        <v>-33481.290907844581</v>
      </c>
      <c r="K100" s="462">
        <v>39806</v>
      </c>
      <c r="L100" s="10">
        <f t="shared" si="13"/>
        <v>5466.9806268353996</v>
      </c>
      <c r="M100" s="14">
        <f t="shared" si="14"/>
        <v>34339.0193731646</v>
      </c>
      <c r="N100" s="2">
        <f t="shared" si="15"/>
        <v>-25051.440591745726</v>
      </c>
      <c r="O100" s="131">
        <f t="shared" si="16"/>
        <v>-58532.731499590307</v>
      </c>
      <c r="P100" s="457">
        <f t="shared" si="17"/>
        <v>-10.706592083439007</v>
      </c>
      <c r="Q100" s="127"/>
    </row>
    <row r="101" spans="1:17" x14ac:dyDescent="0.25">
      <c r="A101" s="49">
        <f>+'A) Base RI'!A103</f>
        <v>5559</v>
      </c>
      <c r="B101" s="294" t="str">
        <f>+'A) Base RI'!B103</f>
        <v>Giez</v>
      </c>
      <c r="C101" s="306">
        <f>+'D) Ecrêtage'!C101</f>
        <v>19176.421195753639</v>
      </c>
      <c r="D101" s="458">
        <v>99539</v>
      </c>
      <c r="E101" s="460">
        <v>17359</v>
      </c>
      <c r="F101" s="458">
        <v>57466</v>
      </c>
      <c r="G101" s="306">
        <f t="shared" si="9"/>
        <v>174364</v>
      </c>
      <c r="H101" s="286">
        <f t="shared" si="10"/>
        <v>153411.36956602911</v>
      </c>
      <c r="I101" s="10">
        <f t="shared" si="11"/>
        <v>20952.630433970888</v>
      </c>
      <c r="J101" s="303">
        <f t="shared" si="12"/>
        <v>-15285.630927702647</v>
      </c>
      <c r="K101" s="462">
        <v>13385</v>
      </c>
      <c r="L101" s="10">
        <f t="shared" si="13"/>
        <v>19176.421195753639</v>
      </c>
      <c r="M101" s="14">
        <f t="shared" si="14"/>
        <v>0</v>
      </c>
      <c r="N101" s="2">
        <f t="shared" si="15"/>
        <v>0</v>
      </c>
      <c r="O101" s="131">
        <f t="shared" si="16"/>
        <v>-15285.630927702647</v>
      </c>
      <c r="P101" s="457">
        <f t="shared" si="17"/>
        <v>-0.7971055063750605</v>
      </c>
      <c r="Q101" s="127"/>
    </row>
    <row r="102" spans="1:17" x14ac:dyDescent="0.25">
      <c r="A102" s="49">
        <f>+'A) Base RI'!A104</f>
        <v>5560</v>
      </c>
      <c r="B102" s="294" t="str">
        <f>+'A) Base RI'!B104</f>
        <v>Grandevent</v>
      </c>
      <c r="C102" s="306">
        <f>+'D) Ecrêtage'!C102</f>
        <v>7435.5518015193766</v>
      </c>
      <c r="D102" s="458">
        <v>31352</v>
      </c>
      <c r="E102" s="460">
        <v>9442</v>
      </c>
      <c r="F102" s="458">
        <v>32989</v>
      </c>
      <c r="G102" s="306">
        <f t="shared" si="9"/>
        <v>73783</v>
      </c>
      <c r="H102" s="286">
        <f t="shared" si="10"/>
        <v>59484.414412155013</v>
      </c>
      <c r="I102" s="10">
        <f t="shared" si="11"/>
        <v>14298.585587844987</v>
      </c>
      <c r="J102" s="303">
        <f t="shared" si="12"/>
        <v>-10431.287029699459</v>
      </c>
      <c r="K102" s="462">
        <v>32196</v>
      </c>
      <c r="L102" s="10">
        <f t="shared" si="13"/>
        <v>7435.5518015193766</v>
      </c>
      <c r="M102" s="14">
        <f t="shared" si="14"/>
        <v>24760.448198480623</v>
      </c>
      <c r="N102" s="2">
        <f t="shared" si="15"/>
        <v>-18063.558843324969</v>
      </c>
      <c r="O102" s="131">
        <f t="shared" si="16"/>
        <v>-28494.845873024427</v>
      </c>
      <c r="P102" s="457">
        <f t="shared" si="17"/>
        <v>-3.8322436093043972</v>
      </c>
      <c r="Q102" s="127"/>
    </row>
    <row r="103" spans="1:17" x14ac:dyDescent="0.25">
      <c r="A103" s="49">
        <f>+'A) Base RI'!A105</f>
        <v>5561</v>
      </c>
      <c r="B103" s="294" t="str">
        <f>+'A) Base RI'!B105</f>
        <v>Grandson</v>
      </c>
      <c r="C103" s="306">
        <f>+'D) Ecrêtage'!C103</f>
        <v>121785.01104961828</v>
      </c>
      <c r="D103" s="458">
        <v>1265168</v>
      </c>
      <c r="E103" s="460">
        <v>338527</v>
      </c>
      <c r="F103" s="458">
        <v>468754</v>
      </c>
      <c r="G103" s="306">
        <f t="shared" si="9"/>
        <v>2072449</v>
      </c>
      <c r="H103" s="286">
        <f t="shared" si="10"/>
        <v>974280.0883969462</v>
      </c>
      <c r="I103" s="10">
        <f t="shared" si="11"/>
        <v>1098168.9116030538</v>
      </c>
      <c r="J103" s="303">
        <f t="shared" si="12"/>
        <v>-801150.22941584501</v>
      </c>
      <c r="K103" s="462">
        <v>70237</v>
      </c>
      <c r="L103" s="10">
        <f t="shared" si="13"/>
        <v>121785.01104961828</v>
      </c>
      <c r="M103" s="14">
        <f t="shared" si="14"/>
        <v>0</v>
      </c>
      <c r="N103" s="2">
        <f t="shared" si="15"/>
        <v>0</v>
      </c>
      <c r="O103" s="131">
        <f t="shared" si="16"/>
        <v>-801150.22941584501</v>
      </c>
      <c r="P103" s="457">
        <f t="shared" si="17"/>
        <v>-6.5783976411467933</v>
      </c>
      <c r="Q103" s="127"/>
    </row>
    <row r="104" spans="1:17" x14ac:dyDescent="0.25">
      <c r="A104" s="49">
        <f>+'A) Base RI'!A106</f>
        <v>5562</v>
      </c>
      <c r="B104" s="294" t="str">
        <f>+'A) Base RI'!B106</f>
        <v>Mauborget</v>
      </c>
      <c r="C104" s="306">
        <f>+'D) Ecrêtage'!C104</f>
        <v>5293.9932786811205</v>
      </c>
      <c r="D104" s="458">
        <v>40663</v>
      </c>
      <c r="E104" s="460">
        <v>4907</v>
      </c>
      <c r="F104" s="458">
        <v>7859</v>
      </c>
      <c r="G104" s="306">
        <f t="shared" si="9"/>
        <v>53429</v>
      </c>
      <c r="H104" s="286">
        <f t="shared" si="10"/>
        <v>42351.946229448964</v>
      </c>
      <c r="I104" s="10">
        <f t="shared" si="11"/>
        <v>11077.053770551036</v>
      </c>
      <c r="J104" s="303">
        <f t="shared" si="12"/>
        <v>-8081.0739365897889</v>
      </c>
      <c r="K104" s="462">
        <v>15680</v>
      </c>
      <c r="L104" s="10">
        <f t="shared" si="13"/>
        <v>5293.9932786811205</v>
      </c>
      <c r="M104" s="14">
        <f t="shared" si="14"/>
        <v>10386.006721318879</v>
      </c>
      <c r="N104" s="2">
        <f t="shared" si="15"/>
        <v>-7576.9324550928131</v>
      </c>
      <c r="O104" s="131">
        <f t="shared" si="16"/>
        <v>-15658.006391682602</v>
      </c>
      <c r="P104" s="457">
        <f t="shared" si="17"/>
        <v>-2.9576929110842096</v>
      </c>
      <c r="Q104" s="127"/>
    </row>
    <row r="105" spans="1:17" x14ac:dyDescent="0.25">
      <c r="A105" s="49">
        <f>+'A) Base RI'!A107</f>
        <v>5563</v>
      </c>
      <c r="B105" s="294" t="str">
        <f>+'A) Base RI'!B107</f>
        <v>Mutrux</v>
      </c>
      <c r="C105" s="306">
        <f>+'D) Ecrêtage'!C105</f>
        <v>3292.4675996165679</v>
      </c>
      <c r="D105" s="458">
        <v>28582</v>
      </c>
      <c r="E105" s="460">
        <v>6721</v>
      </c>
      <c r="F105" s="458">
        <v>25469</v>
      </c>
      <c r="G105" s="306">
        <f t="shared" si="9"/>
        <v>60772</v>
      </c>
      <c r="H105" s="286">
        <f t="shared" si="10"/>
        <v>26339.740796932543</v>
      </c>
      <c r="I105" s="10">
        <f t="shared" si="11"/>
        <v>34432.259203067457</v>
      </c>
      <c r="J105" s="303">
        <f t="shared" si="12"/>
        <v>-25119.462104946575</v>
      </c>
      <c r="K105" s="462">
        <v>10405</v>
      </c>
      <c r="L105" s="10">
        <f t="shared" si="13"/>
        <v>3292.4675996165679</v>
      </c>
      <c r="M105" s="14">
        <f t="shared" si="14"/>
        <v>7112.5324003834321</v>
      </c>
      <c r="N105" s="2">
        <f t="shared" si="15"/>
        <v>-5188.8256024083321</v>
      </c>
      <c r="O105" s="131">
        <f t="shared" si="16"/>
        <v>-30308.287707354906</v>
      </c>
      <c r="P105" s="457">
        <f t="shared" si="17"/>
        <v>-9.2053412191161819</v>
      </c>
      <c r="Q105" s="127"/>
    </row>
    <row r="106" spans="1:17" x14ac:dyDescent="0.25">
      <c r="A106" s="49">
        <f>+'A) Base RI'!A108</f>
        <v>5564</v>
      </c>
      <c r="B106" s="294" t="str">
        <f>+'A) Base RI'!B108</f>
        <v>Novalles</v>
      </c>
      <c r="C106" s="306">
        <f>+'D) Ecrêtage'!C106</f>
        <v>2878.9025109575691</v>
      </c>
      <c r="D106" s="458">
        <v>6666</v>
      </c>
      <c r="E106" s="460">
        <v>4165</v>
      </c>
      <c r="F106" s="458">
        <v>16059</v>
      </c>
      <c r="G106" s="306">
        <f t="shared" si="9"/>
        <v>26890</v>
      </c>
      <c r="H106" s="286">
        <f t="shared" si="10"/>
        <v>23031.220087660553</v>
      </c>
      <c r="I106" s="10">
        <f t="shared" si="11"/>
        <v>3858.779912339447</v>
      </c>
      <c r="J106" s="303">
        <f t="shared" si="12"/>
        <v>-2815.1064734870661</v>
      </c>
      <c r="K106" s="462">
        <v>15444</v>
      </c>
      <c r="L106" s="10">
        <f t="shared" si="13"/>
        <v>2878.9025109575691</v>
      </c>
      <c r="M106" s="14">
        <f t="shared" si="14"/>
        <v>12565.097489042431</v>
      </c>
      <c r="N106" s="2">
        <f t="shared" si="15"/>
        <v>-9166.6506214277797</v>
      </c>
      <c r="O106" s="131">
        <f t="shared" si="16"/>
        <v>-11981.757094914847</v>
      </c>
      <c r="P106" s="457">
        <f t="shared" si="17"/>
        <v>-4.1619183175916303</v>
      </c>
      <c r="Q106" s="127"/>
    </row>
    <row r="107" spans="1:17" x14ac:dyDescent="0.25">
      <c r="A107" s="49">
        <f>+'A) Base RI'!A109</f>
        <v>5565</v>
      </c>
      <c r="B107" s="294" t="str">
        <f>+'A) Base RI'!B109</f>
        <v>Onnens</v>
      </c>
      <c r="C107" s="306">
        <f>+'D) Ecrêtage'!C107</f>
        <v>22496.162634074011</v>
      </c>
      <c r="D107" s="458">
        <v>161748</v>
      </c>
      <c r="E107" s="460">
        <v>29503</v>
      </c>
      <c r="F107" s="458">
        <v>71416</v>
      </c>
      <c r="G107" s="306">
        <f t="shared" si="9"/>
        <v>262667</v>
      </c>
      <c r="H107" s="286">
        <f t="shared" si="10"/>
        <v>179969.30107259209</v>
      </c>
      <c r="I107" s="10">
        <f t="shared" si="11"/>
        <v>82697.69892740791</v>
      </c>
      <c r="J107" s="303">
        <f t="shared" si="12"/>
        <v>-60330.682983132348</v>
      </c>
      <c r="K107" s="462">
        <v>54860</v>
      </c>
      <c r="L107" s="10">
        <f t="shared" si="13"/>
        <v>22496.162634074011</v>
      </c>
      <c r="M107" s="14">
        <f t="shared" si="14"/>
        <v>32363.837365925989</v>
      </c>
      <c r="N107" s="2">
        <f t="shared" si="15"/>
        <v>-23610.480552249319</v>
      </c>
      <c r="O107" s="131">
        <f t="shared" si="16"/>
        <v>-83941.163535381667</v>
      </c>
      <c r="P107" s="457">
        <f t="shared" si="17"/>
        <v>-3.7313547603998667</v>
      </c>
      <c r="Q107" s="127"/>
    </row>
    <row r="108" spans="1:17" x14ac:dyDescent="0.25">
      <c r="A108" s="49">
        <f>+'A) Base RI'!A110</f>
        <v>5566</v>
      </c>
      <c r="B108" s="294" t="str">
        <f>+'A) Base RI'!B110</f>
        <v>Provence</v>
      </c>
      <c r="C108" s="306">
        <f>+'D) Ecrêtage'!C108</f>
        <v>8235.6819296483191</v>
      </c>
      <c r="D108" s="458">
        <v>173912</v>
      </c>
      <c r="E108" s="460">
        <v>15999</v>
      </c>
      <c r="F108" s="458">
        <v>40727</v>
      </c>
      <c r="G108" s="306">
        <f t="shared" si="9"/>
        <v>230638</v>
      </c>
      <c r="H108" s="286">
        <f t="shared" si="10"/>
        <v>65885.455437186552</v>
      </c>
      <c r="I108" s="10">
        <f t="shared" si="11"/>
        <v>164752.54456281345</v>
      </c>
      <c r="J108" s="303">
        <f t="shared" si="12"/>
        <v>-120192.38341091569</v>
      </c>
      <c r="K108" s="462">
        <v>13641</v>
      </c>
      <c r="L108" s="10">
        <f t="shared" si="13"/>
        <v>8235.6819296483191</v>
      </c>
      <c r="M108" s="14">
        <f t="shared" si="14"/>
        <v>5405.3180703516809</v>
      </c>
      <c r="N108" s="2">
        <f t="shared" si="15"/>
        <v>-3943.3567699585019</v>
      </c>
      <c r="O108" s="131">
        <f t="shared" si="16"/>
        <v>-124135.74018087419</v>
      </c>
      <c r="P108" s="457">
        <f t="shared" si="17"/>
        <v>-15.072915787821719</v>
      </c>
      <c r="Q108" s="127"/>
    </row>
    <row r="109" spans="1:17" x14ac:dyDescent="0.25">
      <c r="A109" s="49">
        <f>+'A) Base RI'!A111</f>
        <v>5568</v>
      </c>
      <c r="B109" s="294" t="str">
        <f>+'A) Base RI'!B111</f>
        <v>Sainte-Croix</v>
      </c>
      <c r="C109" s="306">
        <f>+'D) Ecrêtage'!C109</f>
        <v>101939.03540611925</v>
      </c>
      <c r="D109" s="458">
        <v>1626877</v>
      </c>
      <c r="E109" s="460">
        <v>507069</v>
      </c>
      <c r="F109" s="458">
        <v>156555</v>
      </c>
      <c r="G109" s="306">
        <f t="shared" si="9"/>
        <v>2290501</v>
      </c>
      <c r="H109" s="286">
        <f t="shared" si="10"/>
        <v>815512.28324895399</v>
      </c>
      <c r="I109" s="10">
        <f t="shared" si="11"/>
        <v>1474988.716751046</v>
      </c>
      <c r="J109" s="303">
        <f t="shared" si="12"/>
        <v>-1076052.6330015236</v>
      </c>
      <c r="K109" s="462">
        <v>80616</v>
      </c>
      <c r="L109" s="10">
        <f t="shared" si="13"/>
        <v>101939.03540611925</v>
      </c>
      <c r="M109" s="14">
        <f t="shared" si="14"/>
        <v>0</v>
      </c>
      <c r="N109" s="2">
        <f t="shared" si="15"/>
        <v>0</v>
      </c>
      <c r="O109" s="131">
        <f t="shared" si="16"/>
        <v>-1076052.6330015236</v>
      </c>
      <c r="P109" s="457">
        <f t="shared" si="17"/>
        <v>-10.555844762652422</v>
      </c>
      <c r="Q109" s="127"/>
    </row>
    <row r="110" spans="1:17" x14ac:dyDescent="0.25">
      <c r="A110" s="49">
        <f>+'A) Base RI'!A112</f>
        <v>5571</v>
      </c>
      <c r="B110" s="294" t="str">
        <f>+'A) Base RI'!B112</f>
        <v>Tévenon</v>
      </c>
      <c r="C110" s="306">
        <f>+'D) Ecrêtage'!C110</f>
        <v>22492.192645834311</v>
      </c>
      <c r="D110" s="458">
        <v>167957</v>
      </c>
      <c r="E110" s="460">
        <v>34760</v>
      </c>
      <c r="F110" s="458">
        <v>130349</v>
      </c>
      <c r="G110" s="306">
        <f t="shared" si="9"/>
        <v>333066</v>
      </c>
      <c r="H110" s="286">
        <f t="shared" si="10"/>
        <v>179937.54116667449</v>
      </c>
      <c r="I110" s="10">
        <f t="shared" si="11"/>
        <v>153128.45883332551</v>
      </c>
      <c r="J110" s="303">
        <f t="shared" si="12"/>
        <v>-111712.23172338106</v>
      </c>
      <c r="K110" s="462">
        <v>30995</v>
      </c>
      <c r="L110" s="10">
        <f t="shared" si="13"/>
        <v>22492.192645834311</v>
      </c>
      <c r="M110" s="14">
        <f t="shared" si="14"/>
        <v>8502.8073541656886</v>
      </c>
      <c r="N110" s="2">
        <f t="shared" si="15"/>
        <v>-6203.0767676028181</v>
      </c>
      <c r="O110" s="131">
        <f t="shared" si="16"/>
        <v>-117915.30849098388</v>
      </c>
      <c r="P110" s="457">
        <f t="shared" si="17"/>
        <v>-5.2424994907209506</v>
      </c>
      <c r="Q110" s="127"/>
    </row>
    <row r="111" spans="1:17" x14ac:dyDescent="0.25">
      <c r="A111" s="49">
        <f>+'A) Base RI'!A113</f>
        <v>5581</v>
      </c>
      <c r="B111" s="294" t="str">
        <f>+'A) Base RI'!B113</f>
        <v>Belmont-sur-Lausanne</v>
      </c>
      <c r="C111" s="306">
        <f>+'D) Ecrêtage'!C111</f>
        <v>185422.93708910214</v>
      </c>
      <c r="D111" s="458">
        <v>1093791</v>
      </c>
      <c r="E111" s="460">
        <v>1232408</v>
      </c>
      <c r="F111" s="458">
        <v>228277</v>
      </c>
      <c r="G111" s="306">
        <f t="shared" si="9"/>
        <v>2554476</v>
      </c>
      <c r="H111" s="286">
        <f t="shared" si="10"/>
        <v>1483383.4967128171</v>
      </c>
      <c r="I111" s="10">
        <f t="shared" si="11"/>
        <v>1071092.5032871829</v>
      </c>
      <c r="J111" s="303">
        <f t="shared" si="12"/>
        <v>-781397.10172772664</v>
      </c>
      <c r="K111" s="462">
        <v>-201</v>
      </c>
      <c r="L111" s="10">
        <f t="shared" si="13"/>
        <v>185422.93708910214</v>
      </c>
      <c r="M111" s="14">
        <f t="shared" si="14"/>
        <v>0</v>
      </c>
      <c r="N111" s="2">
        <f t="shared" si="15"/>
        <v>0</v>
      </c>
      <c r="O111" s="131">
        <f t="shared" si="16"/>
        <v>-781397.10172772664</v>
      </c>
      <c r="P111" s="457">
        <f t="shared" si="17"/>
        <v>-4.2141339900804091</v>
      </c>
      <c r="Q111" s="127"/>
    </row>
    <row r="112" spans="1:17" x14ac:dyDescent="0.25">
      <c r="A112" s="49">
        <f>+'A) Base RI'!A114</f>
        <v>5582</v>
      </c>
      <c r="B112" s="294" t="str">
        <f>+'A) Base RI'!B114</f>
        <v>Cheseaux-sur-Lausanne</v>
      </c>
      <c r="C112" s="306">
        <f>+'D) Ecrêtage'!C112</f>
        <v>172785.13258345879</v>
      </c>
      <c r="D112" s="458">
        <v>1160388</v>
      </c>
      <c r="E112" s="460">
        <v>392327</v>
      </c>
      <c r="F112" s="458">
        <v>199210</v>
      </c>
      <c r="G112" s="306">
        <f t="shared" si="9"/>
        <v>1751925</v>
      </c>
      <c r="H112" s="286">
        <f t="shared" si="10"/>
        <v>1382281.0606676703</v>
      </c>
      <c r="I112" s="10">
        <f t="shared" si="11"/>
        <v>369643.93933232967</v>
      </c>
      <c r="J112" s="303">
        <f t="shared" si="12"/>
        <v>-269667.37418015348</v>
      </c>
      <c r="K112" s="462">
        <v>69080</v>
      </c>
      <c r="L112" s="10">
        <f t="shared" si="13"/>
        <v>172785.13258345879</v>
      </c>
      <c r="M112" s="14">
        <f t="shared" si="14"/>
        <v>0</v>
      </c>
      <c r="N112" s="2">
        <f t="shared" si="15"/>
        <v>0</v>
      </c>
      <c r="O112" s="131">
        <f t="shared" si="16"/>
        <v>-269667.37418015348</v>
      </c>
      <c r="P112" s="457">
        <f t="shared" si="17"/>
        <v>-1.5607093628261017</v>
      </c>
      <c r="Q112" s="127"/>
    </row>
    <row r="113" spans="1:17" x14ac:dyDescent="0.25">
      <c r="A113" s="49">
        <f>+'A) Base RI'!A115</f>
        <v>5583</v>
      </c>
      <c r="B113" s="294" t="str">
        <f>+'A) Base RI'!B115</f>
        <v>Crissier</v>
      </c>
      <c r="C113" s="306">
        <f>+'D) Ecrêtage'!C113</f>
        <v>311434.56630958844</v>
      </c>
      <c r="D113" s="458">
        <v>2121797</v>
      </c>
      <c r="E113" s="460">
        <v>3242449</v>
      </c>
      <c r="F113" s="458">
        <v>301679</v>
      </c>
      <c r="G113" s="306">
        <f t="shared" si="9"/>
        <v>5665925</v>
      </c>
      <c r="H113" s="286">
        <f t="shared" si="10"/>
        <v>2491476.5304767075</v>
      </c>
      <c r="I113" s="10">
        <f t="shared" si="11"/>
        <v>3174448.4695232925</v>
      </c>
      <c r="J113" s="303">
        <f t="shared" si="12"/>
        <v>-2315864.2470718906</v>
      </c>
      <c r="K113" s="462">
        <v>81302</v>
      </c>
      <c r="L113" s="10">
        <f t="shared" si="13"/>
        <v>311434.56630958844</v>
      </c>
      <c r="M113" s="14">
        <f t="shared" si="14"/>
        <v>0</v>
      </c>
      <c r="N113" s="2">
        <f t="shared" si="15"/>
        <v>0</v>
      </c>
      <c r="O113" s="131">
        <f t="shared" si="16"/>
        <v>-2315864.2470718906</v>
      </c>
      <c r="P113" s="457">
        <f t="shared" si="17"/>
        <v>-7.4361182013744562</v>
      </c>
      <c r="Q113" s="127"/>
    </row>
    <row r="114" spans="1:17" x14ac:dyDescent="0.25">
      <c r="A114" s="49">
        <f>+'A) Base RI'!A116</f>
        <v>5584</v>
      </c>
      <c r="B114" s="294" t="str">
        <f>+'A) Base RI'!B116</f>
        <v>Epalinges</v>
      </c>
      <c r="C114" s="306">
        <f>+'D) Ecrêtage'!C114</f>
        <v>462898.41144046158</v>
      </c>
      <c r="D114" s="458">
        <v>4076678</v>
      </c>
      <c r="E114" s="460">
        <v>3569317</v>
      </c>
      <c r="F114" s="458">
        <v>721367</v>
      </c>
      <c r="G114" s="306">
        <f t="shared" si="9"/>
        <v>8367362</v>
      </c>
      <c r="H114" s="286">
        <f t="shared" si="10"/>
        <v>3703187.2915236927</v>
      </c>
      <c r="I114" s="10">
        <f t="shared" si="11"/>
        <v>4664174.7084763069</v>
      </c>
      <c r="J114" s="303">
        <f t="shared" si="12"/>
        <v>-3402668.3857556256</v>
      </c>
      <c r="K114" s="462">
        <v>354961</v>
      </c>
      <c r="L114" s="10">
        <f t="shared" si="13"/>
        <v>462898.41144046158</v>
      </c>
      <c r="M114" s="14">
        <f t="shared" si="14"/>
        <v>0</v>
      </c>
      <c r="N114" s="2">
        <f t="shared" si="15"/>
        <v>0</v>
      </c>
      <c r="O114" s="131">
        <f t="shared" si="16"/>
        <v>-3402668.3857556256</v>
      </c>
      <c r="P114" s="457">
        <f t="shared" si="17"/>
        <v>-7.3507886431649156</v>
      </c>
      <c r="Q114" s="127"/>
    </row>
    <row r="115" spans="1:17" x14ac:dyDescent="0.25">
      <c r="A115" s="49">
        <f>+'A) Base RI'!A117</f>
        <v>5585</v>
      </c>
      <c r="B115" s="294" t="str">
        <f>+'A) Base RI'!B117</f>
        <v>Jouxtens-Mézery</v>
      </c>
      <c r="C115" s="306">
        <f>+'D) Ecrêtage'!C115</f>
        <v>219524.13851096807</v>
      </c>
      <c r="D115" s="458">
        <v>348876</v>
      </c>
      <c r="E115" s="460">
        <v>112451</v>
      </c>
      <c r="F115" s="458">
        <v>42880</v>
      </c>
      <c r="G115" s="306">
        <f t="shared" si="9"/>
        <v>504207</v>
      </c>
      <c r="H115" s="286">
        <f t="shared" si="10"/>
        <v>1756193.1080877446</v>
      </c>
      <c r="I115" s="10">
        <f t="shared" si="11"/>
        <v>0</v>
      </c>
      <c r="J115" s="303">
        <f t="shared" si="12"/>
        <v>0</v>
      </c>
      <c r="K115" s="462">
        <v>18163</v>
      </c>
      <c r="L115" s="10">
        <f t="shared" si="13"/>
        <v>219524.13851096807</v>
      </c>
      <c r="M115" s="14">
        <f t="shared" si="14"/>
        <v>0</v>
      </c>
      <c r="N115" s="2">
        <f t="shared" si="15"/>
        <v>0</v>
      </c>
      <c r="O115" s="131">
        <f t="shared" si="16"/>
        <v>0</v>
      </c>
      <c r="P115" s="457">
        <f t="shared" si="17"/>
        <v>0</v>
      </c>
      <c r="Q115" s="127"/>
    </row>
    <row r="116" spans="1:17" x14ac:dyDescent="0.25">
      <c r="A116" s="49">
        <f>+'A) Base RI'!A118</f>
        <v>5586</v>
      </c>
      <c r="B116" s="294" t="str">
        <f>+'A) Base RI'!B118</f>
        <v>Lausanne</v>
      </c>
      <c r="C116" s="306">
        <f>+'D) Ecrêtage'!C116</f>
        <v>5631743.9365920834</v>
      </c>
      <c r="D116" s="458">
        <v>61788658</v>
      </c>
      <c r="E116" s="460">
        <v>55212587</v>
      </c>
      <c r="F116" s="458">
        <v>1343430</v>
      </c>
      <c r="G116" s="306">
        <f t="shared" si="9"/>
        <v>118344675</v>
      </c>
      <c r="H116" s="286">
        <f t="shared" si="10"/>
        <v>45053951.492736667</v>
      </c>
      <c r="I116" s="10">
        <f t="shared" si="11"/>
        <v>73290723.507263333</v>
      </c>
      <c r="J116" s="303">
        <f t="shared" si="12"/>
        <v>-53467985.964185812</v>
      </c>
      <c r="K116" s="462">
        <v>2088819</v>
      </c>
      <c r="L116" s="10">
        <f t="shared" si="13"/>
        <v>5631743.9365920834</v>
      </c>
      <c r="M116" s="14">
        <f t="shared" si="14"/>
        <v>0</v>
      </c>
      <c r="N116" s="2">
        <f t="shared" si="15"/>
        <v>0</v>
      </c>
      <c r="O116" s="131">
        <f t="shared" si="16"/>
        <v>-53467985.964185812</v>
      </c>
      <c r="P116" s="457">
        <f t="shared" si="17"/>
        <v>-9.4940371164212944</v>
      </c>
      <c r="Q116" s="127"/>
    </row>
    <row r="117" spans="1:17" x14ac:dyDescent="0.25">
      <c r="A117" s="49">
        <f>+'A) Base RI'!A119</f>
        <v>5587</v>
      </c>
      <c r="B117" s="294" t="str">
        <f>+'A) Base RI'!B119</f>
        <v>Le Mont-sur-Lausanne</v>
      </c>
      <c r="C117" s="306">
        <f>+'D) Ecrêtage'!C117</f>
        <v>419159.15757031104</v>
      </c>
      <c r="D117" s="458">
        <v>3705556</v>
      </c>
      <c r="E117" s="460">
        <v>2273284</v>
      </c>
      <c r="F117" s="458">
        <v>665193</v>
      </c>
      <c r="G117" s="306">
        <f t="shared" si="9"/>
        <v>6644033</v>
      </c>
      <c r="H117" s="286">
        <f t="shared" si="10"/>
        <v>3353273.2605624883</v>
      </c>
      <c r="I117" s="10">
        <f t="shared" si="11"/>
        <v>3290759.7394375117</v>
      </c>
      <c r="J117" s="303">
        <f t="shared" si="12"/>
        <v>-2400717.1322618397</v>
      </c>
      <c r="K117" s="462">
        <v>29114</v>
      </c>
      <c r="L117" s="10">
        <f t="shared" si="13"/>
        <v>419159.15757031104</v>
      </c>
      <c r="M117" s="14">
        <f t="shared" si="14"/>
        <v>0</v>
      </c>
      <c r="N117" s="2">
        <f t="shared" si="15"/>
        <v>0</v>
      </c>
      <c r="O117" s="131">
        <f t="shared" si="16"/>
        <v>-2400717.1322618397</v>
      </c>
      <c r="P117" s="457">
        <f t="shared" si="17"/>
        <v>-5.7274595792628871</v>
      </c>
      <c r="Q117" s="127"/>
    </row>
    <row r="118" spans="1:17" x14ac:dyDescent="0.25">
      <c r="A118" s="49">
        <f>+'A) Base RI'!A120</f>
        <v>5588</v>
      </c>
      <c r="B118" s="294" t="str">
        <f>+'A) Base RI'!B120</f>
        <v>Paudex</v>
      </c>
      <c r="C118" s="306">
        <f>+'D) Ecrêtage'!C118</f>
        <v>128424.0019189813</v>
      </c>
      <c r="D118" s="458">
        <v>147079</v>
      </c>
      <c r="E118" s="460">
        <v>577088</v>
      </c>
      <c r="F118" s="458">
        <v>32173</v>
      </c>
      <c r="G118" s="306">
        <f t="shared" si="9"/>
        <v>756340</v>
      </c>
      <c r="H118" s="286">
        <f t="shared" si="10"/>
        <v>1027392.0153518504</v>
      </c>
      <c r="I118" s="10">
        <f t="shared" si="11"/>
        <v>0</v>
      </c>
      <c r="J118" s="303">
        <f t="shared" si="12"/>
        <v>0</v>
      </c>
      <c r="K118" s="462">
        <v>639</v>
      </c>
      <c r="L118" s="10">
        <f t="shared" si="13"/>
        <v>128424.0019189813</v>
      </c>
      <c r="M118" s="14">
        <f t="shared" si="14"/>
        <v>0</v>
      </c>
      <c r="N118" s="2">
        <f t="shared" si="15"/>
        <v>0</v>
      </c>
      <c r="O118" s="131">
        <f t="shared" si="16"/>
        <v>0</v>
      </c>
      <c r="P118" s="457">
        <f t="shared" si="17"/>
        <v>0</v>
      </c>
      <c r="Q118" s="127"/>
    </row>
    <row r="119" spans="1:17" x14ac:dyDescent="0.25">
      <c r="A119" s="49">
        <f>+'A) Base RI'!A121</f>
        <v>5589</v>
      </c>
      <c r="B119" s="294" t="str">
        <f>+'A) Base RI'!B121</f>
        <v>Prilly</v>
      </c>
      <c r="C119" s="306">
        <f>+'D) Ecrêtage'!C119</f>
        <v>381105.28464677284</v>
      </c>
      <c r="D119" s="458">
        <v>2933747</v>
      </c>
      <c r="E119" s="460">
        <v>3633828</v>
      </c>
      <c r="F119" s="458">
        <v>143148</v>
      </c>
      <c r="G119" s="306">
        <f t="shared" si="9"/>
        <v>6710723</v>
      </c>
      <c r="H119" s="286">
        <f t="shared" si="10"/>
        <v>3048842.2771741827</v>
      </c>
      <c r="I119" s="10">
        <f t="shared" si="11"/>
        <v>3661880.7228258173</v>
      </c>
      <c r="J119" s="303">
        <f t="shared" si="12"/>
        <v>-2671462.0585123529</v>
      </c>
      <c r="K119" s="462">
        <v>22821</v>
      </c>
      <c r="L119" s="10">
        <f t="shared" si="13"/>
        <v>381105.28464677284</v>
      </c>
      <c r="M119" s="14">
        <f t="shared" si="14"/>
        <v>0</v>
      </c>
      <c r="N119" s="2">
        <f t="shared" si="15"/>
        <v>0</v>
      </c>
      <c r="O119" s="131">
        <f t="shared" si="16"/>
        <v>-2671462.0585123529</v>
      </c>
      <c r="P119" s="457">
        <f t="shared" si="17"/>
        <v>-7.0097743750480808</v>
      </c>
      <c r="Q119" s="127"/>
    </row>
    <row r="120" spans="1:17" x14ac:dyDescent="0.25">
      <c r="A120" s="49">
        <f>+'A) Base RI'!A122</f>
        <v>5590</v>
      </c>
      <c r="B120" s="294" t="str">
        <f>+'A) Base RI'!B122</f>
        <v>Pully</v>
      </c>
      <c r="C120" s="306">
        <f>+'D) Ecrêtage'!C120</f>
        <v>1400746.467371441</v>
      </c>
      <c r="D120" s="458">
        <v>5585621</v>
      </c>
      <c r="E120" s="460">
        <v>8339666</v>
      </c>
      <c r="F120" s="458">
        <v>337527</v>
      </c>
      <c r="G120" s="306">
        <f t="shared" si="9"/>
        <v>14262814</v>
      </c>
      <c r="H120" s="286">
        <f t="shared" si="10"/>
        <v>11205971.738971528</v>
      </c>
      <c r="I120" s="10">
        <f t="shared" si="11"/>
        <v>3056842.2610284723</v>
      </c>
      <c r="J120" s="303">
        <f t="shared" si="12"/>
        <v>-2230066.6617270145</v>
      </c>
      <c r="K120" s="462">
        <v>566177</v>
      </c>
      <c r="L120" s="10">
        <f t="shared" si="13"/>
        <v>1400746.467371441</v>
      </c>
      <c r="M120" s="14">
        <f t="shared" si="14"/>
        <v>0</v>
      </c>
      <c r="N120" s="2">
        <f t="shared" si="15"/>
        <v>0</v>
      </c>
      <c r="O120" s="131">
        <f t="shared" si="16"/>
        <v>-2230066.6617270145</v>
      </c>
      <c r="P120" s="457">
        <f t="shared" si="17"/>
        <v>-1.5920558885376506</v>
      </c>
      <c r="Q120" s="127"/>
    </row>
    <row r="121" spans="1:17" x14ac:dyDescent="0.25">
      <c r="A121" s="49">
        <f>+'A) Base RI'!A123</f>
        <v>5591</v>
      </c>
      <c r="B121" s="294" t="str">
        <f>+'A) Base RI'!B123</f>
        <v>Renens</v>
      </c>
      <c r="C121" s="306">
        <f>+'D) Ecrêtage'!C121</f>
        <v>542865.69746271567</v>
      </c>
      <c r="D121" s="458">
        <v>4271712</v>
      </c>
      <c r="E121" s="460">
        <v>8019219</v>
      </c>
      <c r="F121" s="458">
        <v>171497</v>
      </c>
      <c r="G121" s="306">
        <f t="shared" si="9"/>
        <v>12462428</v>
      </c>
      <c r="H121" s="286">
        <f t="shared" si="10"/>
        <v>4342925.5797017254</v>
      </c>
      <c r="I121" s="10">
        <f t="shared" si="11"/>
        <v>8119502.4202982746</v>
      </c>
      <c r="J121" s="303">
        <f t="shared" si="12"/>
        <v>-5923443.249972241</v>
      </c>
      <c r="K121" s="462">
        <v>29280</v>
      </c>
      <c r="L121" s="10">
        <f t="shared" si="13"/>
        <v>542865.69746271567</v>
      </c>
      <c r="M121" s="14">
        <f t="shared" si="14"/>
        <v>0</v>
      </c>
      <c r="N121" s="2">
        <f t="shared" si="15"/>
        <v>0</v>
      </c>
      <c r="O121" s="131">
        <f t="shared" si="16"/>
        <v>-5923443.249972241</v>
      </c>
      <c r="P121" s="457">
        <f t="shared" si="17"/>
        <v>-10.911434039132795</v>
      </c>
      <c r="Q121" s="127"/>
    </row>
    <row r="122" spans="1:17" x14ac:dyDescent="0.25">
      <c r="A122" s="49">
        <f>+'A) Base RI'!A124</f>
        <v>5592</v>
      </c>
      <c r="B122" s="294" t="str">
        <f>+'A) Base RI'!B124</f>
        <v>Romanel-sur-Lausanne</v>
      </c>
      <c r="C122" s="306">
        <f>+'D) Ecrêtage'!C122</f>
        <v>113665.67141569764</v>
      </c>
      <c r="D122" s="458">
        <v>949810</v>
      </c>
      <c r="E122" s="460">
        <v>252612</v>
      </c>
      <c r="F122" s="458">
        <v>31662</v>
      </c>
      <c r="G122" s="306">
        <f t="shared" si="9"/>
        <v>1234084</v>
      </c>
      <c r="H122" s="286">
        <f t="shared" si="10"/>
        <v>909325.3713255811</v>
      </c>
      <c r="I122" s="10">
        <f t="shared" si="11"/>
        <v>324758.6286744189</v>
      </c>
      <c r="J122" s="303">
        <f t="shared" si="12"/>
        <v>-236922.06828864524</v>
      </c>
      <c r="K122" s="462">
        <v>9069</v>
      </c>
      <c r="L122" s="10">
        <f t="shared" si="13"/>
        <v>113665.67141569764</v>
      </c>
      <c r="M122" s="14">
        <f t="shared" si="14"/>
        <v>0</v>
      </c>
      <c r="N122" s="2">
        <f t="shared" si="15"/>
        <v>0</v>
      </c>
      <c r="O122" s="131">
        <f t="shared" si="16"/>
        <v>-236922.06828864524</v>
      </c>
      <c r="P122" s="457">
        <f t="shared" si="17"/>
        <v>-2.0843766225791671</v>
      </c>
      <c r="Q122" s="127"/>
    </row>
    <row r="123" spans="1:17" x14ac:dyDescent="0.25">
      <c r="A123" s="49">
        <f>+'A) Base RI'!A125</f>
        <v>5601</v>
      </c>
      <c r="B123" s="294" t="str">
        <f>+'A) Base RI'!B125</f>
        <v>Chexbres</v>
      </c>
      <c r="C123" s="306">
        <f>+'D) Ecrêtage'!C123</f>
        <v>102425.76498358055</v>
      </c>
      <c r="D123" s="458">
        <v>686084</v>
      </c>
      <c r="E123" s="460">
        <v>152906</v>
      </c>
      <c r="F123" s="458">
        <v>294344</v>
      </c>
      <c r="G123" s="306">
        <f t="shared" si="9"/>
        <v>1133334</v>
      </c>
      <c r="H123" s="286">
        <f t="shared" si="10"/>
        <v>819406.1198686444</v>
      </c>
      <c r="I123" s="10">
        <f t="shared" si="11"/>
        <v>313927.8801313556</v>
      </c>
      <c r="J123" s="303">
        <f t="shared" si="12"/>
        <v>-229020.6820917312</v>
      </c>
      <c r="K123" s="462">
        <v>22302</v>
      </c>
      <c r="L123" s="10">
        <f t="shared" si="13"/>
        <v>102425.76498358055</v>
      </c>
      <c r="M123" s="14">
        <f t="shared" si="14"/>
        <v>0</v>
      </c>
      <c r="N123" s="2">
        <f t="shared" si="15"/>
        <v>0</v>
      </c>
      <c r="O123" s="131">
        <f t="shared" si="16"/>
        <v>-229020.6820917312</v>
      </c>
      <c r="P123" s="457">
        <f t="shared" si="17"/>
        <v>-2.2359675041572262</v>
      </c>
      <c r="Q123" s="127"/>
    </row>
    <row r="124" spans="1:17" x14ac:dyDescent="0.25">
      <c r="A124" s="49">
        <f>+'A) Base RI'!A126</f>
        <v>5604</v>
      </c>
      <c r="B124" s="294" t="str">
        <f>+'A) Base RI'!B126</f>
        <v>Forel (Lavaux)</v>
      </c>
      <c r="C124" s="306">
        <f>+'D) Ecrêtage'!C124</f>
        <v>73155.644895461912</v>
      </c>
      <c r="D124" s="458">
        <v>672515</v>
      </c>
      <c r="E124" s="460">
        <v>95717</v>
      </c>
      <c r="F124" s="458">
        <v>259597</v>
      </c>
      <c r="G124" s="306">
        <f t="shared" si="9"/>
        <v>1027829</v>
      </c>
      <c r="H124" s="286">
        <f t="shared" si="10"/>
        <v>585245.15916369529</v>
      </c>
      <c r="I124" s="10">
        <f t="shared" si="11"/>
        <v>442583.84083630471</v>
      </c>
      <c r="J124" s="303">
        <f t="shared" si="12"/>
        <v>-322879.423989665</v>
      </c>
      <c r="K124" s="462">
        <v>65459</v>
      </c>
      <c r="L124" s="10">
        <f t="shared" si="13"/>
        <v>73155.644895461912</v>
      </c>
      <c r="M124" s="14">
        <f t="shared" si="14"/>
        <v>0</v>
      </c>
      <c r="N124" s="2">
        <f t="shared" si="15"/>
        <v>0</v>
      </c>
      <c r="O124" s="131">
        <f t="shared" si="16"/>
        <v>-322879.423989665</v>
      </c>
      <c r="P124" s="457">
        <f t="shared" si="17"/>
        <v>-4.4135954846827454</v>
      </c>
      <c r="Q124" s="127"/>
    </row>
    <row r="125" spans="1:17" x14ac:dyDescent="0.25">
      <c r="A125" s="49">
        <f>+'A) Base RI'!A127</f>
        <v>5606</v>
      </c>
      <c r="B125" s="294" t="str">
        <f>+'A) Base RI'!B127</f>
        <v>Lutry</v>
      </c>
      <c r="C125" s="306">
        <f>+'D) Ecrêtage'!C125</f>
        <v>811441.75973886927</v>
      </c>
      <c r="D125" s="458">
        <v>4646251</v>
      </c>
      <c r="E125" s="460">
        <v>3119835</v>
      </c>
      <c r="F125" s="458">
        <v>1630882</v>
      </c>
      <c r="G125" s="306">
        <f t="shared" si="9"/>
        <v>9396968</v>
      </c>
      <c r="H125" s="286">
        <f t="shared" si="10"/>
        <v>6491534.0779109541</v>
      </c>
      <c r="I125" s="10">
        <f t="shared" si="11"/>
        <v>2905433.9220890459</v>
      </c>
      <c r="J125" s="303">
        <f t="shared" si="12"/>
        <v>-2119609.3138680914</v>
      </c>
      <c r="K125" s="462">
        <v>317312</v>
      </c>
      <c r="L125" s="10">
        <f t="shared" si="13"/>
        <v>811441.75973886927</v>
      </c>
      <c r="M125" s="14">
        <f t="shared" si="14"/>
        <v>0</v>
      </c>
      <c r="N125" s="2">
        <f t="shared" si="15"/>
        <v>0</v>
      </c>
      <c r="O125" s="131">
        <f t="shared" si="16"/>
        <v>-2119609.3138680914</v>
      </c>
      <c r="P125" s="457">
        <f t="shared" si="17"/>
        <v>-2.6121521211210581</v>
      </c>
      <c r="Q125" s="127"/>
    </row>
    <row r="126" spans="1:17" x14ac:dyDescent="0.25">
      <c r="A126" s="49">
        <f>+'A) Base RI'!A128</f>
        <v>5607</v>
      </c>
      <c r="B126" s="294" t="str">
        <f>+'A) Base RI'!B128</f>
        <v>Puidoux</v>
      </c>
      <c r="C126" s="306">
        <f>+'D) Ecrêtage'!C126</f>
        <v>106681.90706629901</v>
      </c>
      <c r="D126" s="458">
        <v>1254625</v>
      </c>
      <c r="E126" s="460">
        <v>246688</v>
      </c>
      <c r="F126" s="458">
        <v>420410</v>
      </c>
      <c r="G126" s="306">
        <f t="shared" si="9"/>
        <v>1921723</v>
      </c>
      <c r="H126" s="286">
        <f t="shared" si="10"/>
        <v>853455.2565303921</v>
      </c>
      <c r="I126" s="10">
        <f t="shared" si="11"/>
        <v>1068267.743469608</v>
      </c>
      <c r="J126" s="303">
        <f t="shared" si="12"/>
        <v>-779336.34681836469</v>
      </c>
      <c r="K126" s="462">
        <v>12879</v>
      </c>
      <c r="L126" s="10">
        <f t="shared" si="13"/>
        <v>106681.90706629901</v>
      </c>
      <c r="M126" s="14">
        <f t="shared" si="14"/>
        <v>0</v>
      </c>
      <c r="N126" s="2">
        <f t="shared" si="15"/>
        <v>0</v>
      </c>
      <c r="O126" s="131">
        <f t="shared" si="16"/>
        <v>-779336.34681836469</v>
      </c>
      <c r="P126" s="457">
        <f t="shared" si="17"/>
        <v>-7.3052344886751497</v>
      </c>
      <c r="Q126" s="127"/>
    </row>
    <row r="127" spans="1:17" x14ac:dyDescent="0.25">
      <c r="A127" s="49">
        <f>+'A) Base RI'!A129</f>
        <v>5609</v>
      </c>
      <c r="B127" s="294" t="str">
        <f>+'A) Base RI'!B129</f>
        <v>Rivaz</v>
      </c>
      <c r="C127" s="306">
        <f>+'D) Ecrêtage'!C127</f>
        <v>13473.763444719882</v>
      </c>
      <c r="D127" s="458">
        <v>74100</v>
      </c>
      <c r="E127" s="460">
        <v>29817</v>
      </c>
      <c r="F127" s="458">
        <v>44438</v>
      </c>
      <c r="G127" s="306">
        <f t="shared" si="9"/>
        <v>148355</v>
      </c>
      <c r="H127" s="286">
        <f t="shared" si="10"/>
        <v>107790.10755775905</v>
      </c>
      <c r="I127" s="10">
        <f t="shared" si="11"/>
        <v>40564.892442240947</v>
      </c>
      <c r="J127" s="303">
        <f t="shared" si="12"/>
        <v>-29593.419138855945</v>
      </c>
      <c r="K127" s="462">
        <v>8120</v>
      </c>
      <c r="L127" s="10">
        <f t="shared" si="13"/>
        <v>13473.763444719882</v>
      </c>
      <c r="M127" s="14">
        <f t="shared" si="14"/>
        <v>0</v>
      </c>
      <c r="N127" s="2">
        <f t="shared" si="15"/>
        <v>0</v>
      </c>
      <c r="O127" s="131">
        <f t="shared" si="16"/>
        <v>-29593.419138855945</v>
      </c>
      <c r="P127" s="457">
        <f t="shared" si="17"/>
        <v>-2.1963736605790758</v>
      </c>
      <c r="Q127" s="127"/>
    </row>
    <row r="128" spans="1:17" x14ac:dyDescent="0.25">
      <c r="A128" s="49">
        <f>+'A) Base RI'!A130</f>
        <v>5610</v>
      </c>
      <c r="B128" s="294" t="str">
        <f>+'A) Base RI'!B130</f>
        <v>St-Saphorin (Lavaux)</v>
      </c>
      <c r="C128" s="306">
        <f>+'D) Ecrêtage'!C128</f>
        <v>21538.059608526812</v>
      </c>
      <c r="D128" s="458">
        <v>129630</v>
      </c>
      <c r="E128" s="460">
        <v>33045</v>
      </c>
      <c r="F128" s="458">
        <v>43148</v>
      </c>
      <c r="G128" s="306">
        <f t="shared" si="9"/>
        <v>205823</v>
      </c>
      <c r="H128" s="286">
        <f t="shared" si="10"/>
        <v>172304.47686821449</v>
      </c>
      <c r="I128" s="10">
        <f t="shared" si="11"/>
        <v>33518.523131785507</v>
      </c>
      <c r="J128" s="303">
        <f t="shared" si="12"/>
        <v>-24452.861680004229</v>
      </c>
      <c r="K128" s="462">
        <v>1629</v>
      </c>
      <c r="L128" s="10">
        <f t="shared" si="13"/>
        <v>21538.059608526812</v>
      </c>
      <c r="M128" s="14">
        <f t="shared" si="14"/>
        <v>0</v>
      </c>
      <c r="N128" s="2">
        <f t="shared" si="15"/>
        <v>0</v>
      </c>
      <c r="O128" s="131">
        <f t="shared" si="16"/>
        <v>-24452.861680004229</v>
      </c>
      <c r="P128" s="457">
        <f t="shared" si="17"/>
        <v>-1.1353326216222126</v>
      </c>
      <c r="Q128" s="127"/>
    </row>
    <row r="129" spans="1:17" x14ac:dyDescent="0.25">
      <c r="A129" s="49">
        <f>+'A) Base RI'!A131</f>
        <v>5611</v>
      </c>
      <c r="B129" s="294" t="str">
        <f>+'A) Base RI'!B131</f>
        <v>Savigny</v>
      </c>
      <c r="C129" s="306">
        <f>+'D) Ecrêtage'!C129</f>
        <v>135057.67308998347</v>
      </c>
      <c r="D129" s="458">
        <v>1126920</v>
      </c>
      <c r="E129" s="460">
        <v>153956</v>
      </c>
      <c r="F129" s="458">
        <v>397366</v>
      </c>
      <c r="G129" s="306">
        <f t="shared" si="9"/>
        <v>1678242</v>
      </c>
      <c r="H129" s="286">
        <f t="shared" si="10"/>
        <v>1080461.3847198677</v>
      </c>
      <c r="I129" s="10">
        <f t="shared" si="11"/>
        <v>597780.61528013228</v>
      </c>
      <c r="J129" s="303">
        <f t="shared" si="12"/>
        <v>-436100.55976992677</v>
      </c>
      <c r="K129" s="462">
        <v>57947</v>
      </c>
      <c r="L129" s="10">
        <f t="shared" si="13"/>
        <v>135057.67308998347</v>
      </c>
      <c r="M129" s="14">
        <f t="shared" si="14"/>
        <v>0</v>
      </c>
      <c r="N129" s="2">
        <f t="shared" si="15"/>
        <v>0</v>
      </c>
      <c r="O129" s="131">
        <f t="shared" si="16"/>
        <v>-436100.55976992677</v>
      </c>
      <c r="P129" s="457">
        <f t="shared" si="17"/>
        <v>-3.2289950640521594</v>
      </c>
      <c r="Q129" s="127"/>
    </row>
    <row r="130" spans="1:17" x14ac:dyDescent="0.25">
      <c r="A130" s="49">
        <f>+'A) Base RI'!A132</f>
        <v>5613</v>
      </c>
      <c r="B130" s="294" t="str">
        <f>+'A) Base RI'!B132</f>
        <v>Bourg-en-Lavaux</v>
      </c>
      <c r="C130" s="306">
        <f>+'D) Ecrêtage'!C130</f>
        <v>293013.05852938921</v>
      </c>
      <c r="D130" s="458">
        <v>1384160</v>
      </c>
      <c r="E130" s="460">
        <v>404792</v>
      </c>
      <c r="F130" s="458">
        <v>663663</v>
      </c>
      <c r="G130" s="306">
        <f t="shared" si="9"/>
        <v>2452615</v>
      </c>
      <c r="H130" s="286">
        <f t="shared" si="10"/>
        <v>2344104.4682351137</v>
      </c>
      <c r="I130" s="10">
        <f t="shared" si="11"/>
        <v>108510.53176488634</v>
      </c>
      <c r="J130" s="303">
        <f t="shared" si="12"/>
        <v>-79161.990927764564</v>
      </c>
      <c r="K130" s="462">
        <v>185219</v>
      </c>
      <c r="L130" s="10">
        <f t="shared" si="13"/>
        <v>293013.05852938921</v>
      </c>
      <c r="M130" s="14">
        <f t="shared" si="14"/>
        <v>0</v>
      </c>
      <c r="N130" s="2">
        <f t="shared" si="15"/>
        <v>0</v>
      </c>
      <c r="O130" s="131">
        <f t="shared" si="16"/>
        <v>-79161.990927764564</v>
      </c>
      <c r="P130" s="457">
        <f t="shared" si="17"/>
        <v>-0.2701654026106301</v>
      </c>
      <c r="Q130" s="127"/>
    </row>
    <row r="131" spans="1:17" x14ac:dyDescent="0.25">
      <c r="A131" s="49">
        <f>+'A) Base RI'!A133</f>
        <v>5621</v>
      </c>
      <c r="B131" s="294" t="str">
        <f>+'A) Base RI'!B133</f>
        <v>Aclens</v>
      </c>
      <c r="C131" s="306">
        <f>+'D) Ecrêtage'!C131</f>
        <v>33712.724093262899</v>
      </c>
      <c r="D131" s="458">
        <v>281388</v>
      </c>
      <c r="E131" s="460">
        <v>18996</v>
      </c>
      <c r="F131" s="458">
        <v>48592</v>
      </c>
      <c r="G131" s="306">
        <f t="shared" si="9"/>
        <v>348976</v>
      </c>
      <c r="H131" s="286">
        <f t="shared" si="10"/>
        <v>269701.79274610319</v>
      </c>
      <c r="I131" s="10">
        <f t="shared" si="11"/>
        <v>79274.207253896806</v>
      </c>
      <c r="J131" s="303">
        <f t="shared" si="12"/>
        <v>-57833.133552751053</v>
      </c>
      <c r="K131" s="462">
        <v>36445</v>
      </c>
      <c r="L131" s="10">
        <f t="shared" si="13"/>
        <v>33712.724093262899</v>
      </c>
      <c r="M131" s="14">
        <f t="shared" si="14"/>
        <v>2732.2759067371007</v>
      </c>
      <c r="N131" s="2">
        <f t="shared" si="15"/>
        <v>-1993.2848639053818</v>
      </c>
      <c r="O131" s="131">
        <f t="shared" si="16"/>
        <v>-59826.418416656437</v>
      </c>
      <c r="P131" s="457">
        <f t="shared" si="17"/>
        <v>-1.7745946085861408</v>
      </c>
      <c r="Q131" s="127"/>
    </row>
    <row r="132" spans="1:17" x14ac:dyDescent="0.25">
      <c r="A132" s="49">
        <f>+'A) Base RI'!A134</f>
        <v>5622</v>
      </c>
      <c r="B132" s="294" t="str">
        <f>+'A) Base RI'!B134</f>
        <v>Bremblens</v>
      </c>
      <c r="C132" s="306">
        <f>+'D) Ecrêtage'!C132</f>
        <v>25760.394087687673</v>
      </c>
      <c r="D132" s="458">
        <v>124946</v>
      </c>
      <c r="E132" s="460">
        <v>19066</v>
      </c>
      <c r="F132" s="458">
        <v>45609</v>
      </c>
      <c r="G132" s="306">
        <f t="shared" si="9"/>
        <v>189621</v>
      </c>
      <c r="H132" s="286">
        <f t="shared" si="10"/>
        <v>206083.15270150139</v>
      </c>
      <c r="I132" s="10">
        <f t="shared" si="11"/>
        <v>0</v>
      </c>
      <c r="J132" s="303">
        <f t="shared" si="12"/>
        <v>0</v>
      </c>
      <c r="K132" s="462">
        <v>33074</v>
      </c>
      <c r="L132" s="10">
        <f t="shared" si="13"/>
        <v>25760.394087687673</v>
      </c>
      <c r="M132" s="14">
        <f t="shared" si="14"/>
        <v>7313.6059123123268</v>
      </c>
      <c r="N132" s="2">
        <f t="shared" si="15"/>
        <v>-5335.5153224588948</v>
      </c>
      <c r="O132" s="131">
        <f t="shared" si="16"/>
        <v>-5335.5153224588948</v>
      </c>
      <c r="P132" s="457">
        <f t="shared" si="17"/>
        <v>-0.20712087339568439</v>
      </c>
      <c r="Q132" s="127"/>
    </row>
    <row r="133" spans="1:17" x14ac:dyDescent="0.25">
      <c r="A133" s="49">
        <f>+'A) Base RI'!A135</f>
        <v>5623</v>
      </c>
      <c r="B133" s="294" t="str">
        <f>+'A) Base RI'!B135</f>
        <v>Buchillon</v>
      </c>
      <c r="C133" s="306">
        <f>+'D) Ecrêtage'!C133</f>
        <v>119048.13355212047</v>
      </c>
      <c r="D133" s="458">
        <v>114241</v>
      </c>
      <c r="E133" s="460">
        <v>62608</v>
      </c>
      <c r="F133" s="458">
        <v>64346</v>
      </c>
      <c r="G133" s="306">
        <f t="shared" si="9"/>
        <v>241195</v>
      </c>
      <c r="H133" s="286">
        <f t="shared" si="10"/>
        <v>952385.0684169638</v>
      </c>
      <c r="I133" s="10">
        <f t="shared" si="11"/>
        <v>0</v>
      </c>
      <c r="J133" s="303">
        <f t="shared" si="12"/>
        <v>0</v>
      </c>
      <c r="K133" s="462">
        <v>9511</v>
      </c>
      <c r="L133" s="10">
        <f t="shared" si="13"/>
        <v>119048.13355212047</v>
      </c>
      <c r="M133" s="14">
        <f t="shared" si="14"/>
        <v>0</v>
      </c>
      <c r="N133" s="2">
        <f t="shared" si="15"/>
        <v>0</v>
      </c>
      <c r="O133" s="131">
        <f t="shared" si="16"/>
        <v>0</v>
      </c>
      <c r="P133" s="457">
        <f t="shared" si="17"/>
        <v>0</v>
      </c>
      <c r="Q133" s="127"/>
    </row>
    <row r="134" spans="1:17" x14ac:dyDescent="0.25">
      <c r="A134" s="49">
        <f>+'A) Base RI'!A136</f>
        <v>5624</v>
      </c>
      <c r="B134" s="294" t="str">
        <f>+'A) Base RI'!B136</f>
        <v>Bussigny</v>
      </c>
      <c r="C134" s="306">
        <f>+'D) Ecrêtage'!C134</f>
        <v>356482.21982509014</v>
      </c>
      <c r="D134" s="458">
        <v>1748030</v>
      </c>
      <c r="E134" s="460">
        <v>2659835</v>
      </c>
      <c r="F134" s="458">
        <v>260312</v>
      </c>
      <c r="G134" s="306">
        <f t="shared" ref="G134:G197" si="18">SUM(D134:F134)</f>
        <v>4668177</v>
      </c>
      <c r="H134" s="286">
        <f t="shared" ref="H134:H197" si="19">+C134*$I$4</f>
        <v>2851857.7586007211</v>
      </c>
      <c r="I134" s="10">
        <f t="shared" ref="I134:I197" si="20">IF(G134&gt;H134,G134-H134,0)</f>
        <v>1816319.2413992789</v>
      </c>
      <c r="J134" s="303">
        <f t="shared" ref="J134:J197" si="21">-I134*J$4</f>
        <v>-1325064.4427871266</v>
      </c>
      <c r="K134" s="462">
        <v>206376</v>
      </c>
      <c r="L134" s="10">
        <f t="shared" ref="L134:L197" si="22">C134*M$4</f>
        <v>356482.21982509014</v>
      </c>
      <c r="M134" s="14">
        <f t="shared" ref="M134:M197" si="23">IF(K134&gt;L134,K134-L134,0)</f>
        <v>0</v>
      </c>
      <c r="N134" s="2">
        <f t="shared" ref="N134:N197" si="24">-M134*N$4</f>
        <v>0</v>
      </c>
      <c r="O134" s="131">
        <f t="shared" ref="O134:O197" si="25">N134+J134</f>
        <v>-1325064.4427871266</v>
      </c>
      <c r="P134" s="457">
        <f t="shared" ref="P134:P197" si="26">+O134/C134</f>
        <v>-3.7170561926967252</v>
      </c>
      <c r="Q134" s="127"/>
    </row>
    <row r="135" spans="1:17" x14ac:dyDescent="0.25">
      <c r="A135" s="49">
        <f>+'A) Base RI'!A137</f>
        <v>5625</v>
      </c>
      <c r="B135" s="294" t="str">
        <f>+'A) Base RI'!B137</f>
        <v>Bussy-Chardonney</v>
      </c>
      <c r="C135" s="306">
        <f>+'D) Ecrêtage'!C135</f>
        <v>13370.312366998642</v>
      </c>
      <c r="D135" s="458">
        <v>123978</v>
      </c>
      <c r="E135" s="460">
        <v>32328</v>
      </c>
      <c r="F135" s="458">
        <v>44442</v>
      </c>
      <c r="G135" s="306">
        <f t="shared" si="18"/>
        <v>200748</v>
      </c>
      <c r="H135" s="286">
        <f t="shared" si="19"/>
        <v>106962.49893598913</v>
      </c>
      <c r="I135" s="10">
        <f t="shared" si="20"/>
        <v>93785.501064010867</v>
      </c>
      <c r="J135" s="303">
        <f t="shared" si="21"/>
        <v>-68419.598205190487</v>
      </c>
      <c r="K135" s="462">
        <v>-113</v>
      </c>
      <c r="L135" s="10">
        <f t="shared" si="22"/>
        <v>13370.312366998642</v>
      </c>
      <c r="M135" s="14">
        <f t="shared" si="23"/>
        <v>0</v>
      </c>
      <c r="N135" s="2">
        <f t="shared" si="24"/>
        <v>0</v>
      </c>
      <c r="O135" s="131">
        <f t="shared" si="25"/>
        <v>-68419.598205190487</v>
      </c>
      <c r="P135" s="457">
        <f t="shared" si="26"/>
        <v>-5.1172774672091874</v>
      </c>
      <c r="Q135" s="127"/>
    </row>
    <row r="136" spans="1:17" x14ac:dyDescent="0.25">
      <c r="A136" s="49">
        <f>+'A) Base RI'!A138</f>
        <v>5627</v>
      </c>
      <c r="B136" s="294" t="str">
        <f>+'A) Base RI'!B138</f>
        <v>Chavannes-près-Renens</v>
      </c>
      <c r="C136" s="306">
        <f>+'D) Ecrêtage'!C136</f>
        <v>173390.58290122479</v>
      </c>
      <c r="D136" s="458">
        <v>825935</v>
      </c>
      <c r="E136" s="460">
        <v>2500426</v>
      </c>
      <c r="F136" s="458">
        <v>1872</v>
      </c>
      <c r="G136" s="306">
        <f t="shared" si="18"/>
        <v>3328233</v>
      </c>
      <c r="H136" s="286">
        <f t="shared" si="19"/>
        <v>1387124.6632097983</v>
      </c>
      <c r="I136" s="10">
        <f t="shared" si="20"/>
        <v>1941108.3367902017</v>
      </c>
      <c r="J136" s="303">
        <f t="shared" si="21"/>
        <v>-1416102.1796459267</v>
      </c>
      <c r="K136" s="462">
        <v>11026</v>
      </c>
      <c r="L136" s="10">
        <f t="shared" si="22"/>
        <v>173390.58290122479</v>
      </c>
      <c r="M136" s="14">
        <f t="shared" si="23"/>
        <v>0</v>
      </c>
      <c r="N136" s="2">
        <f t="shared" si="24"/>
        <v>0</v>
      </c>
      <c r="O136" s="131">
        <f t="shared" si="25"/>
        <v>-1416102.1796459267</v>
      </c>
      <c r="P136" s="457">
        <f t="shared" si="26"/>
        <v>-8.1671227811295619</v>
      </c>
      <c r="Q136" s="127"/>
    </row>
    <row r="137" spans="1:17" x14ac:dyDescent="0.25">
      <c r="A137" s="49">
        <f>+'A) Base RI'!A139</f>
        <v>5628</v>
      </c>
      <c r="B137" s="294" t="str">
        <f>+'A) Base RI'!B139</f>
        <v>Chigny</v>
      </c>
      <c r="C137" s="306">
        <f>+'D) Ecrêtage'!C137</f>
        <v>21894.357951349266</v>
      </c>
      <c r="D137" s="458">
        <v>41558</v>
      </c>
      <c r="E137" s="460">
        <v>29463</v>
      </c>
      <c r="F137" s="458">
        <v>32441</v>
      </c>
      <c r="G137" s="306">
        <f t="shared" si="18"/>
        <v>103462</v>
      </c>
      <c r="H137" s="286">
        <f t="shared" si="19"/>
        <v>175154.86361079413</v>
      </c>
      <c r="I137" s="10">
        <f t="shared" si="20"/>
        <v>0</v>
      </c>
      <c r="J137" s="303">
        <f t="shared" si="21"/>
        <v>0</v>
      </c>
      <c r="K137" s="462">
        <v>4489</v>
      </c>
      <c r="L137" s="10">
        <f t="shared" si="22"/>
        <v>21894.357951349266</v>
      </c>
      <c r="M137" s="14">
        <f t="shared" si="23"/>
        <v>0</v>
      </c>
      <c r="N137" s="2">
        <f t="shared" si="24"/>
        <v>0</v>
      </c>
      <c r="O137" s="131">
        <f t="shared" si="25"/>
        <v>0</v>
      </c>
      <c r="P137" s="457">
        <f t="shared" si="26"/>
        <v>0</v>
      </c>
      <c r="Q137" s="127"/>
    </row>
    <row r="138" spans="1:17" x14ac:dyDescent="0.25">
      <c r="A138" s="49">
        <f>+'A) Base RI'!A140</f>
        <v>5629</v>
      </c>
      <c r="B138" s="294" t="str">
        <f>+'A) Base RI'!B140</f>
        <v>Clarmont</v>
      </c>
      <c r="C138" s="306">
        <f>+'D) Ecrêtage'!C138</f>
        <v>6916.2311229358211</v>
      </c>
      <c r="D138" s="458">
        <v>85276</v>
      </c>
      <c r="E138" s="460">
        <v>6588</v>
      </c>
      <c r="F138" s="458">
        <v>20907</v>
      </c>
      <c r="G138" s="306">
        <f t="shared" si="18"/>
        <v>112771</v>
      </c>
      <c r="H138" s="286">
        <f t="shared" si="19"/>
        <v>55329.848983486569</v>
      </c>
      <c r="I138" s="10">
        <f t="shared" si="20"/>
        <v>57441.151016513431</v>
      </c>
      <c r="J138" s="303">
        <f t="shared" si="21"/>
        <v>-41905.203132743613</v>
      </c>
      <c r="K138" s="462">
        <v>232</v>
      </c>
      <c r="L138" s="10">
        <f t="shared" si="22"/>
        <v>6916.2311229358211</v>
      </c>
      <c r="M138" s="14">
        <f t="shared" si="23"/>
        <v>0</v>
      </c>
      <c r="N138" s="2">
        <f t="shared" si="24"/>
        <v>0</v>
      </c>
      <c r="O138" s="131">
        <f t="shared" si="25"/>
        <v>-41905.203132743613</v>
      </c>
      <c r="P138" s="457">
        <f t="shared" si="26"/>
        <v>-6.0589651195687013</v>
      </c>
      <c r="Q138" s="127"/>
    </row>
    <row r="139" spans="1:17" x14ac:dyDescent="0.25">
      <c r="A139" s="49">
        <f>+'A) Base RI'!A141</f>
        <v>5631</v>
      </c>
      <c r="B139" s="294" t="str">
        <f>+'A) Base RI'!B141</f>
        <v>Denens</v>
      </c>
      <c r="C139" s="306">
        <f>+'D) Ecrêtage'!C139</f>
        <v>43815.97689546422</v>
      </c>
      <c r="D139" s="458">
        <v>-9731</v>
      </c>
      <c r="E139" s="460">
        <v>26978</v>
      </c>
      <c r="F139" s="458">
        <v>69811</v>
      </c>
      <c r="G139" s="306">
        <f t="shared" si="18"/>
        <v>87058</v>
      </c>
      <c r="H139" s="286">
        <f t="shared" si="19"/>
        <v>350527.81516371376</v>
      </c>
      <c r="I139" s="10">
        <f t="shared" si="20"/>
        <v>0</v>
      </c>
      <c r="J139" s="303">
        <f t="shared" si="21"/>
        <v>0</v>
      </c>
      <c r="K139" s="462">
        <v>3861</v>
      </c>
      <c r="L139" s="10">
        <f t="shared" si="22"/>
        <v>43815.97689546422</v>
      </c>
      <c r="M139" s="14">
        <f t="shared" si="23"/>
        <v>0</v>
      </c>
      <c r="N139" s="2">
        <f t="shared" si="24"/>
        <v>0</v>
      </c>
      <c r="O139" s="131">
        <f t="shared" si="25"/>
        <v>0</v>
      </c>
      <c r="P139" s="457">
        <f t="shared" si="26"/>
        <v>0</v>
      </c>
      <c r="Q139" s="127"/>
    </row>
    <row r="140" spans="1:17" x14ac:dyDescent="0.25">
      <c r="A140" s="49">
        <f>+'A) Base RI'!A142</f>
        <v>5632</v>
      </c>
      <c r="B140" s="294" t="str">
        <f>+'A) Base RI'!B142</f>
        <v>Denges</v>
      </c>
      <c r="C140" s="306">
        <f>+'D) Ecrêtage'!C140</f>
        <v>67687.396226466764</v>
      </c>
      <c r="D140" s="458">
        <v>159082</v>
      </c>
      <c r="E140" s="460">
        <v>461032</v>
      </c>
      <c r="F140" s="458">
        <v>52383</v>
      </c>
      <c r="G140" s="306">
        <f t="shared" si="18"/>
        <v>672497</v>
      </c>
      <c r="H140" s="286">
        <f t="shared" si="19"/>
        <v>541499.16981173411</v>
      </c>
      <c r="I140" s="10">
        <f t="shared" si="20"/>
        <v>130997.83018826589</v>
      </c>
      <c r="J140" s="303">
        <f t="shared" si="21"/>
        <v>-95567.212474725529</v>
      </c>
      <c r="K140" s="462">
        <v>1397</v>
      </c>
      <c r="L140" s="10">
        <f t="shared" si="22"/>
        <v>67687.396226466764</v>
      </c>
      <c r="M140" s="14">
        <f t="shared" si="23"/>
        <v>0</v>
      </c>
      <c r="N140" s="2">
        <f t="shared" si="24"/>
        <v>0</v>
      </c>
      <c r="O140" s="131">
        <f t="shared" si="25"/>
        <v>-95567.212474725529</v>
      </c>
      <c r="P140" s="457">
        <f t="shared" si="26"/>
        <v>-1.4118908068937854</v>
      </c>
      <c r="Q140" s="127"/>
    </row>
    <row r="141" spans="1:17" x14ac:dyDescent="0.25">
      <c r="A141" s="49">
        <f>+'A) Base RI'!A143</f>
        <v>5633</v>
      </c>
      <c r="B141" s="294" t="str">
        <f>+'A) Base RI'!B143</f>
        <v>Echandens</v>
      </c>
      <c r="C141" s="306">
        <f>+'D) Ecrêtage'!C141</f>
        <v>137438.92097427152</v>
      </c>
      <c r="D141" s="458">
        <v>850262</v>
      </c>
      <c r="E141" s="460">
        <v>832565</v>
      </c>
      <c r="F141" s="458">
        <v>157132</v>
      </c>
      <c r="G141" s="306">
        <f t="shared" si="18"/>
        <v>1839959</v>
      </c>
      <c r="H141" s="286">
        <f t="shared" si="19"/>
        <v>1099511.3677941721</v>
      </c>
      <c r="I141" s="10">
        <f t="shared" si="20"/>
        <v>740447.63220582786</v>
      </c>
      <c r="J141" s="303">
        <f t="shared" si="21"/>
        <v>-540180.82659631956</v>
      </c>
      <c r="K141" s="462">
        <v>5136</v>
      </c>
      <c r="L141" s="10">
        <f t="shared" si="22"/>
        <v>137438.92097427152</v>
      </c>
      <c r="M141" s="14">
        <f t="shared" si="23"/>
        <v>0</v>
      </c>
      <c r="N141" s="2">
        <f t="shared" si="24"/>
        <v>0</v>
      </c>
      <c r="O141" s="131">
        <f t="shared" si="25"/>
        <v>-540180.82659631956</v>
      </c>
      <c r="P141" s="457">
        <f t="shared" si="26"/>
        <v>-3.9303337276450323</v>
      </c>
      <c r="Q141" s="127"/>
    </row>
    <row r="142" spans="1:17" x14ac:dyDescent="0.25">
      <c r="A142" s="49">
        <f>+'A) Base RI'!A144</f>
        <v>5634</v>
      </c>
      <c r="B142" s="294" t="str">
        <f>+'A) Base RI'!B144</f>
        <v>Echichens</v>
      </c>
      <c r="C142" s="306">
        <f>+'D) Ecrêtage'!C142</f>
        <v>172707.41089939879</v>
      </c>
      <c r="D142" s="458">
        <v>333519</v>
      </c>
      <c r="E142" s="460">
        <v>549263</v>
      </c>
      <c r="F142" s="458">
        <v>212355</v>
      </c>
      <c r="G142" s="306">
        <f t="shared" si="18"/>
        <v>1095137</v>
      </c>
      <c r="H142" s="286">
        <f t="shared" si="19"/>
        <v>1381659.2871951903</v>
      </c>
      <c r="I142" s="10">
        <f t="shared" si="20"/>
        <v>0</v>
      </c>
      <c r="J142" s="303">
        <f t="shared" si="21"/>
        <v>0</v>
      </c>
      <c r="K142" s="462">
        <v>7251</v>
      </c>
      <c r="L142" s="10">
        <f t="shared" si="22"/>
        <v>172707.41089939879</v>
      </c>
      <c r="M142" s="14">
        <f t="shared" si="23"/>
        <v>0</v>
      </c>
      <c r="N142" s="2">
        <f t="shared" si="24"/>
        <v>0</v>
      </c>
      <c r="O142" s="131">
        <f t="shared" si="25"/>
        <v>0</v>
      </c>
      <c r="P142" s="457">
        <f t="shared" si="26"/>
        <v>0</v>
      </c>
      <c r="Q142" s="127"/>
    </row>
    <row r="143" spans="1:17" x14ac:dyDescent="0.25">
      <c r="A143" s="49">
        <f>+'A) Base RI'!A145</f>
        <v>5635</v>
      </c>
      <c r="B143" s="294" t="str">
        <f>+'A) Base RI'!B145</f>
        <v>Ecublens</v>
      </c>
      <c r="C143" s="306">
        <f>+'D) Ecrêtage'!C143</f>
        <v>425804.36099449953</v>
      </c>
      <c r="D143" s="458">
        <v>3542638</v>
      </c>
      <c r="E143" s="460">
        <v>3943528</v>
      </c>
      <c r="F143" s="458">
        <v>121602</v>
      </c>
      <c r="G143" s="306">
        <f t="shared" si="18"/>
        <v>7607768</v>
      </c>
      <c r="H143" s="286">
        <f t="shared" si="19"/>
        <v>3406434.8879559962</v>
      </c>
      <c r="I143" s="10">
        <f t="shared" si="20"/>
        <v>4201333.1120440038</v>
      </c>
      <c r="J143" s="303">
        <f t="shared" si="21"/>
        <v>-3065010.2648171522</v>
      </c>
      <c r="K143" s="462">
        <v>145770</v>
      </c>
      <c r="L143" s="10">
        <f t="shared" si="22"/>
        <v>425804.36099449953</v>
      </c>
      <c r="M143" s="14">
        <f t="shared" si="23"/>
        <v>0</v>
      </c>
      <c r="N143" s="2">
        <f t="shared" si="24"/>
        <v>0</v>
      </c>
      <c r="O143" s="131">
        <f t="shared" si="25"/>
        <v>-3065010.2648171522</v>
      </c>
      <c r="P143" s="457">
        <f t="shared" si="26"/>
        <v>-7.1981655088233012</v>
      </c>
      <c r="Q143" s="127"/>
    </row>
    <row r="144" spans="1:17" x14ac:dyDescent="0.25">
      <c r="A144" s="49">
        <f>+'A) Base RI'!A146</f>
        <v>5636</v>
      </c>
      <c r="B144" s="294" t="str">
        <f>+'A) Base RI'!B146</f>
        <v>Etoy</v>
      </c>
      <c r="C144" s="306">
        <f>+'D) Ecrêtage'!C144</f>
        <v>163508.07491244882</v>
      </c>
      <c r="D144" s="458">
        <v>335900</v>
      </c>
      <c r="E144" s="460">
        <v>338074</v>
      </c>
      <c r="F144" s="458">
        <v>339716</v>
      </c>
      <c r="G144" s="306">
        <f t="shared" si="18"/>
        <v>1013690</v>
      </c>
      <c r="H144" s="286">
        <f t="shared" si="19"/>
        <v>1308064.5992995906</v>
      </c>
      <c r="I144" s="10">
        <f t="shared" si="20"/>
        <v>0</v>
      </c>
      <c r="J144" s="303">
        <f t="shared" si="21"/>
        <v>0</v>
      </c>
      <c r="K144" s="462">
        <v>8176</v>
      </c>
      <c r="L144" s="10">
        <f t="shared" si="22"/>
        <v>163508.07491244882</v>
      </c>
      <c r="M144" s="14">
        <f t="shared" si="23"/>
        <v>0</v>
      </c>
      <c r="N144" s="2">
        <f t="shared" si="24"/>
        <v>0</v>
      </c>
      <c r="O144" s="131">
        <f t="shared" si="25"/>
        <v>0</v>
      </c>
      <c r="P144" s="457">
        <f t="shared" si="26"/>
        <v>0</v>
      </c>
      <c r="Q144" s="127"/>
    </row>
    <row r="145" spans="1:17" x14ac:dyDescent="0.25">
      <c r="A145" s="49">
        <f>+'A) Base RI'!A147</f>
        <v>5637</v>
      </c>
      <c r="B145" s="294" t="str">
        <f>+'A) Base RI'!B147</f>
        <v>Lavigny</v>
      </c>
      <c r="C145" s="306">
        <f>+'D) Ecrêtage'!C145</f>
        <v>35527.670702114687</v>
      </c>
      <c r="D145" s="458">
        <v>388754</v>
      </c>
      <c r="E145" s="460">
        <v>65053</v>
      </c>
      <c r="F145" s="458">
        <v>125310</v>
      </c>
      <c r="G145" s="306">
        <f t="shared" si="18"/>
        <v>579117</v>
      </c>
      <c r="H145" s="286">
        <f t="shared" si="19"/>
        <v>284221.36561691749</v>
      </c>
      <c r="I145" s="10">
        <f t="shared" si="20"/>
        <v>294895.63438308251</v>
      </c>
      <c r="J145" s="303">
        <f t="shared" si="21"/>
        <v>-215136.03476068456</v>
      </c>
      <c r="K145" s="462">
        <v>0</v>
      </c>
      <c r="L145" s="10">
        <f t="shared" si="22"/>
        <v>35527.670702114687</v>
      </c>
      <c r="M145" s="14">
        <f t="shared" si="23"/>
        <v>0</v>
      </c>
      <c r="N145" s="2">
        <f t="shared" si="24"/>
        <v>0</v>
      </c>
      <c r="O145" s="131">
        <f t="shared" si="25"/>
        <v>-215136.03476068456</v>
      </c>
      <c r="P145" s="457">
        <f t="shared" si="26"/>
        <v>-6.0554500339893993</v>
      </c>
      <c r="Q145" s="127"/>
    </row>
    <row r="146" spans="1:17" x14ac:dyDescent="0.25">
      <c r="A146" s="49">
        <f>+'A) Base RI'!A148</f>
        <v>5638</v>
      </c>
      <c r="B146" s="294" t="str">
        <f>+'A) Base RI'!B148</f>
        <v>Lonay</v>
      </c>
      <c r="C146" s="306">
        <f>+'D) Ecrêtage'!C146</f>
        <v>156801.12521319877</v>
      </c>
      <c r="D146" s="458">
        <v>785961</v>
      </c>
      <c r="E146" s="460">
        <v>901924</v>
      </c>
      <c r="F146" s="458">
        <v>97585</v>
      </c>
      <c r="G146" s="306">
        <f t="shared" si="18"/>
        <v>1785470</v>
      </c>
      <c r="H146" s="286">
        <f t="shared" si="19"/>
        <v>1254409.0017055902</v>
      </c>
      <c r="I146" s="10">
        <f t="shared" si="20"/>
        <v>531060.99829440983</v>
      </c>
      <c r="J146" s="303">
        <f t="shared" si="21"/>
        <v>-387426.41147645377</v>
      </c>
      <c r="K146" s="462">
        <v>1709</v>
      </c>
      <c r="L146" s="10">
        <f t="shared" si="22"/>
        <v>156801.12521319877</v>
      </c>
      <c r="M146" s="14">
        <f t="shared" si="23"/>
        <v>0</v>
      </c>
      <c r="N146" s="2">
        <f t="shared" si="24"/>
        <v>0</v>
      </c>
      <c r="O146" s="131">
        <f t="shared" si="25"/>
        <v>-387426.41147645377</v>
      </c>
      <c r="P146" s="457">
        <f t="shared" si="26"/>
        <v>-2.4708139750252385</v>
      </c>
      <c r="Q146" s="127"/>
    </row>
    <row r="147" spans="1:17" x14ac:dyDescent="0.25">
      <c r="A147" s="49">
        <f>+'A) Base RI'!A149</f>
        <v>5639</v>
      </c>
      <c r="B147" s="294" t="str">
        <f>+'A) Base RI'!B149</f>
        <v>Lully</v>
      </c>
      <c r="C147" s="306">
        <f>+'D) Ecrêtage'!C147</f>
        <v>44733.650298121938</v>
      </c>
      <c r="D147" s="458">
        <v>26888</v>
      </c>
      <c r="E147" s="460">
        <v>142912</v>
      </c>
      <c r="F147" s="458">
        <v>17754</v>
      </c>
      <c r="G147" s="306">
        <f t="shared" si="18"/>
        <v>187554</v>
      </c>
      <c r="H147" s="286">
        <f t="shared" si="19"/>
        <v>357869.20238497551</v>
      </c>
      <c r="I147" s="10">
        <f t="shared" si="20"/>
        <v>0</v>
      </c>
      <c r="J147" s="303">
        <f t="shared" si="21"/>
        <v>0</v>
      </c>
      <c r="K147" s="462">
        <v>7909</v>
      </c>
      <c r="L147" s="10">
        <f t="shared" si="22"/>
        <v>44733.650298121938</v>
      </c>
      <c r="M147" s="14">
        <f t="shared" si="23"/>
        <v>0</v>
      </c>
      <c r="N147" s="2">
        <f t="shared" si="24"/>
        <v>0</v>
      </c>
      <c r="O147" s="131">
        <f t="shared" si="25"/>
        <v>0</v>
      </c>
      <c r="P147" s="457">
        <f t="shared" si="26"/>
        <v>0</v>
      </c>
      <c r="Q147" s="127"/>
    </row>
    <row r="148" spans="1:17" x14ac:dyDescent="0.25">
      <c r="A148" s="49">
        <f>+'A) Base RI'!A150</f>
        <v>5640</v>
      </c>
      <c r="B148" s="294" t="str">
        <f>+'A) Base RI'!B150</f>
        <v>Lussy-sur-Morges</v>
      </c>
      <c r="C148" s="306">
        <f>+'D) Ecrêtage'!C148</f>
        <v>53214.189880771395</v>
      </c>
      <c r="D148" s="458">
        <v>154858</v>
      </c>
      <c r="E148" s="460">
        <v>115991</v>
      </c>
      <c r="F148" s="458">
        <v>80556</v>
      </c>
      <c r="G148" s="306">
        <f t="shared" si="18"/>
        <v>351405</v>
      </c>
      <c r="H148" s="286">
        <f t="shared" si="19"/>
        <v>425713.51904617116</v>
      </c>
      <c r="I148" s="10">
        <f t="shared" si="20"/>
        <v>0</v>
      </c>
      <c r="J148" s="303">
        <f t="shared" si="21"/>
        <v>0</v>
      </c>
      <c r="K148" s="462">
        <v>3174</v>
      </c>
      <c r="L148" s="10">
        <f t="shared" si="22"/>
        <v>53214.189880771395</v>
      </c>
      <c r="M148" s="14">
        <f t="shared" si="23"/>
        <v>0</v>
      </c>
      <c r="N148" s="2">
        <f t="shared" si="24"/>
        <v>0</v>
      </c>
      <c r="O148" s="131">
        <f t="shared" si="25"/>
        <v>0</v>
      </c>
      <c r="P148" s="457">
        <f t="shared" si="26"/>
        <v>0</v>
      </c>
      <c r="Q148" s="127"/>
    </row>
    <row r="149" spans="1:17" x14ac:dyDescent="0.25">
      <c r="A149" s="49">
        <f>+'A) Base RI'!A151</f>
        <v>5642</v>
      </c>
      <c r="B149" s="294" t="str">
        <f>+'A) Base RI'!B151</f>
        <v>Morges</v>
      </c>
      <c r="C149" s="306">
        <f>+'D) Ecrêtage'!C149</f>
        <v>729290.95553024486</v>
      </c>
      <c r="D149" s="458">
        <v>3338033</v>
      </c>
      <c r="E149" s="460">
        <v>4524849</v>
      </c>
      <c r="F149" s="458">
        <v>89205</v>
      </c>
      <c r="G149" s="306">
        <f t="shared" si="18"/>
        <v>7952087</v>
      </c>
      <c r="H149" s="286">
        <f t="shared" si="19"/>
        <v>5834327.6442419589</v>
      </c>
      <c r="I149" s="10">
        <f t="shared" si="20"/>
        <v>2117759.3557580411</v>
      </c>
      <c r="J149" s="303">
        <f t="shared" si="21"/>
        <v>-1544974.8902802474</v>
      </c>
      <c r="K149" s="462">
        <v>19485</v>
      </c>
      <c r="L149" s="10">
        <f t="shared" si="22"/>
        <v>729290.95553024486</v>
      </c>
      <c r="M149" s="14">
        <f t="shared" si="23"/>
        <v>0</v>
      </c>
      <c r="N149" s="2">
        <f t="shared" si="24"/>
        <v>0</v>
      </c>
      <c r="O149" s="131">
        <f t="shared" si="25"/>
        <v>-1544974.8902802474</v>
      </c>
      <c r="P149" s="457">
        <f t="shared" si="26"/>
        <v>-2.1184616079009837</v>
      </c>
      <c r="Q149" s="127"/>
    </row>
    <row r="150" spans="1:17" x14ac:dyDescent="0.25">
      <c r="A150" s="49">
        <f>+'A) Base RI'!A152</f>
        <v>5643</v>
      </c>
      <c r="B150" s="294" t="str">
        <f>+'A) Base RI'!B152</f>
        <v>Préverenges</v>
      </c>
      <c r="C150" s="306">
        <f>+'D) Ecrêtage'!C150</f>
        <v>256716.54312991558</v>
      </c>
      <c r="D150" s="458">
        <v>171924</v>
      </c>
      <c r="E150" s="460">
        <v>1142506</v>
      </c>
      <c r="F150" s="458">
        <v>116053</v>
      </c>
      <c r="G150" s="306">
        <f t="shared" si="18"/>
        <v>1430483</v>
      </c>
      <c r="H150" s="286">
        <f t="shared" si="19"/>
        <v>2053732.3450393246</v>
      </c>
      <c r="I150" s="10">
        <f t="shared" si="20"/>
        <v>0</v>
      </c>
      <c r="J150" s="303">
        <f t="shared" si="21"/>
        <v>0</v>
      </c>
      <c r="K150" s="462">
        <v>150</v>
      </c>
      <c r="L150" s="10">
        <f t="shared" si="22"/>
        <v>256716.54312991558</v>
      </c>
      <c r="M150" s="14">
        <f t="shared" si="23"/>
        <v>0</v>
      </c>
      <c r="N150" s="2">
        <f t="shared" si="24"/>
        <v>0</v>
      </c>
      <c r="O150" s="131">
        <f t="shared" si="25"/>
        <v>0</v>
      </c>
      <c r="P150" s="457">
        <f t="shared" si="26"/>
        <v>0</v>
      </c>
      <c r="Q150" s="127"/>
    </row>
    <row r="151" spans="1:17" x14ac:dyDescent="0.25">
      <c r="A151" s="49">
        <f>+'A) Base RI'!A153</f>
        <v>5644</v>
      </c>
      <c r="B151" s="294" t="str">
        <f>+'A) Base RI'!B153</f>
        <v>Reverolle</v>
      </c>
      <c r="C151" s="306">
        <f>+'D) Ecrêtage'!C151</f>
        <v>13425.23260136249</v>
      </c>
      <c r="D151" s="458">
        <v>109051</v>
      </c>
      <c r="E151" s="460">
        <v>26629</v>
      </c>
      <c r="F151" s="458">
        <v>49717</v>
      </c>
      <c r="G151" s="306">
        <f t="shared" si="18"/>
        <v>185397</v>
      </c>
      <c r="H151" s="286">
        <f t="shared" si="19"/>
        <v>107401.86081089992</v>
      </c>
      <c r="I151" s="10">
        <f t="shared" si="20"/>
        <v>77995.139189100082</v>
      </c>
      <c r="J151" s="303">
        <f t="shared" si="21"/>
        <v>-56900.011459488975</v>
      </c>
      <c r="K151" s="462">
        <v>5921</v>
      </c>
      <c r="L151" s="10">
        <f t="shared" si="22"/>
        <v>13425.23260136249</v>
      </c>
      <c r="M151" s="14">
        <f t="shared" si="23"/>
        <v>0</v>
      </c>
      <c r="N151" s="2">
        <f t="shared" si="24"/>
        <v>0</v>
      </c>
      <c r="O151" s="131">
        <f t="shared" si="25"/>
        <v>-56900.011459488975</v>
      </c>
      <c r="P151" s="457">
        <f t="shared" si="26"/>
        <v>-4.2382886873568468</v>
      </c>
      <c r="Q151" s="127"/>
    </row>
    <row r="152" spans="1:17" x14ac:dyDescent="0.25">
      <c r="A152" s="49">
        <f>+'A) Base RI'!A154</f>
        <v>5645</v>
      </c>
      <c r="B152" s="294" t="str">
        <f>+'A) Base RI'!B154</f>
        <v>Romanel-sur-Morges</v>
      </c>
      <c r="C152" s="306">
        <f>+'D) Ecrêtage'!C152</f>
        <v>24229.852670127519</v>
      </c>
      <c r="D152" s="458">
        <v>69897</v>
      </c>
      <c r="E152" s="460">
        <v>16382</v>
      </c>
      <c r="F152" s="458">
        <v>37878</v>
      </c>
      <c r="G152" s="306">
        <f t="shared" si="18"/>
        <v>124157</v>
      </c>
      <c r="H152" s="286">
        <f t="shared" si="19"/>
        <v>193838.82136102015</v>
      </c>
      <c r="I152" s="10">
        <f t="shared" si="20"/>
        <v>0</v>
      </c>
      <c r="J152" s="303">
        <f t="shared" si="21"/>
        <v>0</v>
      </c>
      <c r="K152" s="462">
        <v>29713</v>
      </c>
      <c r="L152" s="10">
        <f t="shared" si="22"/>
        <v>24229.852670127519</v>
      </c>
      <c r="M152" s="14">
        <f t="shared" si="23"/>
        <v>5483.1473298724814</v>
      </c>
      <c r="N152" s="2">
        <f t="shared" si="24"/>
        <v>-4000.1357667608563</v>
      </c>
      <c r="O152" s="131">
        <f t="shared" si="25"/>
        <v>-4000.1357667608563</v>
      </c>
      <c r="P152" s="457">
        <f t="shared" si="26"/>
        <v>-0.16509121294379725</v>
      </c>
      <c r="Q152" s="127"/>
    </row>
    <row r="153" spans="1:17" x14ac:dyDescent="0.25">
      <c r="A153" s="49">
        <f>+'A) Base RI'!A155</f>
        <v>5646</v>
      </c>
      <c r="B153" s="294" t="str">
        <f>+'A) Base RI'!B155</f>
        <v>Saint-Prex</v>
      </c>
      <c r="C153" s="306">
        <f>+'D) Ecrêtage'!C153</f>
        <v>461684.29365699238</v>
      </c>
      <c r="D153" s="458">
        <v>1050635</v>
      </c>
      <c r="E153" s="460">
        <v>496250</v>
      </c>
      <c r="F153" s="458">
        <v>109387</v>
      </c>
      <c r="G153" s="306">
        <f t="shared" si="18"/>
        <v>1656272</v>
      </c>
      <c r="H153" s="286">
        <f t="shared" si="19"/>
        <v>3693474.349255939</v>
      </c>
      <c r="I153" s="10">
        <f t="shared" si="20"/>
        <v>0</v>
      </c>
      <c r="J153" s="303">
        <f t="shared" si="21"/>
        <v>0</v>
      </c>
      <c r="K153" s="462">
        <v>-3250</v>
      </c>
      <c r="L153" s="10">
        <f t="shared" si="22"/>
        <v>461684.29365699238</v>
      </c>
      <c r="M153" s="14">
        <f t="shared" si="23"/>
        <v>0</v>
      </c>
      <c r="N153" s="2">
        <f t="shared" si="24"/>
        <v>0</v>
      </c>
      <c r="O153" s="131">
        <f t="shared" si="25"/>
        <v>0</v>
      </c>
      <c r="P153" s="457">
        <f t="shared" si="26"/>
        <v>0</v>
      </c>
      <c r="Q153" s="127"/>
    </row>
    <row r="154" spans="1:17" x14ac:dyDescent="0.25">
      <c r="A154" s="49">
        <f>+'A) Base RI'!A156</f>
        <v>5648</v>
      </c>
      <c r="B154" s="294" t="str">
        <f>+'A) Base RI'!B156</f>
        <v>Saint-Sulpice</v>
      </c>
      <c r="C154" s="306">
        <f>+'D) Ecrêtage'!C154</f>
        <v>359984.01578722027</v>
      </c>
      <c r="D154" s="458">
        <v>808360</v>
      </c>
      <c r="E154" s="460">
        <v>2023994</v>
      </c>
      <c r="F154" s="458">
        <v>56643</v>
      </c>
      <c r="G154" s="306">
        <f t="shared" si="18"/>
        <v>2888997</v>
      </c>
      <c r="H154" s="286">
        <f t="shared" si="19"/>
        <v>2879872.1262977622</v>
      </c>
      <c r="I154" s="10">
        <f t="shared" si="20"/>
        <v>9124.8737022378482</v>
      </c>
      <c r="J154" s="303">
        <f t="shared" si="21"/>
        <v>-6656.8945657613849</v>
      </c>
      <c r="K154" s="462">
        <v>36511</v>
      </c>
      <c r="L154" s="10">
        <f t="shared" si="22"/>
        <v>359984.01578722027</v>
      </c>
      <c r="M154" s="14">
        <f t="shared" si="23"/>
        <v>0</v>
      </c>
      <c r="N154" s="2">
        <f t="shared" si="24"/>
        <v>0</v>
      </c>
      <c r="O154" s="131">
        <f t="shared" si="25"/>
        <v>-6656.8945657613849</v>
      </c>
      <c r="P154" s="457">
        <f t="shared" si="26"/>
        <v>-1.8492194858163228E-2</v>
      </c>
      <c r="Q154" s="127"/>
    </row>
    <row r="155" spans="1:17" x14ac:dyDescent="0.25">
      <c r="A155" s="49">
        <f>+'A) Base RI'!A157</f>
        <v>5649</v>
      </c>
      <c r="B155" s="294" t="str">
        <f>+'A) Base RI'!B157</f>
        <v>Tolochenaz</v>
      </c>
      <c r="C155" s="306">
        <f>+'D) Ecrêtage'!C155</f>
        <v>113998.65852486389</v>
      </c>
      <c r="D155" s="458">
        <v>321257</v>
      </c>
      <c r="E155" s="460">
        <v>645595</v>
      </c>
      <c r="F155" s="458">
        <v>33681</v>
      </c>
      <c r="G155" s="306">
        <f t="shared" si="18"/>
        <v>1000533</v>
      </c>
      <c r="H155" s="286">
        <f t="shared" si="19"/>
        <v>911989.2681989111</v>
      </c>
      <c r="I155" s="10">
        <f t="shared" si="20"/>
        <v>88543.731801088899</v>
      </c>
      <c r="J155" s="303">
        <f t="shared" si="21"/>
        <v>-64595.555652934367</v>
      </c>
      <c r="K155" s="462">
        <v>11234</v>
      </c>
      <c r="L155" s="10">
        <f t="shared" si="22"/>
        <v>113998.65852486389</v>
      </c>
      <c r="M155" s="14">
        <f t="shared" si="23"/>
        <v>0</v>
      </c>
      <c r="N155" s="2">
        <f t="shared" si="24"/>
        <v>0</v>
      </c>
      <c r="O155" s="131">
        <f t="shared" si="25"/>
        <v>-64595.555652934367</v>
      </c>
      <c r="P155" s="457">
        <f t="shared" si="26"/>
        <v>-0.56663434893705911</v>
      </c>
      <c r="Q155" s="127"/>
    </row>
    <row r="156" spans="1:17" x14ac:dyDescent="0.25">
      <c r="A156" s="49">
        <f>+'A) Base RI'!A158</f>
        <v>5650</v>
      </c>
      <c r="B156" s="294" t="str">
        <f>+'A) Base RI'!B158</f>
        <v>Vaux-sur-Morges</v>
      </c>
      <c r="C156" s="306">
        <f>+'D) Ecrêtage'!C156</f>
        <v>185104.32562171915</v>
      </c>
      <c r="D156" s="458">
        <v>30314</v>
      </c>
      <c r="E156" s="460">
        <v>6936</v>
      </c>
      <c r="F156" s="458">
        <v>23058</v>
      </c>
      <c r="G156" s="306">
        <f t="shared" si="18"/>
        <v>60308</v>
      </c>
      <c r="H156" s="286">
        <f t="shared" si="19"/>
        <v>1480834.6049737532</v>
      </c>
      <c r="I156" s="10">
        <f t="shared" si="20"/>
        <v>0</v>
      </c>
      <c r="J156" s="303">
        <f t="shared" si="21"/>
        <v>0</v>
      </c>
      <c r="K156" s="462">
        <v>3841</v>
      </c>
      <c r="L156" s="10">
        <f t="shared" si="22"/>
        <v>185104.32562171915</v>
      </c>
      <c r="M156" s="14">
        <f t="shared" si="23"/>
        <v>0</v>
      </c>
      <c r="N156" s="2">
        <f t="shared" si="24"/>
        <v>0</v>
      </c>
      <c r="O156" s="131">
        <f t="shared" si="25"/>
        <v>0</v>
      </c>
      <c r="P156" s="457">
        <f t="shared" si="26"/>
        <v>0</v>
      </c>
      <c r="Q156" s="127"/>
    </row>
    <row r="157" spans="1:17" x14ac:dyDescent="0.25">
      <c r="A157" s="49">
        <f>+'A) Base RI'!A159</f>
        <v>5651</v>
      </c>
      <c r="B157" s="294" t="str">
        <f>+'A) Base RI'!B159</f>
        <v>Villars-Sainte-Croix</v>
      </c>
      <c r="C157" s="306">
        <f>+'D) Ecrêtage'!C157</f>
        <v>50327.012990433635</v>
      </c>
      <c r="D157" s="458">
        <v>151267</v>
      </c>
      <c r="E157" s="460">
        <v>124807</v>
      </c>
      <c r="F157" s="458">
        <v>22723</v>
      </c>
      <c r="G157" s="306">
        <f t="shared" si="18"/>
        <v>298797</v>
      </c>
      <c r="H157" s="286">
        <f t="shared" si="19"/>
        <v>402616.10392346908</v>
      </c>
      <c r="I157" s="10">
        <f t="shared" si="20"/>
        <v>0</v>
      </c>
      <c r="J157" s="303">
        <f t="shared" si="21"/>
        <v>0</v>
      </c>
      <c r="K157" s="462">
        <v>16678</v>
      </c>
      <c r="L157" s="10">
        <f t="shared" si="22"/>
        <v>50327.012990433635</v>
      </c>
      <c r="M157" s="14">
        <f t="shared" si="23"/>
        <v>0</v>
      </c>
      <c r="N157" s="2">
        <f t="shared" si="24"/>
        <v>0</v>
      </c>
      <c r="O157" s="131">
        <f t="shared" si="25"/>
        <v>0</v>
      </c>
      <c r="P157" s="457">
        <f t="shared" si="26"/>
        <v>0</v>
      </c>
      <c r="Q157" s="127"/>
    </row>
    <row r="158" spans="1:17" x14ac:dyDescent="0.25">
      <c r="A158" s="49">
        <f>+'A) Base RI'!A160</f>
        <v>5652</v>
      </c>
      <c r="B158" s="294" t="str">
        <f>+'A) Base RI'!B160</f>
        <v>Villars-sous-Yens</v>
      </c>
      <c r="C158" s="306">
        <f>+'D) Ecrêtage'!C158</f>
        <v>29665.347417842095</v>
      </c>
      <c r="D158" s="458">
        <v>91276</v>
      </c>
      <c r="E158" s="460">
        <v>42802</v>
      </c>
      <c r="F158" s="458">
        <v>65232</v>
      </c>
      <c r="G158" s="306">
        <f t="shared" si="18"/>
        <v>199310</v>
      </c>
      <c r="H158" s="286">
        <f t="shared" si="19"/>
        <v>237322.77934273676</v>
      </c>
      <c r="I158" s="10">
        <f t="shared" si="20"/>
        <v>0</v>
      </c>
      <c r="J158" s="303">
        <f t="shared" si="21"/>
        <v>0</v>
      </c>
      <c r="K158" s="462">
        <v>6355</v>
      </c>
      <c r="L158" s="10">
        <f t="shared" si="22"/>
        <v>29665.347417842095</v>
      </c>
      <c r="M158" s="14">
        <f t="shared" si="23"/>
        <v>0</v>
      </c>
      <c r="N158" s="2">
        <f t="shared" si="24"/>
        <v>0</v>
      </c>
      <c r="O158" s="131">
        <f t="shared" si="25"/>
        <v>0</v>
      </c>
      <c r="P158" s="457">
        <f t="shared" si="26"/>
        <v>0</v>
      </c>
      <c r="Q158" s="127"/>
    </row>
    <row r="159" spans="1:17" x14ac:dyDescent="0.25">
      <c r="A159" s="49">
        <f>+'A) Base RI'!A161</f>
        <v>5653</v>
      </c>
      <c r="B159" s="294" t="str">
        <f>+'A) Base RI'!B161</f>
        <v>Vufflens-le-Château</v>
      </c>
      <c r="C159" s="306">
        <f>+'D) Ecrêtage'!C159</f>
        <v>61628.734956407359</v>
      </c>
      <c r="D159" s="458">
        <v>107157</v>
      </c>
      <c r="E159" s="460">
        <v>77030</v>
      </c>
      <c r="F159" s="458">
        <v>9735</v>
      </c>
      <c r="G159" s="306">
        <f t="shared" si="18"/>
        <v>193922</v>
      </c>
      <c r="H159" s="286">
        <f t="shared" si="19"/>
        <v>493029.87965125887</v>
      </c>
      <c r="I159" s="10">
        <f t="shared" si="20"/>
        <v>0</v>
      </c>
      <c r="J159" s="303">
        <f t="shared" si="21"/>
        <v>0</v>
      </c>
      <c r="K159" s="462">
        <v>4436</v>
      </c>
      <c r="L159" s="10">
        <f t="shared" si="22"/>
        <v>61628.734956407359</v>
      </c>
      <c r="M159" s="14">
        <f t="shared" si="23"/>
        <v>0</v>
      </c>
      <c r="N159" s="2">
        <f t="shared" si="24"/>
        <v>0</v>
      </c>
      <c r="O159" s="131">
        <f t="shared" si="25"/>
        <v>0</v>
      </c>
      <c r="P159" s="457">
        <f t="shared" si="26"/>
        <v>0</v>
      </c>
      <c r="Q159" s="127"/>
    </row>
    <row r="160" spans="1:17" x14ac:dyDescent="0.25">
      <c r="A160" s="49">
        <f>+'A) Base RI'!A162</f>
        <v>5654</v>
      </c>
      <c r="B160" s="294" t="str">
        <f>+'A) Base RI'!B162</f>
        <v>Vullierens</v>
      </c>
      <c r="C160" s="306">
        <f>+'D) Ecrêtage'!C160</f>
        <v>19147.575291748301</v>
      </c>
      <c r="D160" s="458">
        <v>71897</v>
      </c>
      <c r="E160" s="460">
        <v>17393</v>
      </c>
      <c r="F160" s="458">
        <v>35882</v>
      </c>
      <c r="G160" s="306">
        <f t="shared" si="18"/>
        <v>125172</v>
      </c>
      <c r="H160" s="286">
        <f t="shared" si="19"/>
        <v>153180.6023339864</v>
      </c>
      <c r="I160" s="10">
        <f t="shared" si="20"/>
        <v>0</v>
      </c>
      <c r="J160" s="303">
        <f t="shared" si="21"/>
        <v>0</v>
      </c>
      <c r="K160" s="462">
        <v>8818</v>
      </c>
      <c r="L160" s="10">
        <f t="shared" si="22"/>
        <v>19147.575291748301</v>
      </c>
      <c r="M160" s="14">
        <f t="shared" si="23"/>
        <v>0</v>
      </c>
      <c r="N160" s="2">
        <f t="shared" si="24"/>
        <v>0</v>
      </c>
      <c r="O160" s="131">
        <f t="shared" si="25"/>
        <v>0</v>
      </c>
      <c r="P160" s="457">
        <f t="shared" si="26"/>
        <v>0</v>
      </c>
      <c r="Q160" s="127"/>
    </row>
    <row r="161" spans="1:17" x14ac:dyDescent="0.25">
      <c r="A161" s="49">
        <f>+'A) Base RI'!A163</f>
        <v>5655</v>
      </c>
      <c r="B161" s="294" t="str">
        <f>+'A) Base RI'!B163</f>
        <v>Yens</v>
      </c>
      <c r="C161" s="306">
        <f>+'D) Ecrêtage'!C161</f>
        <v>86097.458084051032</v>
      </c>
      <c r="D161" s="458">
        <v>353216</v>
      </c>
      <c r="E161" s="460">
        <v>121557</v>
      </c>
      <c r="F161" s="458">
        <v>169901</v>
      </c>
      <c r="G161" s="306">
        <f t="shared" si="18"/>
        <v>644674</v>
      </c>
      <c r="H161" s="286">
        <f t="shared" si="19"/>
        <v>688779.66467240825</v>
      </c>
      <c r="I161" s="10">
        <f t="shared" si="20"/>
        <v>0</v>
      </c>
      <c r="J161" s="303">
        <f t="shared" si="21"/>
        <v>0</v>
      </c>
      <c r="K161" s="462">
        <v>6742</v>
      </c>
      <c r="L161" s="10">
        <f t="shared" si="22"/>
        <v>86097.458084051032</v>
      </c>
      <c r="M161" s="14">
        <f t="shared" si="23"/>
        <v>0</v>
      </c>
      <c r="N161" s="2">
        <f t="shared" si="24"/>
        <v>0</v>
      </c>
      <c r="O161" s="131">
        <f t="shared" si="25"/>
        <v>0</v>
      </c>
      <c r="P161" s="457">
        <f t="shared" si="26"/>
        <v>0</v>
      </c>
      <c r="Q161" s="127"/>
    </row>
    <row r="162" spans="1:17" x14ac:dyDescent="0.25">
      <c r="A162" s="49">
        <f>+'A) Base RI'!A164</f>
        <v>5661</v>
      </c>
      <c r="B162" s="294" t="str">
        <f>+'A) Base RI'!B164</f>
        <v>Boulens</v>
      </c>
      <c r="C162" s="306">
        <f>+'D) Ecrêtage'!C162</f>
        <v>10242.097149449037</v>
      </c>
      <c r="D162" s="458">
        <v>16916</v>
      </c>
      <c r="E162" s="460">
        <v>12555</v>
      </c>
      <c r="F162" s="458">
        <v>34560</v>
      </c>
      <c r="G162" s="306">
        <f t="shared" si="18"/>
        <v>64031</v>
      </c>
      <c r="H162" s="286">
        <f t="shared" si="19"/>
        <v>81936.777195592294</v>
      </c>
      <c r="I162" s="10">
        <f t="shared" si="20"/>
        <v>0</v>
      </c>
      <c r="J162" s="303">
        <f t="shared" si="21"/>
        <v>0</v>
      </c>
      <c r="K162" s="462">
        <v>30446</v>
      </c>
      <c r="L162" s="10">
        <f t="shared" si="22"/>
        <v>10242.097149449037</v>
      </c>
      <c r="M162" s="14">
        <f t="shared" si="23"/>
        <v>20203.902850550963</v>
      </c>
      <c r="N162" s="2">
        <f t="shared" si="24"/>
        <v>-14739.409605200244</v>
      </c>
      <c r="O162" s="131">
        <f t="shared" si="25"/>
        <v>-14739.409605200244</v>
      </c>
      <c r="P162" s="457">
        <f t="shared" si="26"/>
        <v>-1.4391007417844242</v>
      </c>
      <c r="Q162" s="127"/>
    </row>
    <row r="163" spans="1:17" x14ac:dyDescent="0.25">
      <c r="A163" s="49">
        <f>+'A) Base RI'!A165</f>
        <v>5663</v>
      </c>
      <c r="B163" s="294" t="str">
        <f>+'A) Base RI'!B165</f>
        <v>Bussy-sur-Moudon</v>
      </c>
      <c r="C163" s="306">
        <f>+'D) Ecrêtage'!C163</f>
        <v>5275.6077688756623</v>
      </c>
      <c r="D163" s="458">
        <v>97795</v>
      </c>
      <c r="E163" s="460">
        <v>6960</v>
      </c>
      <c r="F163" s="458">
        <v>12884</v>
      </c>
      <c r="G163" s="306">
        <f t="shared" si="18"/>
        <v>117639</v>
      </c>
      <c r="H163" s="286">
        <f t="shared" si="19"/>
        <v>42204.862151005298</v>
      </c>
      <c r="I163" s="10">
        <f t="shared" si="20"/>
        <v>75434.137848994695</v>
      </c>
      <c r="J163" s="303">
        <f t="shared" si="21"/>
        <v>-55031.677007947568</v>
      </c>
      <c r="K163" s="462">
        <v>25316</v>
      </c>
      <c r="L163" s="10">
        <f t="shared" si="22"/>
        <v>5275.6077688756623</v>
      </c>
      <c r="M163" s="14">
        <f t="shared" si="23"/>
        <v>20040.392231124337</v>
      </c>
      <c r="N163" s="2">
        <f t="shared" si="24"/>
        <v>-14620.123246898273</v>
      </c>
      <c r="O163" s="131">
        <f t="shared" si="25"/>
        <v>-69651.800254845846</v>
      </c>
      <c r="P163" s="457">
        <f t="shared" si="26"/>
        <v>-13.202611586435289</v>
      </c>
      <c r="Q163" s="127"/>
    </row>
    <row r="164" spans="1:17" x14ac:dyDescent="0.25">
      <c r="A164" s="49">
        <f>+'A) Base RI'!A166</f>
        <v>5665</v>
      </c>
      <c r="B164" s="294" t="str">
        <f>+'A) Base RI'!B166</f>
        <v>Chavannes-sur-Moudon</v>
      </c>
      <c r="C164" s="306">
        <f>+'D) Ecrêtage'!C164</f>
        <v>4607.2565465259731</v>
      </c>
      <c r="D164" s="458">
        <v>30419</v>
      </c>
      <c r="E164" s="460">
        <v>7327</v>
      </c>
      <c r="F164" s="458">
        <v>13168</v>
      </c>
      <c r="G164" s="306">
        <f t="shared" si="18"/>
        <v>50914</v>
      </c>
      <c r="H164" s="286">
        <f t="shared" si="19"/>
        <v>36858.052372207785</v>
      </c>
      <c r="I164" s="10">
        <f t="shared" si="20"/>
        <v>14055.947627792215</v>
      </c>
      <c r="J164" s="303">
        <f t="shared" si="21"/>
        <v>-10254.274681865363</v>
      </c>
      <c r="K164" s="462">
        <v>-13519</v>
      </c>
      <c r="L164" s="10">
        <f t="shared" si="22"/>
        <v>4607.2565465259731</v>
      </c>
      <c r="M164" s="14">
        <f t="shared" si="23"/>
        <v>0</v>
      </c>
      <c r="N164" s="2">
        <f t="shared" si="24"/>
        <v>0</v>
      </c>
      <c r="O164" s="131">
        <f t="shared" si="25"/>
        <v>-10254.274681865363</v>
      </c>
      <c r="P164" s="457">
        <f t="shared" si="26"/>
        <v>-2.22567911691339</v>
      </c>
      <c r="Q164" s="127"/>
    </row>
    <row r="165" spans="1:17" x14ac:dyDescent="0.25">
      <c r="A165" s="49">
        <f>+'A) Base RI'!A167</f>
        <v>5669</v>
      </c>
      <c r="B165" s="294" t="str">
        <f>+'A) Base RI'!B167</f>
        <v>Curtilles</v>
      </c>
      <c r="C165" s="306">
        <f>+'D) Ecrêtage'!C165</f>
        <v>7730.4977240355793</v>
      </c>
      <c r="D165" s="458">
        <v>48836</v>
      </c>
      <c r="E165" s="460">
        <v>21181</v>
      </c>
      <c r="F165" s="458">
        <v>17967</v>
      </c>
      <c r="G165" s="306">
        <f t="shared" si="18"/>
        <v>87984</v>
      </c>
      <c r="H165" s="286">
        <f t="shared" si="19"/>
        <v>61843.981792284634</v>
      </c>
      <c r="I165" s="10">
        <f t="shared" si="20"/>
        <v>26140.018207715366</v>
      </c>
      <c r="J165" s="303">
        <f t="shared" si="21"/>
        <v>-19070.000400462344</v>
      </c>
      <c r="K165" s="462">
        <v>267</v>
      </c>
      <c r="L165" s="10">
        <f t="shared" si="22"/>
        <v>7730.4977240355793</v>
      </c>
      <c r="M165" s="14">
        <f t="shared" si="23"/>
        <v>0</v>
      </c>
      <c r="N165" s="2">
        <f t="shared" si="24"/>
        <v>0</v>
      </c>
      <c r="O165" s="131">
        <f t="shared" si="25"/>
        <v>-19070.000400462344</v>
      </c>
      <c r="P165" s="457">
        <f t="shared" si="26"/>
        <v>-2.4668528575036128</v>
      </c>
      <c r="Q165" s="127"/>
    </row>
    <row r="166" spans="1:17" x14ac:dyDescent="0.25">
      <c r="A166" s="49">
        <f>+'A) Base RI'!A168</f>
        <v>5671</v>
      </c>
      <c r="B166" s="294" t="str">
        <f>+'A) Base RI'!B168</f>
        <v>Dompierre</v>
      </c>
      <c r="C166" s="306">
        <f>+'D) Ecrêtage'!C166</f>
        <v>6107.4315082005251</v>
      </c>
      <c r="D166" s="458">
        <v>104655</v>
      </c>
      <c r="E166" s="460">
        <v>8625</v>
      </c>
      <c r="F166" s="458">
        <v>30913</v>
      </c>
      <c r="G166" s="306">
        <f t="shared" si="18"/>
        <v>144193</v>
      </c>
      <c r="H166" s="286">
        <f t="shared" si="19"/>
        <v>48859.4520656042</v>
      </c>
      <c r="I166" s="10">
        <f t="shared" si="20"/>
        <v>95333.5479343958</v>
      </c>
      <c r="J166" s="303">
        <f t="shared" si="21"/>
        <v>-69548.949156807721</v>
      </c>
      <c r="K166" s="462">
        <v>6222</v>
      </c>
      <c r="L166" s="10">
        <f t="shared" si="22"/>
        <v>6107.4315082005251</v>
      </c>
      <c r="M166" s="14">
        <f t="shared" si="23"/>
        <v>114.56849179947494</v>
      </c>
      <c r="N166" s="2">
        <f t="shared" si="24"/>
        <v>-83.581471410432769</v>
      </c>
      <c r="O166" s="131">
        <f t="shared" si="25"/>
        <v>-69632.530628218155</v>
      </c>
      <c r="P166" s="457">
        <f t="shared" si="26"/>
        <v>-11.401279004884735</v>
      </c>
      <c r="Q166" s="127"/>
    </row>
    <row r="167" spans="1:17" x14ac:dyDescent="0.25">
      <c r="A167" s="49">
        <f>+'A) Base RI'!A169</f>
        <v>5673</v>
      </c>
      <c r="B167" s="294" t="str">
        <f>+'A) Base RI'!B169</f>
        <v>Hermenches</v>
      </c>
      <c r="C167" s="306">
        <f>+'D) Ecrêtage'!C167</f>
        <v>9275.5467189326828</v>
      </c>
      <c r="D167" s="458">
        <v>259178</v>
      </c>
      <c r="E167" s="460">
        <v>12622</v>
      </c>
      <c r="F167" s="458">
        <v>21997</v>
      </c>
      <c r="G167" s="306">
        <f t="shared" si="18"/>
        <v>293797</v>
      </c>
      <c r="H167" s="286">
        <f t="shared" si="19"/>
        <v>74204.373751461462</v>
      </c>
      <c r="I167" s="10">
        <f t="shared" si="20"/>
        <v>219592.62624853855</v>
      </c>
      <c r="J167" s="303">
        <f t="shared" si="21"/>
        <v>-160200.02117910562</v>
      </c>
      <c r="K167" s="462">
        <v>42639</v>
      </c>
      <c r="L167" s="10">
        <f t="shared" si="22"/>
        <v>9275.5467189326828</v>
      </c>
      <c r="M167" s="14">
        <f t="shared" si="23"/>
        <v>33363.453281067319</v>
      </c>
      <c r="N167" s="2">
        <f t="shared" si="24"/>
        <v>-24339.733139243588</v>
      </c>
      <c r="O167" s="131">
        <f t="shared" si="25"/>
        <v>-184539.75431834921</v>
      </c>
      <c r="P167" s="457">
        <f t="shared" si="26"/>
        <v>-19.895296731315888</v>
      </c>
      <c r="Q167" s="127"/>
    </row>
    <row r="168" spans="1:17" x14ac:dyDescent="0.25">
      <c r="A168" s="49">
        <f>+'A) Base RI'!A170</f>
        <v>5674</v>
      </c>
      <c r="B168" s="294" t="str">
        <f>+'A) Base RI'!B170</f>
        <v>Lovatens</v>
      </c>
      <c r="C168" s="306">
        <f>+'D) Ecrêtage'!C168</f>
        <v>3271.992985930126</v>
      </c>
      <c r="D168" s="458">
        <v>38931</v>
      </c>
      <c r="E168" s="460">
        <v>4696</v>
      </c>
      <c r="F168" s="458">
        <v>7880</v>
      </c>
      <c r="G168" s="306">
        <f t="shared" si="18"/>
        <v>51507</v>
      </c>
      <c r="H168" s="286">
        <f t="shared" si="19"/>
        <v>26175.943887441008</v>
      </c>
      <c r="I168" s="10">
        <f t="shared" si="20"/>
        <v>25331.056112558992</v>
      </c>
      <c r="J168" s="303">
        <f t="shared" si="21"/>
        <v>-18479.836026589124</v>
      </c>
      <c r="K168" s="462">
        <v>-682</v>
      </c>
      <c r="L168" s="10">
        <f t="shared" si="22"/>
        <v>3271.992985930126</v>
      </c>
      <c r="M168" s="14">
        <f t="shared" si="23"/>
        <v>0</v>
      </c>
      <c r="N168" s="2">
        <f t="shared" si="24"/>
        <v>0</v>
      </c>
      <c r="O168" s="131">
        <f t="shared" si="25"/>
        <v>-18479.836026589124</v>
      </c>
      <c r="P168" s="457">
        <f t="shared" si="26"/>
        <v>-5.6478837534353339</v>
      </c>
      <c r="Q168" s="127"/>
    </row>
    <row r="169" spans="1:17" x14ac:dyDescent="0.25">
      <c r="A169" s="49">
        <f>+'A) Base RI'!A171</f>
        <v>5675</v>
      </c>
      <c r="B169" s="294" t="str">
        <f>+'A) Base RI'!B171</f>
        <v>Lucens</v>
      </c>
      <c r="C169" s="306">
        <f>+'D) Ecrêtage'!C169</f>
        <v>90143.04189619486</v>
      </c>
      <c r="D169" s="458">
        <v>765957</v>
      </c>
      <c r="E169" s="460">
        <v>346107</v>
      </c>
      <c r="F169" s="458">
        <v>253601</v>
      </c>
      <c r="G169" s="306">
        <f t="shared" si="18"/>
        <v>1365665</v>
      </c>
      <c r="H169" s="286">
        <f t="shared" si="19"/>
        <v>721144.33516955888</v>
      </c>
      <c r="I169" s="10">
        <f t="shared" si="20"/>
        <v>644520.66483044112</v>
      </c>
      <c r="J169" s="303">
        <f t="shared" si="21"/>
        <v>-470198.95849938662</v>
      </c>
      <c r="K169" s="462">
        <v>40058</v>
      </c>
      <c r="L169" s="10">
        <f t="shared" si="22"/>
        <v>90143.04189619486</v>
      </c>
      <c r="M169" s="14">
        <f t="shared" si="23"/>
        <v>0</v>
      </c>
      <c r="N169" s="2">
        <f t="shared" si="24"/>
        <v>0</v>
      </c>
      <c r="O169" s="131">
        <f t="shared" si="25"/>
        <v>-470198.95849938662</v>
      </c>
      <c r="P169" s="457">
        <f t="shared" si="26"/>
        <v>-5.2161425730546016</v>
      </c>
      <c r="Q169" s="127"/>
    </row>
    <row r="170" spans="1:17" x14ac:dyDescent="0.25">
      <c r="A170" s="49">
        <f>+'A) Base RI'!A172</f>
        <v>5678</v>
      </c>
      <c r="B170" s="294" t="str">
        <f>+'A) Base RI'!B172</f>
        <v>Moudon</v>
      </c>
      <c r="C170" s="306">
        <f>+'D) Ecrêtage'!C170</f>
        <v>115752.26296280598</v>
      </c>
      <c r="D170" s="458">
        <v>1616364</v>
      </c>
      <c r="E170" s="460">
        <v>514955</v>
      </c>
      <c r="F170" s="458">
        <v>398190</v>
      </c>
      <c r="G170" s="306">
        <f t="shared" si="18"/>
        <v>2529509</v>
      </c>
      <c r="H170" s="286">
        <f t="shared" si="19"/>
        <v>926018.10370244784</v>
      </c>
      <c r="I170" s="10">
        <f t="shared" si="20"/>
        <v>1603490.8962975522</v>
      </c>
      <c r="J170" s="303">
        <f t="shared" si="21"/>
        <v>-1169799.186501967</v>
      </c>
      <c r="K170" s="462">
        <v>304124</v>
      </c>
      <c r="L170" s="10">
        <f t="shared" si="22"/>
        <v>115752.26296280598</v>
      </c>
      <c r="M170" s="14">
        <f t="shared" si="23"/>
        <v>188371.73703719402</v>
      </c>
      <c r="N170" s="2">
        <f t="shared" si="24"/>
        <v>-137423.35878231353</v>
      </c>
      <c r="O170" s="131">
        <f t="shared" si="25"/>
        <v>-1307222.5452842806</v>
      </c>
      <c r="P170" s="457">
        <f t="shared" si="26"/>
        <v>-11.293278522807999</v>
      </c>
      <c r="Q170" s="127"/>
    </row>
    <row r="171" spans="1:17" x14ac:dyDescent="0.25">
      <c r="A171" s="49">
        <f>+'A) Base RI'!A173</f>
        <v>5680</v>
      </c>
      <c r="B171" s="294" t="str">
        <f>+'A) Base RI'!B173</f>
        <v>Ogens</v>
      </c>
      <c r="C171" s="306">
        <f>+'D) Ecrêtage'!C171</f>
        <v>6425.0974128432881</v>
      </c>
      <c r="D171" s="458">
        <v>21657</v>
      </c>
      <c r="E171" s="460">
        <v>12535</v>
      </c>
      <c r="F171" s="458">
        <v>27868</v>
      </c>
      <c r="G171" s="306">
        <f t="shared" si="18"/>
        <v>62060</v>
      </c>
      <c r="H171" s="286">
        <f t="shared" si="19"/>
        <v>51400.779302746305</v>
      </c>
      <c r="I171" s="10">
        <f t="shared" si="20"/>
        <v>10659.220697253695</v>
      </c>
      <c r="J171" s="303">
        <f t="shared" si="21"/>
        <v>-7776.2510090849073</v>
      </c>
      <c r="K171" s="462">
        <v>16975</v>
      </c>
      <c r="L171" s="10">
        <f t="shared" si="22"/>
        <v>6425.0974128432881</v>
      </c>
      <c r="M171" s="14">
        <f t="shared" si="23"/>
        <v>10549.902587156712</v>
      </c>
      <c r="N171" s="2">
        <f t="shared" si="24"/>
        <v>-7696.4998632837942</v>
      </c>
      <c r="O171" s="131">
        <f t="shared" si="25"/>
        <v>-15472.750872368702</v>
      </c>
      <c r="P171" s="457">
        <f t="shared" si="26"/>
        <v>-2.4081737409054425</v>
      </c>
      <c r="Q171" s="127"/>
    </row>
    <row r="172" spans="1:17" x14ac:dyDescent="0.25">
      <c r="A172" s="49">
        <f>+'A) Base RI'!A174</f>
        <v>5683</v>
      </c>
      <c r="B172" s="294" t="str">
        <f>+'A) Base RI'!B174</f>
        <v>Prévonloup</v>
      </c>
      <c r="C172" s="306">
        <f>+'D) Ecrêtage'!C172</f>
        <v>3739.7592858383009</v>
      </c>
      <c r="D172" s="458">
        <v>36225</v>
      </c>
      <c r="E172" s="460">
        <v>5329</v>
      </c>
      <c r="F172" s="458">
        <v>9952</v>
      </c>
      <c r="G172" s="306">
        <f t="shared" si="18"/>
        <v>51506</v>
      </c>
      <c r="H172" s="286">
        <f t="shared" si="19"/>
        <v>29918.074286706407</v>
      </c>
      <c r="I172" s="10">
        <f t="shared" si="20"/>
        <v>21587.925713293593</v>
      </c>
      <c r="J172" s="303">
        <f t="shared" si="21"/>
        <v>-15749.09966497843</v>
      </c>
      <c r="K172" s="462">
        <v>-1686</v>
      </c>
      <c r="L172" s="10">
        <f t="shared" si="22"/>
        <v>3739.7592858383009</v>
      </c>
      <c r="M172" s="14">
        <f t="shared" si="23"/>
        <v>0</v>
      </c>
      <c r="N172" s="2">
        <f t="shared" si="24"/>
        <v>0</v>
      </c>
      <c r="O172" s="131">
        <f t="shared" si="25"/>
        <v>-15749.09966497843</v>
      </c>
      <c r="P172" s="457">
        <f t="shared" si="26"/>
        <v>-4.2112602606849672</v>
      </c>
      <c r="Q172" s="127"/>
    </row>
    <row r="173" spans="1:17" x14ac:dyDescent="0.25">
      <c r="A173" s="49">
        <f>+'A) Base RI'!A175</f>
        <v>5684</v>
      </c>
      <c r="B173" s="294" t="str">
        <f>+'A) Base RI'!B175</f>
        <v>Rossenges</v>
      </c>
      <c r="C173" s="306">
        <f>+'D) Ecrêtage'!C173</f>
        <v>1960.0054491323369</v>
      </c>
      <c r="D173" s="458">
        <v>1868</v>
      </c>
      <c r="E173" s="460">
        <v>2098</v>
      </c>
      <c r="F173" s="458">
        <v>3357</v>
      </c>
      <c r="G173" s="306">
        <f t="shared" si="18"/>
        <v>7323</v>
      </c>
      <c r="H173" s="286">
        <f t="shared" si="19"/>
        <v>15680.043593058695</v>
      </c>
      <c r="I173" s="10">
        <f t="shared" si="20"/>
        <v>0</v>
      </c>
      <c r="J173" s="303">
        <f t="shared" si="21"/>
        <v>0</v>
      </c>
      <c r="K173" s="462">
        <v>241</v>
      </c>
      <c r="L173" s="10">
        <f t="shared" si="22"/>
        <v>1960.0054491323369</v>
      </c>
      <c r="M173" s="14">
        <f t="shared" si="23"/>
        <v>0</v>
      </c>
      <c r="N173" s="2">
        <f t="shared" si="24"/>
        <v>0</v>
      </c>
      <c r="O173" s="131">
        <f t="shared" si="25"/>
        <v>0</v>
      </c>
      <c r="P173" s="457">
        <f t="shared" si="26"/>
        <v>0</v>
      </c>
      <c r="Q173" s="127"/>
    </row>
    <row r="174" spans="1:17" x14ac:dyDescent="0.25">
      <c r="A174" s="49">
        <f>+'A) Base RI'!A176</f>
        <v>5688</v>
      </c>
      <c r="B174" s="294" t="str">
        <f>+'A) Base RI'!B176</f>
        <v>Syens</v>
      </c>
      <c r="C174" s="306">
        <f>+'D) Ecrêtage'!C174</f>
        <v>3766.5702445621059</v>
      </c>
      <c r="D174" s="458">
        <v>49770</v>
      </c>
      <c r="E174" s="460">
        <v>7493</v>
      </c>
      <c r="F174" s="458">
        <v>21820</v>
      </c>
      <c r="G174" s="306">
        <f t="shared" si="18"/>
        <v>79083</v>
      </c>
      <c r="H174" s="286">
        <f t="shared" si="19"/>
        <v>30132.561956496847</v>
      </c>
      <c r="I174" s="10">
        <f t="shared" si="20"/>
        <v>48950.438043503149</v>
      </c>
      <c r="J174" s="303">
        <f t="shared" si="21"/>
        <v>-35710.949612762284</v>
      </c>
      <c r="K174" s="462">
        <v>2612</v>
      </c>
      <c r="L174" s="10">
        <f t="shared" si="22"/>
        <v>3766.5702445621059</v>
      </c>
      <c r="M174" s="14">
        <f t="shared" si="23"/>
        <v>0</v>
      </c>
      <c r="N174" s="2">
        <f t="shared" si="24"/>
        <v>0</v>
      </c>
      <c r="O174" s="131">
        <f t="shared" si="25"/>
        <v>-35710.949612762284</v>
      </c>
      <c r="P174" s="457">
        <f t="shared" si="26"/>
        <v>-9.481025785811136</v>
      </c>
      <c r="Q174" s="127"/>
    </row>
    <row r="175" spans="1:17" x14ac:dyDescent="0.25">
      <c r="A175" s="49">
        <f>+'A) Base RI'!A177</f>
        <v>5690</v>
      </c>
      <c r="B175" s="294" t="str">
        <f>+'A) Base RI'!B177</f>
        <v>Villars-le-Comte</v>
      </c>
      <c r="C175" s="306">
        <f>+'D) Ecrêtage'!C175</f>
        <v>4066.8729144140357</v>
      </c>
      <c r="D175" s="458">
        <v>11936</v>
      </c>
      <c r="E175" s="460">
        <v>4729</v>
      </c>
      <c r="F175" s="458">
        <v>7443</v>
      </c>
      <c r="G175" s="306">
        <f t="shared" si="18"/>
        <v>24108</v>
      </c>
      <c r="H175" s="286">
        <f t="shared" si="19"/>
        <v>32534.983315312285</v>
      </c>
      <c r="I175" s="10">
        <f t="shared" si="20"/>
        <v>0</v>
      </c>
      <c r="J175" s="303">
        <f t="shared" si="21"/>
        <v>0</v>
      </c>
      <c r="K175" s="462">
        <v>-257</v>
      </c>
      <c r="L175" s="10">
        <f t="shared" si="22"/>
        <v>4066.8729144140357</v>
      </c>
      <c r="M175" s="14">
        <f t="shared" si="23"/>
        <v>0</v>
      </c>
      <c r="N175" s="2">
        <f t="shared" si="24"/>
        <v>0</v>
      </c>
      <c r="O175" s="131">
        <f t="shared" si="25"/>
        <v>0</v>
      </c>
      <c r="P175" s="457">
        <f t="shared" si="26"/>
        <v>0</v>
      </c>
      <c r="Q175" s="127"/>
    </row>
    <row r="176" spans="1:17" x14ac:dyDescent="0.25">
      <c r="A176" s="49">
        <f>+'A) Base RI'!A178</f>
        <v>5692</v>
      </c>
      <c r="B176" s="294" t="str">
        <f>+'A) Base RI'!B178</f>
        <v>Vucherens</v>
      </c>
      <c r="C176" s="306">
        <f>+'D) Ecrêtage'!C176</f>
        <v>16181.962340912567</v>
      </c>
      <c r="D176" s="458">
        <v>127833</v>
      </c>
      <c r="E176" s="460">
        <v>29124</v>
      </c>
      <c r="F176" s="458">
        <v>77141</v>
      </c>
      <c r="G176" s="306">
        <f t="shared" si="18"/>
        <v>234098</v>
      </c>
      <c r="H176" s="286">
        <f t="shared" si="19"/>
        <v>129455.69872730054</v>
      </c>
      <c r="I176" s="10">
        <f t="shared" si="20"/>
        <v>104642.30127269946</v>
      </c>
      <c r="J176" s="303">
        <f t="shared" si="21"/>
        <v>-76339.989946399088</v>
      </c>
      <c r="K176" s="462">
        <v>18434</v>
      </c>
      <c r="L176" s="10">
        <f t="shared" si="22"/>
        <v>16181.962340912567</v>
      </c>
      <c r="M176" s="14">
        <f t="shared" si="23"/>
        <v>2252.037659087433</v>
      </c>
      <c r="N176" s="2">
        <f t="shared" si="24"/>
        <v>-1642.9353154764742</v>
      </c>
      <c r="O176" s="131">
        <f t="shared" si="25"/>
        <v>-77982.925261875556</v>
      </c>
      <c r="P176" s="457">
        <f t="shared" si="26"/>
        <v>-4.8191266064630938</v>
      </c>
      <c r="Q176" s="127"/>
    </row>
    <row r="177" spans="1:17" x14ac:dyDescent="0.25">
      <c r="A177" s="49">
        <f>+'A) Base RI'!A179</f>
        <v>5693</v>
      </c>
      <c r="B177" s="294" t="str">
        <f>+'A) Base RI'!B179</f>
        <v>Montanaire</v>
      </c>
      <c r="C177" s="306">
        <f>+'D) Ecrêtage'!C177</f>
        <v>69189.830336889005</v>
      </c>
      <c r="D177" s="458">
        <v>915633</v>
      </c>
      <c r="E177" s="460">
        <v>130183</v>
      </c>
      <c r="F177" s="458">
        <v>238892</v>
      </c>
      <c r="G177" s="306">
        <f t="shared" si="18"/>
        <v>1284708</v>
      </c>
      <c r="H177" s="286">
        <f t="shared" si="19"/>
        <v>553518.64269511204</v>
      </c>
      <c r="I177" s="10">
        <f t="shared" si="20"/>
        <v>731189.35730488796</v>
      </c>
      <c r="J177" s="303">
        <f t="shared" si="21"/>
        <v>-533426.61148194748</v>
      </c>
      <c r="K177" s="462">
        <v>186710</v>
      </c>
      <c r="L177" s="10">
        <f t="shared" si="22"/>
        <v>69189.830336889005</v>
      </c>
      <c r="M177" s="14">
        <f t="shared" si="23"/>
        <v>117520.169663111</v>
      </c>
      <c r="N177" s="2">
        <f t="shared" si="24"/>
        <v>-85734.817195974785</v>
      </c>
      <c r="O177" s="131">
        <f t="shared" si="25"/>
        <v>-619161.42867792223</v>
      </c>
      <c r="P177" s="457">
        <f t="shared" si="26"/>
        <v>-8.9487345996252916</v>
      </c>
      <c r="Q177" s="127"/>
    </row>
    <row r="178" spans="1:17" x14ac:dyDescent="0.25">
      <c r="A178" s="49">
        <f>+'A) Base RI'!A180</f>
        <v>5701</v>
      </c>
      <c r="B178" s="294" t="str">
        <f>+'A) Base RI'!B180</f>
        <v>Arnex-sur-Nyon</v>
      </c>
      <c r="C178" s="306">
        <f>+'D) Ecrêtage'!C178</f>
        <v>13494.151628023246</v>
      </c>
      <c r="D178" s="458">
        <v>6694</v>
      </c>
      <c r="E178" s="460">
        <v>9064</v>
      </c>
      <c r="F178" s="458">
        <v>43701</v>
      </c>
      <c r="G178" s="306">
        <f t="shared" si="18"/>
        <v>59459</v>
      </c>
      <c r="H178" s="286">
        <f t="shared" si="19"/>
        <v>107953.21302418597</v>
      </c>
      <c r="I178" s="10">
        <f t="shared" si="20"/>
        <v>0</v>
      </c>
      <c r="J178" s="303">
        <f t="shared" si="21"/>
        <v>0</v>
      </c>
      <c r="K178" s="462">
        <v>1995</v>
      </c>
      <c r="L178" s="10">
        <f t="shared" si="22"/>
        <v>13494.151628023246</v>
      </c>
      <c r="M178" s="14">
        <f t="shared" si="23"/>
        <v>0</v>
      </c>
      <c r="N178" s="2">
        <f t="shared" si="24"/>
        <v>0</v>
      </c>
      <c r="O178" s="131">
        <f t="shared" si="25"/>
        <v>0</v>
      </c>
      <c r="P178" s="457">
        <f t="shared" si="26"/>
        <v>0</v>
      </c>
      <c r="Q178" s="127"/>
    </row>
    <row r="179" spans="1:17" x14ac:dyDescent="0.25">
      <c r="A179" s="49">
        <f>+'A) Base RI'!A181</f>
        <v>5702</v>
      </c>
      <c r="B179" s="294" t="str">
        <f>+'A) Base RI'!B181</f>
        <v>Arzier-Le Muids</v>
      </c>
      <c r="C179" s="306">
        <f>+'D) Ecrêtage'!C179</f>
        <v>176187.34911477199</v>
      </c>
      <c r="D179" s="458">
        <v>552340</v>
      </c>
      <c r="E179" s="460">
        <v>181776</v>
      </c>
      <c r="F179" s="458">
        <v>131169</v>
      </c>
      <c r="G179" s="306">
        <f t="shared" si="18"/>
        <v>865285</v>
      </c>
      <c r="H179" s="286">
        <f t="shared" si="19"/>
        <v>1409498.7929181759</v>
      </c>
      <c r="I179" s="10">
        <f t="shared" si="20"/>
        <v>0</v>
      </c>
      <c r="J179" s="303">
        <f t="shared" si="21"/>
        <v>0</v>
      </c>
      <c r="K179" s="462">
        <v>545942</v>
      </c>
      <c r="L179" s="10">
        <f t="shared" si="22"/>
        <v>176187.34911477199</v>
      </c>
      <c r="M179" s="14">
        <f t="shared" si="23"/>
        <v>369754.65088522801</v>
      </c>
      <c r="N179" s="2">
        <f t="shared" si="24"/>
        <v>-269748.14188816847</v>
      </c>
      <c r="O179" s="131">
        <f t="shared" si="25"/>
        <v>-269748.14188816847</v>
      </c>
      <c r="P179" s="457">
        <f t="shared" si="26"/>
        <v>-1.5310301406058904</v>
      </c>
      <c r="Q179" s="127"/>
    </row>
    <row r="180" spans="1:17" x14ac:dyDescent="0.25">
      <c r="A180" s="49">
        <f>+'A) Base RI'!A182</f>
        <v>5703</v>
      </c>
      <c r="B180" s="294" t="str">
        <f>+'A) Base RI'!B182</f>
        <v>Bassins</v>
      </c>
      <c r="C180" s="306">
        <f>+'D) Ecrêtage'!C180</f>
        <v>55300.638649310058</v>
      </c>
      <c r="D180" s="458">
        <v>182916</v>
      </c>
      <c r="E180" s="460">
        <v>54872</v>
      </c>
      <c r="F180" s="458">
        <v>136874</v>
      </c>
      <c r="G180" s="306">
        <f t="shared" si="18"/>
        <v>374662</v>
      </c>
      <c r="H180" s="286">
        <f t="shared" si="19"/>
        <v>442405.10919448046</v>
      </c>
      <c r="I180" s="10">
        <f t="shared" si="20"/>
        <v>0</v>
      </c>
      <c r="J180" s="303">
        <f t="shared" si="21"/>
        <v>0</v>
      </c>
      <c r="K180" s="462">
        <v>335620</v>
      </c>
      <c r="L180" s="10">
        <f t="shared" si="22"/>
        <v>55300.638649310058</v>
      </c>
      <c r="M180" s="14">
        <f t="shared" si="23"/>
        <v>280319.36135068996</v>
      </c>
      <c r="N180" s="2">
        <f t="shared" si="24"/>
        <v>-204502.16563495723</v>
      </c>
      <c r="O180" s="131">
        <f t="shared" si="25"/>
        <v>-204502.16563495723</v>
      </c>
      <c r="P180" s="457">
        <f t="shared" si="26"/>
        <v>-3.6980073038904884</v>
      </c>
      <c r="Q180" s="127"/>
    </row>
    <row r="181" spans="1:17" x14ac:dyDescent="0.25">
      <c r="A181" s="49">
        <f>+'A) Base RI'!A183</f>
        <v>5704</v>
      </c>
      <c r="B181" s="294" t="str">
        <f>+'A) Base RI'!B183</f>
        <v>Begnins</v>
      </c>
      <c r="C181" s="306">
        <f>+'D) Ecrêtage'!C181</f>
        <v>122435.43857401636</v>
      </c>
      <c r="D181" s="458">
        <v>520025</v>
      </c>
      <c r="E181" s="460">
        <v>77760</v>
      </c>
      <c r="F181" s="458">
        <v>186994</v>
      </c>
      <c r="G181" s="306">
        <f t="shared" si="18"/>
        <v>784779</v>
      </c>
      <c r="H181" s="286">
        <f t="shared" si="19"/>
        <v>979483.50859213085</v>
      </c>
      <c r="I181" s="10">
        <f t="shared" si="20"/>
        <v>0</v>
      </c>
      <c r="J181" s="303">
        <f t="shared" si="21"/>
        <v>0</v>
      </c>
      <c r="K181" s="462">
        <v>38410</v>
      </c>
      <c r="L181" s="10">
        <f t="shared" si="22"/>
        <v>122435.43857401636</v>
      </c>
      <c r="M181" s="14">
        <f t="shared" si="23"/>
        <v>0</v>
      </c>
      <c r="N181" s="2">
        <f t="shared" si="24"/>
        <v>0</v>
      </c>
      <c r="O181" s="131">
        <f t="shared" si="25"/>
        <v>0</v>
      </c>
      <c r="P181" s="457">
        <f t="shared" si="26"/>
        <v>0</v>
      </c>
      <c r="Q181" s="127"/>
    </row>
    <row r="182" spans="1:17" x14ac:dyDescent="0.25">
      <c r="A182" s="49">
        <f>+'A) Base RI'!A184</f>
        <v>5705</v>
      </c>
      <c r="B182" s="294" t="str">
        <f>+'A) Base RI'!B184</f>
        <v>Bogis-Bossey</v>
      </c>
      <c r="C182" s="306">
        <f>+'D) Ecrêtage'!C182</f>
        <v>49357.057232158906</v>
      </c>
      <c r="D182" s="458">
        <v>-149765</v>
      </c>
      <c r="E182" s="460">
        <v>43335</v>
      </c>
      <c r="F182" s="458">
        <v>55352</v>
      </c>
      <c r="G182" s="306">
        <f t="shared" si="18"/>
        <v>-51078</v>
      </c>
      <c r="H182" s="286">
        <f t="shared" si="19"/>
        <v>394856.45785727125</v>
      </c>
      <c r="I182" s="10">
        <f t="shared" si="20"/>
        <v>0</v>
      </c>
      <c r="J182" s="303">
        <f t="shared" si="21"/>
        <v>0</v>
      </c>
      <c r="K182" s="462">
        <v>-43425</v>
      </c>
      <c r="L182" s="10">
        <f t="shared" si="22"/>
        <v>49357.057232158906</v>
      </c>
      <c r="M182" s="14">
        <f t="shared" si="23"/>
        <v>0</v>
      </c>
      <c r="N182" s="2">
        <f t="shared" si="24"/>
        <v>0</v>
      </c>
      <c r="O182" s="131">
        <f t="shared" si="25"/>
        <v>0</v>
      </c>
      <c r="P182" s="457">
        <f t="shared" si="26"/>
        <v>0</v>
      </c>
      <c r="Q182" s="127"/>
    </row>
    <row r="183" spans="1:17" x14ac:dyDescent="0.25">
      <c r="A183" s="49">
        <f>+'A) Base RI'!A185</f>
        <v>5706</v>
      </c>
      <c r="B183" s="294" t="str">
        <f>+'A) Base RI'!B185</f>
        <v>Borex</v>
      </c>
      <c r="C183" s="306">
        <f>+'D) Ecrêtage'!C183</f>
        <v>70814.792156181808</v>
      </c>
      <c r="D183" s="458">
        <v>243425</v>
      </c>
      <c r="E183" s="460">
        <v>45564</v>
      </c>
      <c r="F183" s="458">
        <v>207541</v>
      </c>
      <c r="G183" s="306">
        <f t="shared" si="18"/>
        <v>496530</v>
      </c>
      <c r="H183" s="286">
        <f t="shared" si="19"/>
        <v>566518.33724945446</v>
      </c>
      <c r="I183" s="10">
        <f t="shared" si="20"/>
        <v>0</v>
      </c>
      <c r="J183" s="303">
        <f t="shared" si="21"/>
        <v>0</v>
      </c>
      <c r="K183" s="462">
        <v>1995</v>
      </c>
      <c r="L183" s="10">
        <f t="shared" si="22"/>
        <v>70814.792156181808</v>
      </c>
      <c r="M183" s="14">
        <f t="shared" si="23"/>
        <v>0</v>
      </c>
      <c r="N183" s="2">
        <f t="shared" si="24"/>
        <v>0</v>
      </c>
      <c r="O183" s="131">
        <f t="shared" si="25"/>
        <v>0</v>
      </c>
      <c r="P183" s="457">
        <f t="shared" si="26"/>
        <v>0</v>
      </c>
      <c r="Q183" s="127"/>
    </row>
    <row r="184" spans="1:17" x14ac:dyDescent="0.25">
      <c r="A184" s="49">
        <f>+'A) Base RI'!A186</f>
        <v>5707</v>
      </c>
      <c r="B184" s="294" t="str">
        <f>+'A) Base RI'!B186</f>
        <v>Chavannes-de-Bogis</v>
      </c>
      <c r="C184" s="306">
        <f>+'D) Ecrêtage'!C184</f>
        <v>74977.772605941107</v>
      </c>
      <c r="D184" s="458">
        <v>298315</v>
      </c>
      <c r="E184" s="460">
        <v>62485</v>
      </c>
      <c r="F184" s="458">
        <v>79602</v>
      </c>
      <c r="G184" s="306">
        <f t="shared" si="18"/>
        <v>440402</v>
      </c>
      <c r="H184" s="286">
        <f t="shared" si="19"/>
        <v>599822.18084752886</v>
      </c>
      <c r="I184" s="10">
        <f t="shared" si="20"/>
        <v>0</v>
      </c>
      <c r="J184" s="303">
        <f t="shared" si="21"/>
        <v>0</v>
      </c>
      <c r="K184" s="462">
        <v>-4676</v>
      </c>
      <c r="L184" s="10">
        <f t="shared" si="22"/>
        <v>74977.772605941107</v>
      </c>
      <c r="M184" s="14">
        <f t="shared" si="23"/>
        <v>0</v>
      </c>
      <c r="N184" s="2">
        <f t="shared" si="24"/>
        <v>0</v>
      </c>
      <c r="O184" s="131">
        <f t="shared" si="25"/>
        <v>0</v>
      </c>
      <c r="P184" s="457">
        <f t="shared" si="26"/>
        <v>0</v>
      </c>
      <c r="Q184" s="127"/>
    </row>
    <row r="185" spans="1:17" x14ac:dyDescent="0.25">
      <c r="A185" s="49">
        <f>+'A) Base RI'!A187</f>
        <v>5708</v>
      </c>
      <c r="B185" s="294" t="str">
        <f>+'A) Base RI'!B187</f>
        <v>Chavannes-des-Bois</v>
      </c>
      <c r="C185" s="306">
        <f>+'D) Ecrêtage'!C185</f>
        <v>57043.960322475032</v>
      </c>
      <c r="D185" s="458">
        <v>188899</v>
      </c>
      <c r="E185" s="460">
        <v>154184</v>
      </c>
      <c r="F185" s="458">
        <v>73637</v>
      </c>
      <c r="G185" s="306">
        <f t="shared" si="18"/>
        <v>416720</v>
      </c>
      <c r="H185" s="286">
        <f t="shared" si="19"/>
        <v>456351.68257980025</v>
      </c>
      <c r="I185" s="10">
        <f t="shared" si="20"/>
        <v>0</v>
      </c>
      <c r="J185" s="303">
        <f t="shared" si="21"/>
        <v>0</v>
      </c>
      <c r="K185" s="462">
        <v>0</v>
      </c>
      <c r="L185" s="10">
        <f t="shared" si="22"/>
        <v>57043.960322475032</v>
      </c>
      <c r="M185" s="14">
        <f t="shared" si="23"/>
        <v>0</v>
      </c>
      <c r="N185" s="2">
        <f t="shared" si="24"/>
        <v>0</v>
      </c>
      <c r="O185" s="131">
        <f t="shared" si="25"/>
        <v>0</v>
      </c>
      <c r="P185" s="457">
        <f t="shared" si="26"/>
        <v>0</v>
      </c>
      <c r="Q185" s="127"/>
    </row>
    <row r="186" spans="1:17" x14ac:dyDescent="0.25">
      <c r="A186" s="49">
        <f>+'A) Base RI'!A188</f>
        <v>5709</v>
      </c>
      <c r="B186" s="294" t="str">
        <f>+'A) Base RI'!B188</f>
        <v>Chéserex</v>
      </c>
      <c r="C186" s="306">
        <f>+'D) Ecrêtage'!C186</f>
        <v>106115.90679849937</v>
      </c>
      <c r="D186" s="458">
        <v>329494</v>
      </c>
      <c r="E186" s="460">
        <v>49328</v>
      </c>
      <c r="F186" s="458">
        <v>200391</v>
      </c>
      <c r="G186" s="306">
        <f t="shared" si="18"/>
        <v>579213</v>
      </c>
      <c r="H186" s="286">
        <f t="shared" si="19"/>
        <v>848927.254387995</v>
      </c>
      <c r="I186" s="10">
        <f t="shared" si="20"/>
        <v>0</v>
      </c>
      <c r="J186" s="303">
        <f t="shared" si="21"/>
        <v>0</v>
      </c>
      <c r="K186" s="462">
        <v>63014</v>
      </c>
      <c r="L186" s="10">
        <f t="shared" si="22"/>
        <v>106115.90679849937</v>
      </c>
      <c r="M186" s="14">
        <f t="shared" si="23"/>
        <v>0</v>
      </c>
      <c r="N186" s="2">
        <f t="shared" si="24"/>
        <v>0</v>
      </c>
      <c r="O186" s="131">
        <f t="shared" si="25"/>
        <v>0</v>
      </c>
      <c r="P186" s="457">
        <f t="shared" si="26"/>
        <v>0</v>
      </c>
      <c r="Q186" s="127"/>
    </row>
    <row r="187" spans="1:17" x14ac:dyDescent="0.25">
      <c r="A187" s="49">
        <f>+'A) Base RI'!A189</f>
        <v>5710</v>
      </c>
      <c r="B187" s="294" t="str">
        <f>+'A) Base RI'!B189</f>
        <v>Coinsins</v>
      </c>
      <c r="C187" s="306">
        <f>+'D) Ecrêtage'!C187</f>
        <v>136110.49360949438</v>
      </c>
      <c r="D187" s="458">
        <v>86872</v>
      </c>
      <c r="E187" s="460">
        <v>19585</v>
      </c>
      <c r="F187" s="458">
        <v>48831</v>
      </c>
      <c r="G187" s="306">
        <f t="shared" si="18"/>
        <v>155288</v>
      </c>
      <c r="H187" s="286">
        <f t="shared" si="19"/>
        <v>1088883.9488759551</v>
      </c>
      <c r="I187" s="10">
        <f t="shared" si="20"/>
        <v>0</v>
      </c>
      <c r="J187" s="303">
        <f t="shared" si="21"/>
        <v>0</v>
      </c>
      <c r="K187" s="462">
        <v>4202</v>
      </c>
      <c r="L187" s="10">
        <f t="shared" si="22"/>
        <v>136110.49360949438</v>
      </c>
      <c r="M187" s="14">
        <f t="shared" si="23"/>
        <v>0</v>
      </c>
      <c r="N187" s="2">
        <f t="shared" si="24"/>
        <v>0</v>
      </c>
      <c r="O187" s="131">
        <f t="shared" si="25"/>
        <v>0</v>
      </c>
      <c r="P187" s="457">
        <f t="shared" si="26"/>
        <v>0</v>
      </c>
      <c r="Q187" s="127"/>
    </row>
    <row r="188" spans="1:17" x14ac:dyDescent="0.25">
      <c r="A188" s="49">
        <f>+'A) Base RI'!A190</f>
        <v>5711</v>
      </c>
      <c r="B188" s="294" t="str">
        <f>+'A) Base RI'!B190</f>
        <v>Commugny</v>
      </c>
      <c r="C188" s="306">
        <f>+'D) Ecrêtage'!C188</f>
        <v>277708.93037627928</v>
      </c>
      <c r="D188" s="458">
        <v>495704</v>
      </c>
      <c r="E188" s="460">
        <v>158637</v>
      </c>
      <c r="F188" s="458">
        <v>145616</v>
      </c>
      <c r="G188" s="306">
        <f t="shared" si="18"/>
        <v>799957</v>
      </c>
      <c r="H188" s="286">
        <f t="shared" si="19"/>
        <v>2221671.4430102343</v>
      </c>
      <c r="I188" s="10">
        <f t="shared" si="20"/>
        <v>0</v>
      </c>
      <c r="J188" s="303">
        <f t="shared" si="21"/>
        <v>0</v>
      </c>
      <c r="K188" s="462">
        <v>5489</v>
      </c>
      <c r="L188" s="10">
        <f t="shared" si="22"/>
        <v>277708.93037627928</v>
      </c>
      <c r="M188" s="14">
        <f t="shared" si="23"/>
        <v>0</v>
      </c>
      <c r="N188" s="2">
        <f t="shared" si="24"/>
        <v>0</v>
      </c>
      <c r="O188" s="131">
        <f t="shared" si="25"/>
        <v>0</v>
      </c>
      <c r="P188" s="457">
        <f t="shared" si="26"/>
        <v>0</v>
      </c>
      <c r="Q188" s="127"/>
    </row>
    <row r="189" spans="1:17" x14ac:dyDescent="0.25">
      <c r="A189" s="49">
        <f>+'A) Base RI'!A191</f>
        <v>5712</v>
      </c>
      <c r="B189" s="294" t="str">
        <f>+'A) Base RI'!B191</f>
        <v>Coppet</v>
      </c>
      <c r="C189" s="306">
        <f>+'D) Ecrêtage'!C189</f>
        <v>337534.69243130391</v>
      </c>
      <c r="D189" s="458">
        <v>616414</v>
      </c>
      <c r="E189" s="460">
        <v>263165</v>
      </c>
      <c r="F189" s="458">
        <v>193517</v>
      </c>
      <c r="G189" s="306">
        <f t="shared" si="18"/>
        <v>1073096</v>
      </c>
      <c r="H189" s="286">
        <f t="shared" si="19"/>
        <v>2700277.5394504312</v>
      </c>
      <c r="I189" s="10">
        <f t="shared" si="20"/>
        <v>0</v>
      </c>
      <c r="J189" s="303">
        <f t="shared" si="21"/>
        <v>0</v>
      </c>
      <c r="K189" s="462">
        <v>0</v>
      </c>
      <c r="L189" s="10">
        <f t="shared" si="22"/>
        <v>337534.69243130391</v>
      </c>
      <c r="M189" s="14">
        <f t="shared" si="23"/>
        <v>0</v>
      </c>
      <c r="N189" s="2">
        <f t="shared" si="24"/>
        <v>0</v>
      </c>
      <c r="O189" s="131">
        <f t="shared" si="25"/>
        <v>0</v>
      </c>
      <c r="P189" s="457">
        <f t="shared" si="26"/>
        <v>0</v>
      </c>
      <c r="Q189" s="127"/>
    </row>
    <row r="190" spans="1:17" x14ac:dyDescent="0.25">
      <c r="A190" s="49">
        <f>+'A) Base RI'!A192</f>
        <v>5713</v>
      </c>
      <c r="B190" s="294" t="str">
        <f>+'A) Base RI'!B192</f>
        <v>Crans-près-Céligny</v>
      </c>
      <c r="C190" s="306">
        <f>+'D) Ecrêtage'!C190</f>
        <v>273158.77225218777</v>
      </c>
      <c r="D190" s="458">
        <v>394151</v>
      </c>
      <c r="E190" s="460">
        <v>93507</v>
      </c>
      <c r="F190" s="458">
        <v>140115</v>
      </c>
      <c r="G190" s="306">
        <f t="shared" si="18"/>
        <v>627773</v>
      </c>
      <c r="H190" s="286">
        <f t="shared" si="19"/>
        <v>2185270.1780175022</v>
      </c>
      <c r="I190" s="10">
        <f t="shared" si="20"/>
        <v>0</v>
      </c>
      <c r="J190" s="303">
        <f t="shared" si="21"/>
        <v>0</v>
      </c>
      <c r="K190" s="462">
        <v>20768</v>
      </c>
      <c r="L190" s="10">
        <f t="shared" si="22"/>
        <v>273158.77225218777</v>
      </c>
      <c r="M190" s="14">
        <f t="shared" si="23"/>
        <v>0</v>
      </c>
      <c r="N190" s="2">
        <f t="shared" si="24"/>
        <v>0</v>
      </c>
      <c r="O190" s="131">
        <f t="shared" si="25"/>
        <v>0</v>
      </c>
      <c r="P190" s="457">
        <f t="shared" si="26"/>
        <v>0</v>
      </c>
      <c r="Q190" s="127"/>
    </row>
    <row r="191" spans="1:17" x14ac:dyDescent="0.25">
      <c r="A191" s="49">
        <f>+'A) Base RI'!A193</f>
        <v>5714</v>
      </c>
      <c r="B191" s="294" t="str">
        <f>+'A) Base RI'!B193</f>
        <v>Crassier</v>
      </c>
      <c r="C191" s="306">
        <f>+'D) Ecrêtage'!C191</f>
        <v>74464.147646326936</v>
      </c>
      <c r="D191" s="458">
        <v>149963</v>
      </c>
      <c r="E191" s="460">
        <v>46982</v>
      </c>
      <c r="F191" s="458">
        <v>225567</v>
      </c>
      <c r="G191" s="306">
        <f t="shared" si="18"/>
        <v>422512</v>
      </c>
      <c r="H191" s="286">
        <f t="shared" si="19"/>
        <v>595713.18117061548</v>
      </c>
      <c r="I191" s="10">
        <f t="shared" si="20"/>
        <v>0</v>
      </c>
      <c r="J191" s="303">
        <f t="shared" si="21"/>
        <v>0</v>
      </c>
      <c r="K191" s="462">
        <v>9679</v>
      </c>
      <c r="L191" s="10">
        <f t="shared" si="22"/>
        <v>74464.147646326936</v>
      </c>
      <c r="M191" s="14">
        <f t="shared" si="23"/>
        <v>0</v>
      </c>
      <c r="N191" s="2">
        <f t="shared" si="24"/>
        <v>0</v>
      </c>
      <c r="O191" s="131">
        <f t="shared" si="25"/>
        <v>0</v>
      </c>
      <c r="P191" s="457">
        <f t="shared" si="26"/>
        <v>0</v>
      </c>
      <c r="Q191" s="127"/>
    </row>
    <row r="192" spans="1:17" x14ac:dyDescent="0.25">
      <c r="A192" s="49">
        <f>+'A) Base RI'!A194</f>
        <v>5715</v>
      </c>
      <c r="B192" s="294" t="str">
        <f>+'A) Base RI'!B194</f>
        <v>Duillier</v>
      </c>
      <c r="C192" s="306">
        <f>+'D) Ecrêtage'!C192</f>
        <v>77556.587804651164</v>
      </c>
      <c r="D192" s="458">
        <v>125403</v>
      </c>
      <c r="E192" s="460">
        <v>43622</v>
      </c>
      <c r="F192" s="458">
        <v>103688</v>
      </c>
      <c r="G192" s="306">
        <f t="shared" si="18"/>
        <v>272713</v>
      </c>
      <c r="H192" s="286">
        <f t="shared" si="19"/>
        <v>620452.70243720931</v>
      </c>
      <c r="I192" s="10">
        <f t="shared" si="20"/>
        <v>0</v>
      </c>
      <c r="J192" s="303">
        <f t="shared" si="21"/>
        <v>0</v>
      </c>
      <c r="K192" s="462">
        <v>1435</v>
      </c>
      <c r="L192" s="10">
        <f t="shared" si="22"/>
        <v>77556.587804651164</v>
      </c>
      <c r="M192" s="14">
        <f t="shared" si="23"/>
        <v>0</v>
      </c>
      <c r="N192" s="2">
        <f t="shared" si="24"/>
        <v>0</v>
      </c>
      <c r="O192" s="131">
        <f t="shared" si="25"/>
        <v>0</v>
      </c>
      <c r="P192" s="457">
        <f t="shared" si="26"/>
        <v>0</v>
      </c>
      <c r="Q192" s="127"/>
    </row>
    <row r="193" spans="1:17" x14ac:dyDescent="0.25">
      <c r="A193" s="49">
        <f>+'A) Base RI'!A195</f>
        <v>5716</v>
      </c>
      <c r="B193" s="294" t="str">
        <f>+'A) Base RI'!B195</f>
        <v>Eysins</v>
      </c>
      <c r="C193" s="306">
        <f>+'D) Ecrêtage'!C193</f>
        <v>177981.86327972834</v>
      </c>
      <c r="D193" s="458">
        <v>193763</v>
      </c>
      <c r="E193" s="460">
        <v>64867</v>
      </c>
      <c r="F193" s="458">
        <v>317624</v>
      </c>
      <c r="G193" s="306">
        <f t="shared" si="18"/>
        <v>576254</v>
      </c>
      <c r="H193" s="286">
        <f t="shared" si="19"/>
        <v>1423854.9062378267</v>
      </c>
      <c r="I193" s="10">
        <f t="shared" si="20"/>
        <v>0</v>
      </c>
      <c r="J193" s="303">
        <f t="shared" si="21"/>
        <v>0</v>
      </c>
      <c r="K193" s="462">
        <v>3938</v>
      </c>
      <c r="L193" s="10">
        <f t="shared" si="22"/>
        <v>177981.86327972834</v>
      </c>
      <c r="M193" s="14">
        <f t="shared" si="23"/>
        <v>0</v>
      </c>
      <c r="N193" s="2">
        <f t="shared" si="24"/>
        <v>0</v>
      </c>
      <c r="O193" s="131">
        <f t="shared" si="25"/>
        <v>0</v>
      </c>
      <c r="P193" s="457">
        <f t="shared" si="26"/>
        <v>0</v>
      </c>
      <c r="Q193" s="127"/>
    </row>
    <row r="194" spans="1:17" x14ac:dyDescent="0.25">
      <c r="A194" s="49">
        <f>+'A) Base RI'!A196</f>
        <v>5717</v>
      </c>
      <c r="B194" s="294" t="str">
        <f>+'A) Base RI'!B196</f>
        <v>Founex</v>
      </c>
      <c r="C194" s="306">
        <f>+'D) Ecrêtage'!C194</f>
        <v>372726.48546710185</v>
      </c>
      <c r="D194" s="458">
        <v>1052126</v>
      </c>
      <c r="E194" s="460">
        <v>153284</v>
      </c>
      <c r="F194" s="458">
        <v>237197</v>
      </c>
      <c r="G194" s="306">
        <f t="shared" si="18"/>
        <v>1442607</v>
      </c>
      <c r="H194" s="286">
        <f t="shared" si="19"/>
        <v>2981811.8837368148</v>
      </c>
      <c r="I194" s="10">
        <f t="shared" si="20"/>
        <v>0</v>
      </c>
      <c r="J194" s="303">
        <f t="shared" si="21"/>
        <v>0</v>
      </c>
      <c r="K194" s="462">
        <v>11134</v>
      </c>
      <c r="L194" s="10">
        <f t="shared" si="22"/>
        <v>372726.48546710185</v>
      </c>
      <c r="M194" s="14">
        <f t="shared" si="23"/>
        <v>0</v>
      </c>
      <c r="N194" s="2">
        <f t="shared" si="24"/>
        <v>0</v>
      </c>
      <c r="O194" s="131">
        <f t="shared" si="25"/>
        <v>0</v>
      </c>
      <c r="P194" s="457">
        <f t="shared" si="26"/>
        <v>0</v>
      </c>
      <c r="Q194" s="127"/>
    </row>
    <row r="195" spans="1:17" s="262" customFormat="1" x14ac:dyDescent="0.25">
      <c r="A195" s="49">
        <f>+'A) Base RI'!A197</f>
        <v>5718</v>
      </c>
      <c r="B195" s="294" t="str">
        <f>+'A) Base RI'!B197</f>
        <v>Genolier</v>
      </c>
      <c r="C195" s="306">
        <f>+'D) Ecrêtage'!C195</f>
        <v>170666.41821719555</v>
      </c>
      <c r="D195" s="458">
        <v>431025</v>
      </c>
      <c r="E195" s="460">
        <v>136357</v>
      </c>
      <c r="F195" s="458">
        <v>138332</v>
      </c>
      <c r="G195" s="306">
        <f t="shared" si="18"/>
        <v>705714</v>
      </c>
      <c r="H195" s="286">
        <f t="shared" si="19"/>
        <v>1365331.3457375644</v>
      </c>
      <c r="I195" s="10">
        <f t="shared" si="20"/>
        <v>0</v>
      </c>
      <c r="J195" s="303">
        <f t="shared" si="21"/>
        <v>0</v>
      </c>
      <c r="K195" s="461">
        <v>94983</v>
      </c>
      <c r="L195" s="260">
        <f t="shared" si="22"/>
        <v>170666.41821719555</v>
      </c>
      <c r="M195" s="1">
        <f t="shared" si="23"/>
        <v>0</v>
      </c>
      <c r="N195" s="2">
        <f t="shared" si="24"/>
        <v>0</v>
      </c>
      <c r="O195" s="131">
        <f t="shared" si="25"/>
        <v>0</v>
      </c>
      <c r="P195" s="457">
        <f t="shared" si="26"/>
        <v>0</v>
      </c>
      <c r="Q195" s="261"/>
    </row>
    <row r="196" spans="1:17" x14ac:dyDescent="0.25">
      <c r="A196" s="49">
        <f>+'A) Base RI'!A198</f>
        <v>5719</v>
      </c>
      <c r="B196" s="294" t="str">
        <f>+'A) Base RI'!B198</f>
        <v>Gingins</v>
      </c>
      <c r="C196" s="306">
        <f>+'D) Ecrêtage'!C196</f>
        <v>110505.6531809626</v>
      </c>
      <c r="D196" s="458">
        <v>216778</v>
      </c>
      <c r="E196" s="460">
        <v>49045</v>
      </c>
      <c r="F196" s="458">
        <v>209716</v>
      </c>
      <c r="G196" s="306">
        <f t="shared" si="18"/>
        <v>475539</v>
      </c>
      <c r="H196" s="286">
        <f t="shared" si="19"/>
        <v>884045.22544770082</v>
      </c>
      <c r="I196" s="10">
        <f t="shared" si="20"/>
        <v>0</v>
      </c>
      <c r="J196" s="303">
        <f t="shared" si="21"/>
        <v>0</v>
      </c>
      <c r="K196" s="462">
        <v>35258</v>
      </c>
      <c r="L196" s="10">
        <f t="shared" si="22"/>
        <v>110505.6531809626</v>
      </c>
      <c r="M196" s="14">
        <f t="shared" si="23"/>
        <v>0</v>
      </c>
      <c r="N196" s="2">
        <f t="shared" si="24"/>
        <v>0</v>
      </c>
      <c r="O196" s="131">
        <f t="shared" si="25"/>
        <v>0</v>
      </c>
      <c r="P196" s="457">
        <f t="shared" si="26"/>
        <v>0</v>
      </c>
      <c r="Q196" s="127"/>
    </row>
    <row r="197" spans="1:17" x14ac:dyDescent="0.25">
      <c r="A197" s="49">
        <f>+'A) Base RI'!A199</f>
        <v>5720</v>
      </c>
      <c r="B197" s="294" t="str">
        <f>+'A) Base RI'!B199</f>
        <v>Givrins</v>
      </c>
      <c r="C197" s="306">
        <f>+'D) Ecrêtage'!C197</f>
        <v>66980.280368955675</v>
      </c>
      <c r="D197" s="458">
        <v>289849</v>
      </c>
      <c r="E197" s="460">
        <v>67616</v>
      </c>
      <c r="F197" s="458">
        <v>73434</v>
      </c>
      <c r="G197" s="306">
        <f t="shared" si="18"/>
        <v>430899</v>
      </c>
      <c r="H197" s="286">
        <f t="shared" si="19"/>
        <v>535842.2429516454</v>
      </c>
      <c r="I197" s="10">
        <f t="shared" si="20"/>
        <v>0</v>
      </c>
      <c r="J197" s="303">
        <f t="shared" si="21"/>
        <v>0</v>
      </c>
      <c r="K197" s="462">
        <v>105720</v>
      </c>
      <c r="L197" s="10">
        <f t="shared" si="22"/>
        <v>66980.280368955675</v>
      </c>
      <c r="M197" s="14">
        <f t="shared" si="23"/>
        <v>38739.719631044325</v>
      </c>
      <c r="N197" s="2">
        <f t="shared" si="24"/>
        <v>-28261.895726597595</v>
      </c>
      <c r="O197" s="131">
        <f t="shared" si="25"/>
        <v>-28261.895726597595</v>
      </c>
      <c r="P197" s="457">
        <f t="shared" si="26"/>
        <v>-0.42194352682489739</v>
      </c>
      <c r="Q197" s="127"/>
    </row>
    <row r="198" spans="1:17" x14ac:dyDescent="0.25">
      <c r="A198" s="49">
        <f>+'A) Base RI'!A200</f>
        <v>5721</v>
      </c>
      <c r="B198" s="294" t="str">
        <f>+'A) Base RI'!B200</f>
        <v>Gland</v>
      </c>
      <c r="C198" s="306">
        <f>+'D) Ecrêtage'!C198</f>
        <v>636120.41665849148</v>
      </c>
      <c r="D198" s="458">
        <v>2792541</v>
      </c>
      <c r="E198" s="460">
        <v>1397053</v>
      </c>
      <c r="F198" s="458">
        <v>48355</v>
      </c>
      <c r="G198" s="306">
        <f t="shared" ref="G198:G261" si="27">SUM(D198:F198)</f>
        <v>4237949</v>
      </c>
      <c r="H198" s="286">
        <f t="shared" ref="H198:H261" si="28">+C198*$I$4</f>
        <v>5088963.3332679318</v>
      </c>
      <c r="I198" s="10">
        <f t="shared" ref="I198:I261" si="29">IF(G198&gt;H198,G198-H198,0)</f>
        <v>0</v>
      </c>
      <c r="J198" s="303">
        <f t="shared" ref="J198:J261" si="30">-I198*J$4</f>
        <v>0</v>
      </c>
      <c r="K198" s="462">
        <v>14188</v>
      </c>
      <c r="L198" s="10">
        <f t="shared" ref="L198:L261" si="31">C198*M$4</f>
        <v>636120.41665849148</v>
      </c>
      <c r="M198" s="14">
        <f t="shared" ref="M198:M261" si="32">IF(K198&gt;L198,K198-L198,0)</f>
        <v>0</v>
      </c>
      <c r="N198" s="2">
        <f t="shared" ref="N198:N261" si="33">-M198*N$4</f>
        <v>0</v>
      </c>
      <c r="O198" s="131">
        <f t="shared" ref="O198:O261" si="34">N198+J198</f>
        <v>0</v>
      </c>
      <c r="P198" s="457">
        <f t="shared" ref="P198:P261" si="35">+O198/C198</f>
        <v>0</v>
      </c>
      <c r="Q198" s="127"/>
    </row>
    <row r="199" spans="1:17" x14ac:dyDescent="0.25">
      <c r="A199" s="49">
        <f>+'A) Base RI'!A201</f>
        <v>5722</v>
      </c>
      <c r="B199" s="294" t="str">
        <f>+'A) Base RI'!B201</f>
        <v>Grens</v>
      </c>
      <c r="C199" s="306">
        <f>+'D) Ecrêtage'!C199</f>
        <v>22061.884042906917</v>
      </c>
      <c r="D199" s="458">
        <v>33184</v>
      </c>
      <c r="E199" s="460">
        <v>15458</v>
      </c>
      <c r="F199" s="458">
        <v>67808</v>
      </c>
      <c r="G199" s="306">
        <f t="shared" si="27"/>
        <v>116450</v>
      </c>
      <c r="H199" s="286">
        <f t="shared" si="28"/>
        <v>176495.07234325533</v>
      </c>
      <c r="I199" s="10">
        <f t="shared" si="29"/>
        <v>0</v>
      </c>
      <c r="J199" s="303">
        <f t="shared" si="30"/>
        <v>0</v>
      </c>
      <c r="K199" s="462">
        <v>-9203</v>
      </c>
      <c r="L199" s="10">
        <f t="shared" si="31"/>
        <v>22061.884042906917</v>
      </c>
      <c r="M199" s="14">
        <f t="shared" si="32"/>
        <v>0</v>
      </c>
      <c r="N199" s="2">
        <f t="shared" si="33"/>
        <v>0</v>
      </c>
      <c r="O199" s="131">
        <f t="shared" si="34"/>
        <v>0</v>
      </c>
      <c r="P199" s="457">
        <f t="shared" si="35"/>
        <v>0</v>
      </c>
      <c r="Q199" s="127"/>
    </row>
    <row r="200" spans="1:17" x14ac:dyDescent="0.25">
      <c r="A200" s="49">
        <f>+'A) Base RI'!A202</f>
        <v>5723</v>
      </c>
      <c r="B200" s="294" t="str">
        <f>+'A) Base RI'!B202</f>
        <v>Mies</v>
      </c>
      <c r="C200" s="306">
        <f>+'D) Ecrêtage'!C200</f>
        <v>508753.19533233909</v>
      </c>
      <c r="D200" s="458">
        <v>207773</v>
      </c>
      <c r="E200" s="460">
        <v>142859</v>
      </c>
      <c r="F200" s="458">
        <v>114849</v>
      </c>
      <c r="G200" s="306">
        <f t="shared" si="27"/>
        <v>465481</v>
      </c>
      <c r="H200" s="286">
        <f t="shared" si="28"/>
        <v>4070025.5626587127</v>
      </c>
      <c r="I200" s="10">
        <f t="shared" si="29"/>
        <v>0</v>
      </c>
      <c r="J200" s="303">
        <f t="shared" si="30"/>
        <v>0</v>
      </c>
      <c r="K200" s="462">
        <v>0</v>
      </c>
      <c r="L200" s="10">
        <f t="shared" si="31"/>
        <v>508753.19533233909</v>
      </c>
      <c r="M200" s="14">
        <f t="shared" si="32"/>
        <v>0</v>
      </c>
      <c r="N200" s="2">
        <f t="shared" si="33"/>
        <v>0</v>
      </c>
      <c r="O200" s="131">
        <f t="shared" si="34"/>
        <v>0</v>
      </c>
      <c r="P200" s="457">
        <f t="shared" si="35"/>
        <v>0</v>
      </c>
      <c r="Q200" s="127"/>
    </row>
    <row r="201" spans="1:17" x14ac:dyDescent="0.25">
      <c r="A201" s="49">
        <f>+'A) Base RI'!A203</f>
        <v>5724</v>
      </c>
      <c r="B201" s="294" t="str">
        <f>+'A) Base RI'!B203</f>
        <v>Nyon</v>
      </c>
      <c r="C201" s="306">
        <f>+'D) Ecrêtage'!C201</f>
        <v>1284648.9485752215</v>
      </c>
      <c r="D201" s="458">
        <v>7146320</v>
      </c>
      <c r="E201" s="460">
        <v>4039254</v>
      </c>
      <c r="F201" s="458">
        <v>171246</v>
      </c>
      <c r="G201" s="306">
        <f t="shared" si="27"/>
        <v>11356820</v>
      </c>
      <c r="H201" s="286">
        <f t="shared" si="28"/>
        <v>10277191.588601772</v>
      </c>
      <c r="I201" s="10">
        <f t="shared" si="29"/>
        <v>1079628.4113982283</v>
      </c>
      <c r="J201" s="303">
        <f t="shared" si="30"/>
        <v>-787624.32658283028</v>
      </c>
      <c r="K201" s="462">
        <v>321663</v>
      </c>
      <c r="L201" s="10">
        <f t="shared" si="31"/>
        <v>1284648.9485752215</v>
      </c>
      <c r="M201" s="14">
        <f t="shared" si="32"/>
        <v>0</v>
      </c>
      <c r="N201" s="2">
        <f t="shared" si="33"/>
        <v>0</v>
      </c>
      <c r="O201" s="131">
        <f t="shared" si="34"/>
        <v>-787624.32658283028</v>
      </c>
      <c r="P201" s="457">
        <f t="shared" si="35"/>
        <v>-0.61310471429285696</v>
      </c>
      <c r="Q201" s="127"/>
    </row>
    <row r="202" spans="1:17" x14ac:dyDescent="0.25">
      <c r="A202" s="49">
        <f>+'A) Base RI'!A204</f>
        <v>5725</v>
      </c>
      <c r="B202" s="294" t="str">
        <f>+'A) Base RI'!B204</f>
        <v>Prangins</v>
      </c>
      <c r="C202" s="306">
        <f>+'D) Ecrêtage'!C202</f>
        <v>331424.63115044968</v>
      </c>
      <c r="D202" s="458">
        <v>663256</v>
      </c>
      <c r="E202" s="460">
        <v>1233563</v>
      </c>
      <c r="F202" s="458">
        <v>79600</v>
      </c>
      <c r="G202" s="306">
        <f t="shared" si="27"/>
        <v>1976419</v>
      </c>
      <c r="H202" s="286">
        <f t="shared" si="28"/>
        <v>2651397.0492035975</v>
      </c>
      <c r="I202" s="10">
        <f t="shared" si="29"/>
        <v>0</v>
      </c>
      <c r="J202" s="303">
        <f t="shared" si="30"/>
        <v>0</v>
      </c>
      <c r="K202" s="462">
        <v>11902</v>
      </c>
      <c r="L202" s="10">
        <f t="shared" si="31"/>
        <v>331424.63115044968</v>
      </c>
      <c r="M202" s="14">
        <f t="shared" si="32"/>
        <v>0</v>
      </c>
      <c r="N202" s="2">
        <f t="shared" si="33"/>
        <v>0</v>
      </c>
      <c r="O202" s="131">
        <f t="shared" si="34"/>
        <v>0</v>
      </c>
      <c r="P202" s="457">
        <f t="shared" si="35"/>
        <v>0</v>
      </c>
      <c r="Q202" s="127"/>
    </row>
    <row r="203" spans="1:17" x14ac:dyDescent="0.25">
      <c r="A203" s="49">
        <f>+'A) Base RI'!A205</f>
        <v>5726</v>
      </c>
      <c r="B203" s="294" t="str">
        <f>+'A) Base RI'!B205</f>
        <v>La Rippe</v>
      </c>
      <c r="C203" s="306">
        <f>+'D) Ecrêtage'!C203</f>
        <v>59775.654047436234</v>
      </c>
      <c r="D203" s="458">
        <v>217726</v>
      </c>
      <c r="E203" s="460">
        <v>76737</v>
      </c>
      <c r="F203" s="458">
        <v>199215</v>
      </c>
      <c r="G203" s="306">
        <f t="shared" si="27"/>
        <v>493678</v>
      </c>
      <c r="H203" s="286">
        <f t="shared" si="28"/>
        <v>478205.23237948987</v>
      </c>
      <c r="I203" s="10">
        <f t="shared" si="29"/>
        <v>15472.767620510131</v>
      </c>
      <c r="J203" s="303">
        <f t="shared" si="30"/>
        <v>-11287.89132336177</v>
      </c>
      <c r="K203" s="462">
        <v>79149</v>
      </c>
      <c r="L203" s="10">
        <f t="shared" si="31"/>
        <v>59775.654047436234</v>
      </c>
      <c r="M203" s="14">
        <f t="shared" si="32"/>
        <v>19373.345952563766</v>
      </c>
      <c r="N203" s="2">
        <f t="shared" si="33"/>
        <v>-14133.491114579312</v>
      </c>
      <c r="O203" s="131">
        <f t="shared" si="34"/>
        <v>-25421.38243794108</v>
      </c>
      <c r="P203" s="457">
        <f t="shared" si="35"/>
        <v>-0.42527987092817765</v>
      </c>
      <c r="Q203" s="127"/>
    </row>
    <row r="204" spans="1:17" x14ac:dyDescent="0.25">
      <c r="A204" s="49">
        <f>+'A) Base RI'!A206</f>
        <v>5727</v>
      </c>
      <c r="B204" s="294" t="str">
        <f>+'A) Base RI'!B206</f>
        <v>Saint-Cergue</v>
      </c>
      <c r="C204" s="306">
        <f>+'D) Ecrêtage'!C204</f>
        <v>84837.616861897855</v>
      </c>
      <c r="D204" s="458">
        <v>722364</v>
      </c>
      <c r="E204" s="460">
        <v>172586</v>
      </c>
      <c r="F204" s="458">
        <v>107035</v>
      </c>
      <c r="G204" s="306">
        <f t="shared" si="27"/>
        <v>1001985</v>
      </c>
      <c r="H204" s="286">
        <f t="shared" si="28"/>
        <v>678700.93489518284</v>
      </c>
      <c r="I204" s="10">
        <f t="shared" si="29"/>
        <v>323284.06510481716</v>
      </c>
      <c r="J204" s="303">
        <f t="shared" si="30"/>
        <v>-235846.3258144295</v>
      </c>
      <c r="K204" s="462">
        <v>155114</v>
      </c>
      <c r="L204" s="10">
        <f t="shared" si="31"/>
        <v>84837.616861897855</v>
      </c>
      <c r="M204" s="14">
        <f t="shared" si="32"/>
        <v>70276.383138102145</v>
      </c>
      <c r="N204" s="2">
        <f t="shared" si="33"/>
        <v>-51268.925826191444</v>
      </c>
      <c r="O204" s="131">
        <f t="shared" si="34"/>
        <v>-287115.25164062093</v>
      </c>
      <c r="P204" s="457">
        <f t="shared" si="35"/>
        <v>-3.3842918066404302</v>
      </c>
      <c r="Q204" s="127"/>
    </row>
    <row r="205" spans="1:17" x14ac:dyDescent="0.25">
      <c r="A205" s="49">
        <f>+'A) Base RI'!A207</f>
        <v>5728</v>
      </c>
      <c r="B205" s="294" t="str">
        <f>+'A) Base RI'!B207</f>
        <v>Signy-Avenex</v>
      </c>
      <c r="C205" s="306">
        <f>+'D) Ecrêtage'!C205</f>
        <v>43642.129855163919</v>
      </c>
      <c r="D205" s="458">
        <v>44975</v>
      </c>
      <c r="E205" s="460">
        <v>23323</v>
      </c>
      <c r="F205" s="458">
        <v>91218</v>
      </c>
      <c r="G205" s="306">
        <f t="shared" si="27"/>
        <v>159516</v>
      </c>
      <c r="H205" s="286">
        <f t="shared" si="28"/>
        <v>349137.03884131135</v>
      </c>
      <c r="I205" s="10">
        <f t="shared" si="29"/>
        <v>0</v>
      </c>
      <c r="J205" s="303">
        <f t="shared" si="30"/>
        <v>0</v>
      </c>
      <c r="K205" s="462">
        <v>0</v>
      </c>
      <c r="L205" s="10">
        <f t="shared" si="31"/>
        <v>43642.129855163919</v>
      </c>
      <c r="M205" s="14">
        <f t="shared" si="32"/>
        <v>0</v>
      </c>
      <c r="N205" s="2">
        <f t="shared" si="33"/>
        <v>0</v>
      </c>
      <c r="O205" s="131">
        <f t="shared" si="34"/>
        <v>0</v>
      </c>
      <c r="P205" s="457">
        <f t="shared" si="35"/>
        <v>0</v>
      </c>
      <c r="Q205" s="127"/>
    </row>
    <row r="206" spans="1:17" x14ac:dyDescent="0.25">
      <c r="A206" s="49">
        <f>+'A) Base RI'!A208</f>
        <v>5729</v>
      </c>
      <c r="B206" s="294" t="str">
        <f>+'A) Base RI'!B208</f>
        <v>Tannay</v>
      </c>
      <c r="C206" s="306">
        <f>+'D) Ecrêtage'!C206</f>
        <v>140788.91539066879</v>
      </c>
      <c r="D206" s="458">
        <v>203535</v>
      </c>
      <c r="E206" s="460">
        <v>119546</v>
      </c>
      <c r="F206" s="458">
        <v>91603</v>
      </c>
      <c r="G206" s="306">
        <f t="shared" si="27"/>
        <v>414684</v>
      </c>
      <c r="H206" s="286">
        <f t="shared" si="28"/>
        <v>1126311.3231253503</v>
      </c>
      <c r="I206" s="10">
        <f t="shared" si="29"/>
        <v>0</v>
      </c>
      <c r="J206" s="303">
        <f t="shared" si="30"/>
        <v>0</v>
      </c>
      <c r="K206" s="462">
        <v>0</v>
      </c>
      <c r="L206" s="10">
        <f t="shared" si="31"/>
        <v>140788.91539066879</v>
      </c>
      <c r="M206" s="14">
        <f t="shared" si="32"/>
        <v>0</v>
      </c>
      <c r="N206" s="2">
        <f t="shared" si="33"/>
        <v>0</v>
      </c>
      <c r="O206" s="131">
        <f t="shared" si="34"/>
        <v>0</v>
      </c>
      <c r="P206" s="457">
        <f t="shared" si="35"/>
        <v>0</v>
      </c>
      <c r="Q206" s="127"/>
    </row>
    <row r="207" spans="1:17" x14ac:dyDescent="0.25">
      <c r="A207" s="49">
        <f>+'A) Base RI'!A209</f>
        <v>5730</v>
      </c>
      <c r="B207" s="294" t="str">
        <f>+'A) Base RI'!B209</f>
        <v>Trélex</v>
      </c>
      <c r="C207" s="306">
        <f>+'D) Ecrêtage'!C207</f>
        <v>159385.15609090315</v>
      </c>
      <c r="D207" s="458">
        <v>284947</v>
      </c>
      <c r="E207" s="460">
        <v>94757</v>
      </c>
      <c r="F207" s="458">
        <v>94313</v>
      </c>
      <c r="G207" s="306">
        <f t="shared" si="27"/>
        <v>474017</v>
      </c>
      <c r="H207" s="286">
        <f t="shared" si="28"/>
        <v>1275081.2487272252</v>
      </c>
      <c r="I207" s="10">
        <f t="shared" si="29"/>
        <v>0</v>
      </c>
      <c r="J207" s="303">
        <f t="shared" si="30"/>
        <v>0</v>
      </c>
      <c r="K207" s="462">
        <v>60158</v>
      </c>
      <c r="L207" s="10">
        <f t="shared" si="31"/>
        <v>159385.15609090315</v>
      </c>
      <c r="M207" s="14">
        <f t="shared" si="32"/>
        <v>0</v>
      </c>
      <c r="N207" s="2">
        <f t="shared" si="33"/>
        <v>0</v>
      </c>
      <c r="O207" s="131">
        <f t="shared" si="34"/>
        <v>0</v>
      </c>
      <c r="P207" s="457">
        <f t="shared" si="35"/>
        <v>0</v>
      </c>
      <c r="Q207" s="127"/>
    </row>
    <row r="208" spans="1:17" x14ac:dyDescent="0.25">
      <c r="A208" s="49">
        <f>+'A) Base RI'!A210</f>
        <v>5731</v>
      </c>
      <c r="B208" s="294" t="str">
        <f>+'A) Base RI'!B210</f>
        <v>Le Vaud</v>
      </c>
      <c r="C208" s="306">
        <f>+'D) Ecrêtage'!C208</f>
        <v>52787.084696622871</v>
      </c>
      <c r="D208" s="458">
        <v>384013</v>
      </c>
      <c r="E208" s="460">
        <v>51918</v>
      </c>
      <c r="F208" s="458">
        <v>148075</v>
      </c>
      <c r="G208" s="306">
        <f t="shared" si="27"/>
        <v>584006</v>
      </c>
      <c r="H208" s="286">
        <f t="shared" si="28"/>
        <v>422296.67757298297</v>
      </c>
      <c r="I208" s="10">
        <f t="shared" si="29"/>
        <v>161709.32242701703</v>
      </c>
      <c r="J208" s="303">
        <f t="shared" si="30"/>
        <v>-117972.25307714246</v>
      </c>
      <c r="K208" s="462">
        <v>-32574</v>
      </c>
      <c r="L208" s="10">
        <f t="shared" si="31"/>
        <v>52787.084696622871</v>
      </c>
      <c r="M208" s="14">
        <f t="shared" si="32"/>
        <v>0</v>
      </c>
      <c r="N208" s="2">
        <f t="shared" si="33"/>
        <v>0</v>
      </c>
      <c r="O208" s="131">
        <f t="shared" si="34"/>
        <v>-117972.25307714246</v>
      </c>
      <c r="P208" s="457">
        <f t="shared" si="35"/>
        <v>-2.2348696419806244</v>
      </c>
      <c r="Q208" s="127"/>
    </row>
    <row r="209" spans="1:17" x14ac:dyDescent="0.25">
      <c r="A209" s="49">
        <f>+'A) Base RI'!A211</f>
        <v>5732</v>
      </c>
      <c r="B209" s="294" t="str">
        <f>+'A) Base RI'!B211</f>
        <v>Vich</v>
      </c>
      <c r="C209" s="306">
        <f>+'D) Ecrêtage'!C209</f>
        <v>63679.159894206758</v>
      </c>
      <c r="D209" s="458">
        <v>223985</v>
      </c>
      <c r="E209" s="460">
        <v>43968</v>
      </c>
      <c r="F209" s="458">
        <v>103397</v>
      </c>
      <c r="G209" s="306">
        <f t="shared" si="27"/>
        <v>371350</v>
      </c>
      <c r="H209" s="286">
        <f t="shared" si="28"/>
        <v>509433.27915365406</v>
      </c>
      <c r="I209" s="10">
        <f t="shared" si="29"/>
        <v>0</v>
      </c>
      <c r="J209" s="303">
        <f t="shared" si="30"/>
        <v>0</v>
      </c>
      <c r="K209" s="462">
        <v>34943</v>
      </c>
      <c r="L209" s="10">
        <f t="shared" si="31"/>
        <v>63679.159894206758</v>
      </c>
      <c r="M209" s="14">
        <f t="shared" si="32"/>
        <v>0</v>
      </c>
      <c r="N209" s="2">
        <f t="shared" si="33"/>
        <v>0</v>
      </c>
      <c r="O209" s="131">
        <f t="shared" si="34"/>
        <v>0</v>
      </c>
      <c r="P209" s="457">
        <f t="shared" si="35"/>
        <v>0</v>
      </c>
      <c r="Q209" s="127"/>
    </row>
    <row r="210" spans="1:17" x14ac:dyDescent="0.25">
      <c r="A210" s="49">
        <f>+'A) Base RI'!A212</f>
        <v>5741</v>
      </c>
      <c r="B210" s="294" t="str">
        <f>+'A) Base RI'!B212</f>
        <v>L'Abergement</v>
      </c>
      <c r="C210" s="306">
        <f>+'D) Ecrêtage'!C210</f>
        <v>7417.8594757266228</v>
      </c>
      <c r="D210" s="458">
        <v>160987</v>
      </c>
      <c r="E210" s="460">
        <v>9772</v>
      </c>
      <c r="F210" s="458">
        <v>20113</v>
      </c>
      <c r="G210" s="306">
        <f t="shared" si="27"/>
        <v>190872</v>
      </c>
      <c r="H210" s="286">
        <f t="shared" si="28"/>
        <v>59342.875805812982</v>
      </c>
      <c r="I210" s="10">
        <f t="shared" si="29"/>
        <v>131529.12419418702</v>
      </c>
      <c r="J210" s="303">
        <f t="shared" si="30"/>
        <v>-95954.808872905895</v>
      </c>
      <c r="K210" s="462">
        <v>47021</v>
      </c>
      <c r="L210" s="10">
        <f t="shared" si="31"/>
        <v>7417.8594757266228</v>
      </c>
      <c r="M210" s="14">
        <f t="shared" si="32"/>
        <v>39603.140524273374</v>
      </c>
      <c r="N210" s="2">
        <f t="shared" si="33"/>
        <v>-28891.789579341188</v>
      </c>
      <c r="O210" s="131">
        <f t="shared" si="34"/>
        <v>-124846.59845224708</v>
      </c>
      <c r="P210" s="457">
        <f t="shared" si="35"/>
        <v>-16.830542403880955</v>
      </c>
      <c r="Q210" s="127"/>
    </row>
    <row r="211" spans="1:17" x14ac:dyDescent="0.25">
      <c r="A211" s="49">
        <f>+'A) Base RI'!A213</f>
        <v>5742</v>
      </c>
      <c r="B211" s="294" t="str">
        <f>+'A) Base RI'!B213</f>
        <v>Agiez</v>
      </c>
      <c r="C211" s="306">
        <f>+'D) Ecrêtage'!C211</f>
        <v>9044.2293566491917</v>
      </c>
      <c r="D211" s="458">
        <v>23729</v>
      </c>
      <c r="E211" s="460">
        <v>12947</v>
      </c>
      <c r="F211" s="458">
        <v>33798</v>
      </c>
      <c r="G211" s="306">
        <f t="shared" si="27"/>
        <v>70474</v>
      </c>
      <c r="H211" s="286">
        <f t="shared" si="28"/>
        <v>72353.834853193533</v>
      </c>
      <c r="I211" s="10">
        <f t="shared" si="29"/>
        <v>0</v>
      </c>
      <c r="J211" s="303">
        <f t="shared" si="30"/>
        <v>0</v>
      </c>
      <c r="K211" s="462">
        <v>18340</v>
      </c>
      <c r="L211" s="10">
        <f t="shared" si="31"/>
        <v>9044.2293566491917</v>
      </c>
      <c r="M211" s="14">
        <f t="shared" si="32"/>
        <v>9295.7706433508083</v>
      </c>
      <c r="N211" s="2">
        <f t="shared" si="33"/>
        <v>-6781.5694879272778</v>
      </c>
      <c r="O211" s="131">
        <f t="shared" si="34"/>
        <v>-6781.5694879272778</v>
      </c>
      <c r="P211" s="457">
        <f t="shared" si="35"/>
        <v>-0.74982281192831124</v>
      </c>
      <c r="Q211" s="127"/>
    </row>
    <row r="212" spans="1:17" x14ac:dyDescent="0.25">
      <c r="A212" s="49">
        <f>+'A) Base RI'!A214</f>
        <v>5743</v>
      </c>
      <c r="B212" s="294" t="str">
        <f>+'A) Base RI'!B214</f>
        <v>Arnex-sur-Orbe</v>
      </c>
      <c r="C212" s="306">
        <f>+'D) Ecrêtage'!C212</f>
        <v>18380.074354130466</v>
      </c>
      <c r="D212" s="458">
        <v>103376</v>
      </c>
      <c r="E212" s="460">
        <v>66180</v>
      </c>
      <c r="F212" s="458">
        <v>67933</v>
      </c>
      <c r="G212" s="306">
        <f t="shared" si="27"/>
        <v>237489</v>
      </c>
      <c r="H212" s="286">
        <f t="shared" si="28"/>
        <v>147040.59483304372</v>
      </c>
      <c r="I212" s="10">
        <f t="shared" si="29"/>
        <v>90448.405166956276</v>
      </c>
      <c r="J212" s="303">
        <f t="shared" si="30"/>
        <v>-65985.07732660789</v>
      </c>
      <c r="K212" s="462">
        <v>8488</v>
      </c>
      <c r="L212" s="10">
        <f t="shared" si="31"/>
        <v>18380.074354130466</v>
      </c>
      <c r="M212" s="14">
        <f t="shared" si="32"/>
        <v>0</v>
      </c>
      <c r="N212" s="2">
        <f t="shared" si="33"/>
        <v>0</v>
      </c>
      <c r="O212" s="131">
        <f t="shared" si="34"/>
        <v>-65985.07732660789</v>
      </c>
      <c r="P212" s="457">
        <f t="shared" si="35"/>
        <v>-3.5900332096197087</v>
      </c>
      <c r="Q212" s="127"/>
    </row>
    <row r="213" spans="1:17" x14ac:dyDescent="0.25">
      <c r="A213" s="49">
        <f>+'A) Base RI'!A215</f>
        <v>5744</v>
      </c>
      <c r="B213" s="294" t="str">
        <f>+'A) Base RI'!B215</f>
        <v>Ballaigues</v>
      </c>
      <c r="C213" s="306">
        <f>+'D) Ecrêtage'!C213</f>
        <v>36664.575000922312</v>
      </c>
      <c r="D213" s="458">
        <v>711413</v>
      </c>
      <c r="E213" s="460">
        <v>45151</v>
      </c>
      <c r="F213" s="458">
        <v>126894</v>
      </c>
      <c r="G213" s="306">
        <f t="shared" si="27"/>
        <v>883458</v>
      </c>
      <c r="H213" s="286">
        <f t="shared" si="28"/>
        <v>293316.6000073785</v>
      </c>
      <c r="I213" s="10">
        <f t="shared" si="29"/>
        <v>590141.3999926215</v>
      </c>
      <c r="J213" s="303">
        <f t="shared" si="30"/>
        <v>-430527.50173169438</v>
      </c>
      <c r="K213" s="462">
        <v>161427</v>
      </c>
      <c r="L213" s="10">
        <f t="shared" si="31"/>
        <v>36664.575000922312</v>
      </c>
      <c r="M213" s="14">
        <f t="shared" si="32"/>
        <v>124762.42499907769</v>
      </c>
      <c r="N213" s="2">
        <f t="shared" si="33"/>
        <v>-91018.279933440339</v>
      </c>
      <c r="O213" s="131">
        <f t="shared" si="34"/>
        <v>-521545.78166513471</v>
      </c>
      <c r="P213" s="457">
        <f t="shared" si="35"/>
        <v>-14.224787322695409</v>
      </c>
      <c r="Q213" s="127"/>
    </row>
    <row r="214" spans="1:17" x14ac:dyDescent="0.25">
      <c r="A214" s="49">
        <f>+'A) Base RI'!A216</f>
        <v>5745</v>
      </c>
      <c r="B214" s="294" t="str">
        <f>+'A) Base RI'!B216</f>
        <v>Baulmes</v>
      </c>
      <c r="C214" s="306">
        <f>+'D) Ecrêtage'!C214</f>
        <v>26462.919353923764</v>
      </c>
      <c r="D214" s="458">
        <v>225546</v>
      </c>
      <c r="E214" s="460">
        <v>108547</v>
      </c>
      <c r="F214" s="458">
        <v>78593</v>
      </c>
      <c r="G214" s="306">
        <f t="shared" si="27"/>
        <v>412686</v>
      </c>
      <c r="H214" s="286">
        <f t="shared" si="28"/>
        <v>211703.35483139011</v>
      </c>
      <c r="I214" s="10">
        <f t="shared" si="29"/>
        <v>200982.64516860989</v>
      </c>
      <c r="J214" s="303">
        <f t="shared" si="30"/>
        <v>-146623.42976946046</v>
      </c>
      <c r="K214" s="462">
        <v>242748</v>
      </c>
      <c r="L214" s="10">
        <f t="shared" si="31"/>
        <v>26462.919353923764</v>
      </c>
      <c r="M214" s="14">
        <f t="shared" si="32"/>
        <v>216285.08064607624</v>
      </c>
      <c r="N214" s="2">
        <f t="shared" si="33"/>
        <v>-157787.05820936724</v>
      </c>
      <c r="O214" s="131">
        <f t="shared" si="34"/>
        <v>-304410.48797882767</v>
      </c>
      <c r="P214" s="457">
        <f t="shared" si="35"/>
        <v>-11.503284422536378</v>
      </c>
      <c r="Q214" s="127"/>
    </row>
    <row r="215" spans="1:17" x14ac:dyDescent="0.25">
      <c r="A215" s="49">
        <f>+'A) Base RI'!A217</f>
        <v>5746</v>
      </c>
      <c r="B215" s="294" t="str">
        <f>+'A) Base RI'!B217</f>
        <v>Bavois</v>
      </c>
      <c r="C215" s="306">
        <f>+'D) Ecrêtage'!C215</f>
        <v>26553.96285852553</v>
      </c>
      <c r="D215" s="458">
        <v>304760</v>
      </c>
      <c r="E215" s="460">
        <v>95662</v>
      </c>
      <c r="F215" s="458">
        <v>112433</v>
      </c>
      <c r="G215" s="306">
        <f t="shared" si="27"/>
        <v>512855</v>
      </c>
      <c r="H215" s="286">
        <f t="shared" si="28"/>
        <v>212431.70286820424</v>
      </c>
      <c r="I215" s="10">
        <f t="shared" si="29"/>
        <v>300423.29713179579</v>
      </c>
      <c r="J215" s="303">
        <f t="shared" si="30"/>
        <v>-219168.64598512778</v>
      </c>
      <c r="K215" s="462">
        <v>49185</v>
      </c>
      <c r="L215" s="10">
        <f t="shared" si="31"/>
        <v>26553.96285852553</v>
      </c>
      <c r="M215" s="14">
        <f t="shared" si="32"/>
        <v>22631.03714147447</v>
      </c>
      <c r="N215" s="2">
        <f t="shared" si="33"/>
        <v>-16510.083654930851</v>
      </c>
      <c r="O215" s="131">
        <f t="shared" si="34"/>
        <v>-235678.72964005862</v>
      </c>
      <c r="P215" s="457">
        <f t="shared" si="35"/>
        <v>-8.875463556822389</v>
      </c>
      <c r="Q215" s="127"/>
    </row>
    <row r="216" spans="1:17" x14ac:dyDescent="0.25">
      <c r="A216" s="49">
        <f>+'A) Base RI'!A218</f>
        <v>5747</v>
      </c>
      <c r="B216" s="294" t="str">
        <f>+'A) Base RI'!B218</f>
        <v>Bofflens</v>
      </c>
      <c r="C216" s="306">
        <f>+'D) Ecrêtage'!C216</f>
        <v>4975.9343453180645</v>
      </c>
      <c r="D216" s="458">
        <v>62919</v>
      </c>
      <c r="E216" s="460">
        <v>7876</v>
      </c>
      <c r="F216" s="458">
        <v>21461</v>
      </c>
      <c r="G216" s="306">
        <f t="shared" si="27"/>
        <v>92256</v>
      </c>
      <c r="H216" s="286">
        <f t="shared" si="28"/>
        <v>39807.474762544516</v>
      </c>
      <c r="I216" s="10">
        <f t="shared" si="29"/>
        <v>52448.525237455484</v>
      </c>
      <c r="J216" s="303">
        <f t="shared" si="30"/>
        <v>-38262.918921254728</v>
      </c>
      <c r="K216" s="462">
        <v>-221</v>
      </c>
      <c r="L216" s="10">
        <f t="shared" si="31"/>
        <v>4975.9343453180645</v>
      </c>
      <c r="M216" s="14">
        <f t="shared" si="32"/>
        <v>0</v>
      </c>
      <c r="N216" s="2">
        <f t="shared" si="33"/>
        <v>0</v>
      </c>
      <c r="O216" s="131">
        <f t="shared" si="34"/>
        <v>-38262.918921254728</v>
      </c>
      <c r="P216" s="457">
        <f t="shared" si="35"/>
        <v>-7.6895948109236842</v>
      </c>
      <c r="Q216" s="127"/>
    </row>
    <row r="217" spans="1:17" x14ac:dyDescent="0.25">
      <c r="A217" s="49">
        <f>+'A) Base RI'!A219</f>
        <v>5748</v>
      </c>
      <c r="B217" s="294" t="str">
        <f>+'A) Base RI'!B219</f>
        <v>Bretonnières</v>
      </c>
      <c r="C217" s="306">
        <f>+'D) Ecrêtage'!C217</f>
        <v>5547.867770022187</v>
      </c>
      <c r="D217" s="458">
        <v>31381</v>
      </c>
      <c r="E217" s="460">
        <v>27008</v>
      </c>
      <c r="F217" s="458">
        <v>32463</v>
      </c>
      <c r="G217" s="306">
        <f t="shared" si="27"/>
        <v>90852</v>
      </c>
      <c r="H217" s="286">
        <f t="shared" si="28"/>
        <v>44382.942160177496</v>
      </c>
      <c r="I217" s="10">
        <f t="shared" si="29"/>
        <v>46469.057839822504</v>
      </c>
      <c r="J217" s="303">
        <f t="shared" si="30"/>
        <v>-33900.70139097939</v>
      </c>
      <c r="K217" s="462">
        <v>34788</v>
      </c>
      <c r="L217" s="10">
        <f t="shared" si="31"/>
        <v>5547.867770022187</v>
      </c>
      <c r="M217" s="14">
        <f t="shared" si="32"/>
        <v>29240.132229977811</v>
      </c>
      <c r="N217" s="2">
        <f t="shared" si="33"/>
        <v>-21331.635230868636</v>
      </c>
      <c r="O217" s="131">
        <f t="shared" si="34"/>
        <v>-55232.336621848022</v>
      </c>
      <c r="P217" s="457">
        <f t="shared" si="35"/>
        <v>-9.9555971611823644</v>
      </c>
      <c r="Q217" s="127"/>
    </row>
    <row r="218" spans="1:17" x14ac:dyDescent="0.25">
      <c r="A218" s="49">
        <f>+'A) Base RI'!A220</f>
        <v>5749</v>
      </c>
      <c r="B218" s="294" t="str">
        <f>+'A) Base RI'!B220</f>
        <v>Chavornay</v>
      </c>
      <c r="C218" s="306">
        <f>+'D) Ecrêtage'!C218</f>
        <v>136712.84503559873</v>
      </c>
      <c r="D218" s="458">
        <v>643005</v>
      </c>
      <c r="E218" s="460">
        <v>505935</v>
      </c>
      <c r="F218" s="458">
        <v>602689</v>
      </c>
      <c r="G218" s="306">
        <f t="shared" si="27"/>
        <v>1751629</v>
      </c>
      <c r="H218" s="286">
        <f t="shared" si="28"/>
        <v>1093702.7602847898</v>
      </c>
      <c r="I218" s="10">
        <f t="shared" si="29"/>
        <v>657926.23971521016</v>
      </c>
      <c r="J218" s="303">
        <f t="shared" si="30"/>
        <v>-479978.76493982435</v>
      </c>
      <c r="K218" s="462">
        <v>165507</v>
      </c>
      <c r="L218" s="10">
        <f t="shared" si="31"/>
        <v>136712.84503559873</v>
      </c>
      <c r="M218" s="14">
        <f t="shared" si="32"/>
        <v>28794.15496440127</v>
      </c>
      <c r="N218" s="2">
        <f t="shared" si="33"/>
        <v>-21006.280192262293</v>
      </c>
      <c r="O218" s="131">
        <f t="shared" si="34"/>
        <v>-500985.04513208667</v>
      </c>
      <c r="P218" s="457">
        <f t="shared" si="35"/>
        <v>-3.6645060308827229</v>
      </c>
      <c r="Q218" s="127"/>
    </row>
    <row r="219" spans="1:17" x14ac:dyDescent="0.25">
      <c r="A219" s="49">
        <f>+'A) Base RI'!A221</f>
        <v>5750</v>
      </c>
      <c r="B219" s="294" t="str">
        <f>+'A) Base RI'!B221</f>
        <v>Les Clées</v>
      </c>
      <c r="C219" s="306">
        <f>+'D) Ecrêtage'!C219</f>
        <v>5161.3627278037393</v>
      </c>
      <c r="D219" s="458">
        <v>64397</v>
      </c>
      <c r="E219" s="460">
        <v>0</v>
      </c>
      <c r="F219" s="458">
        <v>17963</v>
      </c>
      <c r="G219" s="306">
        <f t="shared" si="27"/>
        <v>82360</v>
      </c>
      <c r="H219" s="286">
        <f t="shared" si="28"/>
        <v>41290.901822429914</v>
      </c>
      <c r="I219" s="10">
        <f t="shared" si="29"/>
        <v>41069.098177570086</v>
      </c>
      <c r="J219" s="303">
        <f t="shared" si="30"/>
        <v>-29961.253755428785</v>
      </c>
      <c r="K219" s="462">
        <v>33725</v>
      </c>
      <c r="L219" s="10">
        <f t="shared" si="31"/>
        <v>5161.3627278037393</v>
      </c>
      <c r="M219" s="14">
        <f t="shared" si="32"/>
        <v>28563.637272196262</v>
      </c>
      <c r="N219" s="2">
        <f t="shared" si="33"/>
        <v>-20838.109977240572</v>
      </c>
      <c r="O219" s="131">
        <f t="shared" si="34"/>
        <v>-50799.363732669357</v>
      </c>
      <c r="P219" s="457">
        <f t="shared" si="35"/>
        <v>-9.8422386512419138</v>
      </c>
      <c r="Q219" s="127"/>
    </row>
    <row r="220" spans="1:17" x14ac:dyDescent="0.25">
      <c r="A220" s="49">
        <f>+'A) Base RI'!A222</f>
        <v>5752</v>
      </c>
      <c r="B220" s="294" t="str">
        <f>+'A) Base RI'!B222</f>
        <v>Croy</v>
      </c>
      <c r="C220" s="306">
        <f>+'D) Ecrêtage'!C220</f>
        <v>10757.15843408766</v>
      </c>
      <c r="D220" s="458">
        <v>208993</v>
      </c>
      <c r="E220" s="460">
        <v>39069</v>
      </c>
      <c r="F220" s="458">
        <v>37894</v>
      </c>
      <c r="G220" s="306">
        <f t="shared" si="27"/>
        <v>285956</v>
      </c>
      <c r="H220" s="286">
        <f t="shared" si="28"/>
        <v>86057.267472701278</v>
      </c>
      <c r="I220" s="10">
        <f t="shared" si="29"/>
        <v>199898.73252729874</v>
      </c>
      <c r="J220" s="303">
        <f t="shared" si="30"/>
        <v>-145832.67995667842</v>
      </c>
      <c r="K220" s="462">
        <v>18921</v>
      </c>
      <c r="L220" s="10">
        <f t="shared" si="31"/>
        <v>10757.15843408766</v>
      </c>
      <c r="M220" s="14">
        <f t="shared" si="32"/>
        <v>8163.8415659123402</v>
      </c>
      <c r="N220" s="2">
        <f t="shared" si="33"/>
        <v>-5955.7901105557894</v>
      </c>
      <c r="O220" s="131">
        <f t="shared" si="34"/>
        <v>-151788.47006723422</v>
      </c>
      <c r="P220" s="457">
        <f t="shared" si="35"/>
        <v>-14.110461512423356</v>
      </c>
      <c r="Q220" s="127"/>
    </row>
    <row r="221" spans="1:17" x14ac:dyDescent="0.25">
      <c r="A221" s="49">
        <f>+'A) Base RI'!A223</f>
        <v>5754</v>
      </c>
      <c r="B221" s="294" t="str">
        <f>+'A) Base RI'!B223</f>
        <v>Juriens</v>
      </c>
      <c r="C221" s="306">
        <f>+'D) Ecrêtage'!C221</f>
        <v>8043.6966976741023</v>
      </c>
      <c r="D221" s="458">
        <v>57665</v>
      </c>
      <c r="E221" s="460">
        <v>12741</v>
      </c>
      <c r="F221" s="458">
        <v>29176</v>
      </c>
      <c r="G221" s="306">
        <f t="shared" si="27"/>
        <v>99582</v>
      </c>
      <c r="H221" s="286">
        <f t="shared" si="28"/>
        <v>64349.573581392819</v>
      </c>
      <c r="I221" s="10">
        <f t="shared" si="29"/>
        <v>35232.426418607181</v>
      </c>
      <c r="J221" s="303">
        <f t="shared" si="30"/>
        <v>-25703.21032575981</v>
      </c>
      <c r="K221" s="462">
        <v>-29171</v>
      </c>
      <c r="L221" s="10">
        <f t="shared" si="31"/>
        <v>8043.6966976741023</v>
      </c>
      <c r="M221" s="14">
        <f t="shared" si="32"/>
        <v>0</v>
      </c>
      <c r="N221" s="2">
        <f t="shared" si="33"/>
        <v>0</v>
      </c>
      <c r="O221" s="131">
        <f t="shared" si="34"/>
        <v>-25703.21032575981</v>
      </c>
      <c r="P221" s="457">
        <f t="shared" si="35"/>
        <v>-3.1954474779229423</v>
      </c>
      <c r="Q221" s="127"/>
    </row>
    <row r="222" spans="1:17" x14ac:dyDescent="0.25">
      <c r="A222" s="49">
        <f>+'A) Base RI'!A224</f>
        <v>5755</v>
      </c>
      <c r="B222" s="294" t="str">
        <f>+'A) Base RI'!B224</f>
        <v>Lignerolle</v>
      </c>
      <c r="C222" s="306">
        <f>+'D) Ecrêtage'!C222</f>
        <v>9515.1754002495127</v>
      </c>
      <c r="D222" s="458">
        <v>166243</v>
      </c>
      <c r="E222" s="460">
        <v>17194</v>
      </c>
      <c r="F222" s="458">
        <v>42837</v>
      </c>
      <c r="G222" s="306">
        <f t="shared" si="27"/>
        <v>226274</v>
      </c>
      <c r="H222" s="286">
        <f t="shared" si="28"/>
        <v>76121.403201996101</v>
      </c>
      <c r="I222" s="10">
        <f t="shared" si="29"/>
        <v>150152.59679800388</v>
      </c>
      <c r="J222" s="303">
        <f t="shared" si="30"/>
        <v>-109541.2427916077</v>
      </c>
      <c r="K222" s="462">
        <v>105319</v>
      </c>
      <c r="L222" s="10">
        <f t="shared" si="31"/>
        <v>9515.1754002495127</v>
      </c>
      <c r="M222" s="14">
        <f t="shared" si="32"/>
        <v>95803.824599750486</v>
      </c>
      <c r="N222" s="2">
        <f t="shared" si="33"/>
        <v>-69892.031404317211</v>
      </c>
      <c r="O222" s="131">
        <f t="shared" si="34"/>
        <v>-179433.27419592493</v>
      </c>
      <c r="P222" s="457">
        <f t="shared" si="35"/>
        <v>-18.857589760375802</v>
      </c>
      <c r="Q222" s="127"/>
    </row>
    <row r="223" spans="1:17" x14ac:dyDescent="0.25">
      <c r="A223" s="49">
        <f>+'A) Base RI'!A225</f>
        <v>5756</v>
      </c>
      <c r="B223" s="294" t="str">
        <f>+'A) Base RI'!B225</f>
        <v>Montcherand</v>
      </c>
      <c r="C223" s="306">
        <f>+'D) Ecrêtage'!C223</f>
        <v>16469.035494125688</v>
      </c>
      <c r="D223" s="458">
        <v>136694</v>
      </c>
      <c r="E223" s="460">
        <v>21214</v>
      </c>
      <c r="F223" s="458">
        <v>59500</v>
      </c>
      <c r="G223" s="306">
        <f t="shared" si="27"/>
        <v>217408</v>
      </c>
      <c r="H223" s="286">
        <f t="shared" si="28"/>
        <v>131752.28395300551</v>
      </c>
      <c r="I223" s="10">
        <f t="shared" si="29"/>
        <v>85655.716046994494</v>
      </c>
      <c r="J223" s="303">
        <f t="shared" si="30"/>
        <v>-62488.65346375126</v>
      </c>
      <c r="K223" s="462">
        <v>10581</v>
      </c>
      <c r="L223" s="10">
        <f t="shared" si="31"/>
        <v>16469.035494125688</v>
      </c>
      <c r="M223" s="14">
        <f t="shared" si="32"/>
        <v>0</v>
      </c>
      <c r="N223" s="2">
        <f t="shared" si="33"/>
        <v>0</v>
      </c>
      <c r="O223" s="131">
        <f t="shared" si="34"/>
        <v>-62488.65346375126</v>
      </c>
      <c r="P223" s="457">
        <f t="shared" si="35"/>
        <v>-3.7943116636089727</v>
      </c>
      <c r="Q223" s="127"/>
    </row>
    <row r="224" spans="1:17" x14ac:dyDescent="0.25">
      <c r="A224" s="49">
        <f>+'A) Base RI'!A226</f>
        <v>5757</v>
      </c>
      <c r="B224" s="294" t="str">
        <f>+'A) Base RI'!B226</f>
        <v>Orbe</v>
      </c>
      <c r="C224" s="306">
        <f>+'D) Ecrêtage'!C224</f>
        <v>204851.86723579146</v>
      </c>
      <c r="D224" s="458">
        <v>1973720</v>
      </c>
      <c r="E224" s="460">
        <v>1048368</v>
      </c>
      <c r="F224" s="458">
        <v>731948</v>
      </c>
      <c r="G224" s="306">
        <f t="shared" si="27"/>
        <v>3754036</v>
      </c>
      <c r="H224" s="286">
        <f t="shared" si="28"/>
        <v>1638814.9378863317</v>
      </c>
      <c r="I224" s="10">
        <f t="shared" si="29"/>
        <v>2115221.0621136683</v>
      </c>
      <c r="J224" s="303">
        <f t="shared" si="30"/>
        <v>-1543123.1218373168</v>
      </c>
      <c r="K224" s="462">
        <v>58704</v>
      </c>
      <c r="L224" s="10">
        <f t="shared" si="31"/>
        <v>204851.86723579146</v>
      </c>
      <c r="M224" s="14">
        <f t="shared" si="32"/>
        <v>0</v>
      </c>
      <c r="N224" s="2">
        <f t="shared" si="33"/>
        <v>0</v>
      </c>
      <c r="O224" s="131">
        <f t="shared" si="34"/>
        <v>-1543123.1218373168</v>
      </c>
      <c r="P224" s="457">
        <f t="shared" si="35"/>
        <v>-7.5328731080646172</v>
      </c>
      <c r="Q224" s="127"/>
    </row>
    <row r="225" spans="1:17" x14ac:dyDescent="0.25">
      <c r="A225" s="49">
        <f>+'A) Base RI'!A227</f>
        <v>5758</v>
      </c>
      <c r="B225" s="294" t="str">
        <f>+'A) Base RI'!B227</f>
        <v>La Praz</v>
      </c>
      <c r="C225" s="306">
        <f>+'D) Ecrêtage'!C225</f>
        <v>4452.1612722088212</v>
      </c>
      <c r="D225" s="458">
        <v>38532</v>
      </c>
      <c r="E225" s="460">
        <v>6597</v>
      </c>
      <c r="F225" s="458">
        <v>15919</v>
      </c>
      <c r="G225" s="306">
        <f t="shared" si="27"/>
        <v>61048</v>
      </c>
      <c r="H225" s="286">
        <f t="shared" si="28"/>
        <v>35617.290177670569</v>
      </c>
      <c r="I225" s="10">
        <f t="shared" si="29"/>
        <v>25430.709822329431</v>
      </c>
      <c r="J225" s="303">
        <f t="shared" si="30"/>
        <v>-18552.536675461241</v>
      </c>
      <c r="K225" s="462">
        <v>13435</v>
      </c>
      <c r="L225" s="10">
        <f t="shared" si="31"/>
        <v>4452.1612722088212</v>
      </c>
      <c r="M225" s="14">
        <f t="shared" si="32"/>
        <v>8982.8387277911788</v>
      </c>
      <c r="N225" s="2">
        <f t="shared" si="33"/>
        <v>-6553.2753946477942</v>
      </c>
      <c r="O225" s="131">
        <f t="shared" si="34"/>
        <v>-25105.812070109034</v>
      </c>
      <c r="P225" s="457">
        <f t="shared" si="35"/>
        <v>-5.6390167685128469</v>
      </c>
      <c r="Q225" s="127"/>
    </row>
    <row r="226" spans="1:17" x14ac:dyDescent="0.25">
      <c r="A226" s="49">
        <f>+'A) Base RI'!A228</f>
        <v>5759</v>
      </c>
      <c r="B226" s="294" t="str">
        <f>+'A) Base RI'!B228</f>
        <v>Premier</v>
      </c>
      <c r="C226" s="306">
        <f>+'D) Ecrêtage'!C226</f>
        <v>4744.8996537773928</v>
      </c>
      <c r="D226" s="458">
        <v>80143</v>
      </c>
      <c r="E226" s="460">
        <v>8659</v>
      </c>
      <c r="F226" s="458">
        <v>25742</v>
      </c>
      <c r="G226" s="306">
        <f t="shared" si="27"/>
        <v>114544</v>
      </c>
      <c r="H226" s="286">
        <f t="shared" si="28"/>
        <v>37959.197230219143</v>
      </c>
      <c r="I226" s="10">
        <f t="shared" si="29"/>
        <v>76584.802769780857</v>
      </c>
      <c r="J226" s="303">
        <f t="shared" si="30"/>
        <v>-55871.124797379998</v>
      </c>
      <c r="K226" s="462">
        <v>31172</v>
      </c>
      <c r="L226" s="10">
        <f t="shared" si="31"/>
        <v>4744.8996537773928</v>
      </c>
      <c r="M226" s="14">
        <f t="shared" si="32"/>
        <v>26427.100346222607</v>
      </c>
      <c r="N226" s="2">
        <f t="shared" si="33"/>
        <v>-19279.436233781038</v>
      </c>
      <c r="O226" s="131">
        <f t="shared" si="34"/>
        <v>-75150.561031161036</v>
      </c>
      <c r="P226" s="457">
        <f t="shared" si="35"/>
        <v>-15.838177098504922</v>
      </c>
      <c r="Q226" s="127"/>
    </row>
    <row r="227" spans="1:17" x14ac:dyDescent="0.25">
      <c r="A227" s="49">
        <f>+'A) Base RI'!A229</f>
        <v>5760</v>
      </c>
      <c r="B227" s="294" t="str">
        <f>+'A) Base RI'!B229</f>
        <v>Rances</v>
      </c>
      <c r="C227" s="306">
        <f>+'D) Ecrêtage'!C227</f>
        <v>11421.2396274482</v>
      </c>
      <c r="D227" s="458">
        <v>101730</v>
      </c>
      <c r="E227" s="460">
        <v>29997</v>
      </c>
      <c r="F227" s="458">
        <v>48427</v>
      </c>
      <c r="G227" s="306">
        <f t="shared" si="27"/>
        <v>180154</v>
      </c>
      <c r="H227" s="286">
        <f t="shared" si="28"/>
        <v>91369.917019585599</v>
      </c>
      <c r="I227" s="10">
        <f t="shared" si="29"/>
        <v>88784.082980414401</v>
      </c>
      <c r="J227" s="303">
        <f t="shared" si="30"/>
        <v>-64770.899719245543</v>
      </c>
      <c r="K227" s="462">
        <v>118551</v>
      </c>
      <c r="L227" s="10">
        <f t="shared" si="31"/>
        <v>11421.2396274482</v>
      </c>
      <c r="M227" s="14">
        <f t="shared" si="32"/>
        <v>107129.7603725518</v>
      </c>
      <c r="N227" s="2">
        <f t="shared" si="33"/>
        <v>-78154.67292226314</v>
      </c>
      <c r="O227" s="131">
        <f t="shared" si="34"/>
        <v>-142925.57264150868</v>
      </c>
      <c r="P227" s="457">
        <f t="shared" si="35"/>
        <v>-12.514015755174375</v>
      </c>
      <c r="Q227" s="127"/>
    </row>
    <row r="228" spans="1:17" x14ac:dyDescent="0.25">
      <c r="A228" s="49">
        <f>+'A) Base RI'!A230</f>
        <v>5761</v>
      </c>
      <c r="B228" s="294" t="str">
        <f>+'A) Base RI'!B230</f>
        <v>Romainmôtier-Envy</v>
      </c>
      <c r="C228" s="306">
        <f>+'D) Ecrêtage'!C228</f>
        <v>14547.39613540147</v>
      </c>
      <c r="D228" s="458">
        <v>163988</v>
      </c>
      <c r="E228" s="460">
        <v>45439</v>
      </c>
      <c r="F228" s="458">
        <v>57255</v>
      </c>
      <c r="G228" s="306">
        <f t="shared" si="27"/>
        <v>266682</v>
      </c>
      <c r="H228" s="286">
        <f t="shared" si="28"/>
        <v>116379.16908321176</v>
      </c>
      <c r="I228" s="10">
        <f t="shared" si="29"/>
        <v>150302.83091678825</v>
      </c>
      <c r="J228" s="303">
        <f t="shared" si="30"/>
        <v>-109650.84350736142</v>
      </c>
      <c r="K228" s="462">
        <v>-68114</v>
      </c>
      <c r="L228" s="10">
        <f t="shared" si="31"/>
        <v>14547.39613540147</v>
      </c>
      <c r="M228" s="14">
        <f t="shared" si="32"/>
        <v>0</v>
      </c>
      <c r="N228" s="2">
        <f t="shared" si="33"/>
        <v>0</v>
      </c>
      <c r="O228" s="131">
        <f t="shared" si="34"/>
        <v>-109650.84350736142</v>
      </c>
      <c r="P228" s="457">
        <f t="shared" si="35"/>
        <v>-7.5374893545741299</v>
      </c>
      <c r="Q228" s="127"/>
    </row>
    <row r="229" spans="1:17" x14ac:dyDescent="0.25">
      <c r="A229" s="49">
        <f>+'A) Base RI'!A231</f>
        <v>5762</v>
      </c>
      <c r="B229" s="294" t="str">
        <f>+'A) Base RI'!B231</f>
        <v>Sergey</v>
      </c>
      <c r="C229" s="306">
        <f>+'D) Ecrêtage'!C229</f>
        <v>3763.729317622563</v>
      </c>
      <c r="D229" s="458">
        <v>29526</v>
      </c>
      <c r="E229" s="460">
        <v>5649</v>
      </c>
      <c r="F229" s="458">
        <v>14040</v>
      </c>
      <c r="G229" s="306">
        <f t="shared" si="27"/>
        <v>49215</v>
      </c>
      <c r="H229" s="286">
        <f t="shared" si="28"/>
        <v>30109.834540980504</v>
      </c>
      <c r="I229" s="10">
        <f t="shared" si="29"/>
        <v>19105.165459019496</v>
      </c>
      <c r="J229" s="303">
        <f t="shared" si="30"/>
        <v>-13937.844651036454</v>
      </c>
      <c r="K229" s="462">
        <v>13153</v>
      </c>
      <c r="L229" s="10">
        <f t="shared" si="31"/>
        <v>3763.729317622563</v>
      </c>
      <c r="M229" s="14">
        <f t="shared" si="32"/>
        <v>9389.270682377437</v>
      </c>
      <c r="N229" s="2">
        <f t="shared" si="33"/>
        <v>-6849.7808322160427</v>
      </c>
      <c r="O229" s="131">
        <f t="shared" si="34"/>
        <v>-20787.625483252497</v>
      </c>
      <c r="P229" s="457">
        <f t="shared" si="35"/>
        <v>-5.5231457230254346</v>
      </c>
      <c r="Q229" s="127"/>
    </row>
    <row r="230" spans="1:17" x14ac:dyDescent="0.25">
      <c r="A230" s="49">
        <f>+'A) Base RI'!A232</f>
        <v>5763</v>
      </c>
      <c r="B230" s="294" t="str">
        <f>+'A) Base RI'!B232</f>
        <v>Valeyres-sous-Rances</v>
      </c>
      <c r="C230" s="306">
        <f>+'D) Ecrêtage'!C230</f>
        <v>20916.396171179269</v>
      </c>
      <c r="D230" s="458">
        <v>281857</v>
      </c>
      <c r="E230" s="460">
        <v>39028</v>
      </c>
      <c r="F230" s="458">
        <v>73772</v>
      </c>
      <c r="G230" s="306">
        <f t="shared" si="27"/>
        <v>394657</v>
      </c>
      <c r="H230" s="286">
        <f t="shared" si="28"/>
        <v>167331.16936943415</v>
      </c>
      <c r="I230" s="10">
        <f t="shared" si="29"/>
        <v>227325.83063056585</v>
      </c>
      <c r="J230" s="303">
        <f t="shared" si="30"/>
        <v>-165841.64734364251</v>
      </c>
      <c r="K230" s="462">
        <v>71974</v>
      </c>
      <c r="L230" s="10">
        <f t="shared" si="31"/>
        <v>20916.396171179269</v>
      </c>
      <c r="M230" s="14">
        <f t="shared" si="32"/>
        <v>51057.603828820735</v>
      </c>
      <c r="N230" s="2">
        <f t="shared" si="33"/>
        <v>-37248.196146048424</v>
      </c>
      <c r="O230" s="131">
        <f t="shared" si="34"/>
        <v>-203089.84348969095</v>
      </c>
      <c r="P230" s="457">
        <f t="shared" si="35"/>
        <v>-9.7096001542334864</v>
      </c>
      <c r="Q230" s="127"/>
    </row>
    <row r="231" spans="1:17" x14ac:dyDescent="0.25">
      <c r="A231" s="49">
        <f>+'A) Base RI'!A233</f>
        <v>5764</v>
      </c>
      <c r="B231" s="294" t="str">
        <f>+'A) Base RI'!B233</f>
        <v>Vallorbe</v>
      </c>
      <c r="C231" s="306">
        <f>+'D) Ecrêtage'!C231</f>
        <v>83482.591885585367</v>
      </c>
      <c r="D231" s="458">
        <v>1886041</v>
      </c>
      <c r="E231" s="460">
        <v>396976</v>
      </c>
      <c r="F231" s="458">
        <v>436328</v>
      </c>
      <c r="G231" s="306">
        <f t="shared" si="27"/>
        <v>2719345</v>
      </c>
      <c r="H231" s="286">
        <f t="shared" si="28"/>
        <v>667860.73508468294</v>
      </c>
      <c r="I231" s="10">
        <f t="shared" si="29"/>
        <v>2051484.2649153171</v>
      </c>
      <c r="J231" s="303">
        <f t="shared" si="30"/>
        <v>-1496625.0383838785</v>
      </c>
      <c r="K231" s="462">
        <v>714645</v>
      </c>
      <c r="L231" s="10">
        <f t="shared" si="31"/>
        <v>83482.591885585367</v>
      </c>
      <c r="M231" s="14">
        <f t="shared" si="32"/>
        <v>631162.40811441466</v>
      </c>
      <c r="N231" s="2">
        <f t="shared" si="33"/>
        <v>-460453.67221458536</v>
      </c>
      <c r="O231" s="131">
        <f t="shared" si="34"/>
        <v>-1957078.7105984639</v>
      </c>
      <c r="P231" s="457">
        <f t="shared" si="35"/>
        <v>-23.442955787485385</v>
      </c>
      <c r="Q231" s="127"/>
    </row>
    <row r="232" spans="1:17" x14ac:dyDescent="0.25">
      <c r="A232" s="49">
        <f>+'A) Base RI'!A234</f>
        <v>5765</v>
      </c>
      <c r="B232" s="294" t="str">
        <f>+'A) Base RI'!B234</f>
        <v>Vaulion</v>
      </c>
      <c r="C232" s="306">
        <f>+'D) Ecrêtage'!C232</f>
        <v>9771.3712818501954</v>
      </c>
      <c r="D232" s="458">
        <v>168494</v>
      </c>
      <c r="E232" s="460">
        <v>20122</v>
      </c>
      <c r="F232" s="458">
        <v>51048</v>
      </c>
      <c r="G232" s="306">
        <f t="shared" si="27"/>
        <v>239664</v>
      </c>
      <c r="H232" s="286">
        <f t="shared" si="28"/>
        <v>78170.970254801563</v>
      </c>
      <c r="I232" s="10">
        <f t="shared" si="29"/>
        <v>161493.02974519844</v>
      </c>
      <c r="J232" s="303">
        <f t="shared" si="30"/>
        <v>-117814.4604736285</v>
      </c>
      <c r="K232" s="462">
        <v>57302</v>
      </c>
      <c r="L232" s="10">
        <f t="shared" si="31"/>
        <v>9771.3712818501954</v>
      </c>
      <c r="M232" s="14">
        <f t="shared" si="32"/>
        <v>47530.628718149805</v>
      </c>
      <c r="N232" s="2">
        <f t="shared" si="33"/>
        <v>-34675.152155089636</v>
      </c>
      <c r="O232" s="131">
        <f t="shared" si="34"/>
        <v>-152489.61262871814</v>
      </c>
      <c r="P232" s="457">
        <f t="shared" si="35"/>
        <v>-15.60575360716868</v>
      </c>
      <c r="Q232" s="127"/>
    </row>
    <row r="233" spans="1:17" x14ac:dyDescent="0.25">
      <c r="A233" s="49">
        <f>+'A) Base RI'!A235</f>
        <v>5766</v>
      </c>
      <c r="B233" s="294" t="str">
        <f>+'A) Base RI'!B235</f>
        <v>Vuiteboeuf</v>
      </c>
      <c r="C233" s="306">
        <f>+'D) Ecrêtage'!C233</f>
        <v>13156.989379669412</v>
      </c>
      <c r="D233" s="458">
        <v>144848</v>
      </c>
      <c r="E233" s="460">
        <v>59170</v>
      </c>
      <c r="F233" s="458">
        <v>50154</v>
      </c>
      <c r="G233" s="306">
        <f t="shared" si="27"/>
        <v>254172</v>
      </c>
      <c r="H233" s="286">
        <f t="shared" si="28"/>
        <v>105255.9150373553</v>
      </c>
      <c r="I233" s="10">
        <f t="shared" si="29"/>
        <v>148916.0849626447</v>
      </c>
      <c r="J233" s="303">
        <f t="shared" si="30"/>
        <v>-108639.16686311748</v>
      </c>
      <c r="K233" s="462">
        <v>21286</v>
      </c>
      <c r="L233" s="10">
        <f t="shared" si="31"/>
        <v>13156.989379669412</v>
      </c>
      <c r="M233" s="14">
        <f t="shared" si="32"/>
        <v>8129.0106203305877</v>
      </c>
      <c r="N233" s="2">
        <f t="shared" si="33"/>
        <v>-5930.379793664868</v>
      </c>
      <c r="O233" s="131">
        <f t="shared" si="34"/>
        <v>-114569.54665678235</v>
      </c>
      <c r="P233" s="457">
        <f t="shared" si="35"/>
        <v>-8.7078847106024693</v>
      </c>
      <c r="Q233" s="127"/>
    </row>
    <row r="234" spans="1:17" x14ac:dyDescent="0.25">
      <c r="A234" s="49">
        <f>+'A) Base RI'!A236</f>
        <v>5785</v>
      </c>
      <c r="B234" s="294" t="str">
        <f>+'A) Base RI'!B236</f>
        <v>Corcelles-le-Jorat</v>
      </c>
      <c r="C234" s="306">
        <f>+'D) Ecrêtage'!C234</f>
        <v>15572.051048960157</v>
      </c>
      <c r="D234" s="458">
        <v>113738</v>
      </c>
      <c r="E234" s="460">
        <v>14085</v>
      </c>
      <c r="F234" s="458">
        <v>57038</v>
      </c>
      <c r="G234" s="306">
        <f t="shared" si="27"/>
        <v>184861</v>
      </c>
      <c r="H234" s="286">
        <f t="shared" si="28"/>
        <v>124576.40839168125</v>
      </c>
      <c r="I234" s="10">
        <f t="shared" si="29"/>
        <v>60284.591608318748</v>
      </c>
      <c r="J234" s="303">
        <f t="shared" si="30"/>
        <v>-43979.586279439878</v>
      </c>
      <c r="K234" s="462">
        <v>26887</v>
      </c>
      <c r="L234" s="10">
        <f t="shared" si="31"/>
        <v>15572.051048960157</v>
      </c>
      <c r="M234" s="14">
        <f t="shared" si="32"/>
        <v>11314.948951039843</v>
      </c>
      <c r="N234" s="2">
        <f t="shared" si="33"/>
        <v>-8254.6262712186381</v>
      </c>
      <c r="O234" s="131">
        <f t="shared" si="34"/>
        <v>-52234.212550658514</v>
      </c>
      <c r="P234" s="457">
        <f t="shared" si="35"/>
        <v>-3.354356621772475</v>
      </c>
      <c r="Q234" s="127"/>
    </row>
    <row r="235" spans="1:17" x14ac:dyDescent="0.25">
      <c r="A235" s="49">
        <f>+'A) Base RI'!A237</f>
        <v>5788</v>
      </c>
      <c r="B235" s="294" t="str">
        <f>+'A) Base RI'!B237</f>
        <v>Essertes</v>
      </c>
      <c r="C235" s="306">
        <f>+'D) Ecrêtage'!C235</f>
        <v>11883.854268348969</v>
      </c>
      <c r="D235" s="458">
        <v>62505</v>
      </c>
      <c r="E235" s="460">
        <v>15892</v>
      </c>
      <c r="F235" s="458">
        <v>39800</v>
      </c>
      <c r="G235" s="306">
        <f t="shared" si="27"/>
        <v>118197</v>
      </c>
      <c r="H235" s="286">
        <f t="shared" si="28"/>
        <v>95070.834146791749</v>
      </c>
      <c r="I235" s="10">
        <f t="shared" si="29"/>
        <v>23126.165853208251</v>
      </c>
      <c r="J235" s="303">
        <f t="shared" si="30"/>
        <v>-16871.296285159882</v>
      </c>
      <c r="K235" s="462">
        <v>-15842</v>
      </c>
      <c r="L235" s="10">
        <f t="shared" si="31"/>
        <v>11883.854268348969</v>
      </c>
      <c r="M235" s="14">
        <f t="shared" si="32"/>
        <v>0</v>
      </c>
      <c r="N235" s="2">
        <f t="shared" si="33"/>
        <v>0</v>
      </c>
      <c r="O235" s="131">
        <f t="shared" si="34"/>
        <v>-16871.296285159882</v>
      </c>
      <c r="P235" s="457">
        <f t="shared" si="35"/>
        <v>-1.4196821926783709</v>
      </c>
      <c r="Q235" s="127"/>
    </row>
    <row r="236" spans="1:17" x14ac:dyDescent="0.25">
      <c r="A236" s="49">
        <f>+'A) Base RI'!A238</f>
        <v>5790</v>
      </c>
      <c r="B236" s="294" t="str">
        <f>+'A) Base RI'!B238</f>
        <v>Maracon</v>
      </c>
      <c r="C236" s="306">
        <f>+'D) Ecrêtage'!C236</f>
        <v>13256.164125976293</v>
      </c>
      <c r="D236" s="458">
        <v>175100</v>
      </c>
      <c r="E236" s="460">
        <v>14606</v>
      </c>
      <c r="F236" s="458">
        <v>57956</v>
      </c>
      <c r="G236" s="306">
        <f t="shared" si="27"/>
        <v>247662</v>
      </c>
      <c r="H236" s="286">
        <f t="shared" si="28"/>
        <v>106049.31300781034</v>
      </c>
      <c r="I236" s="10">
        <f t="shared" si="29"/>
        <v>141612.68699218967</v>
      </c>
      <c r="J236" s="303">
        <f t="shared" si="30"/>
        <v>-103311.09856895672</v>
      </c>
      <c r="K236" s="462">
        <v>17913</v>
      </c>
      <c r="L236" s="10">
        <f t="shared" si="31"/>
        <v>13256.164125976293</v>
      </c>
      <c r="M236" s="14">
        <f t="shared" si="32"/>
        <v>4656.8358740237072</v>
      </c>
      <c r="N236" s="2">
        <f t="shared" si="33"/>
        <v>-3397.3144653857962</v>
      </c>
      <c r="O236" s="131">
        <f t="shared" si="34"/>
        <v>-106708.41303434252</v>
      </c>
      <c r="P236" s="457">
        <f t="shared" si="35"/>
        <v>-8.0497202675124271</v>
      </c>
      <c r="Q236" s="127"/>
    </row>
    <row r="237" spans="1:17" x14ac:dyDescent="0.25">
      <c r="A237" s="49">
        <f>+'A) Base RI'!A239</f>
        <v>5792</v>
      </c>
      <c r="B237" s="294" t="str">
        <f>+'A) Base RI'!B239</f>
        <v>Montpreveyres</v>
      </c>
      <c r="C237" s="306">
        <f>+'D) Ecrêtage'!C237</f>
        <v>18726.471313410195</v>
      </c>
      <c r="D237" s="458">
        <v>229996</v>
      </c>
      <c r="E237" s="460">
        <v>29762</v>
      </c>
      <c r="F237" s="458">
        <v>80273</v>
      </c>
      <c r="G237" s="306">
        <f t="shared" si="27"/>
        <v>340031</v>
      </c>
      <c r="H237" s="286">
        <f t="shared" si="28"/>
        <v>149811.77050728156</v>
      </c>
      <c r="I237" s="10">
        <f t="shared" si="29"/>
        <v>190219.22949271844</v>
      </c>
      <c r="J237" s="303">
        <f t="shared" si="30"/>
        <v>-138771.16510695883</v>
      </c>
      <c r="K237" s="462">
        <v>-4349</v>
      </c>
      <c r="L237" s="10">
        <f t="shared" si="31"/>
        <v>18726.471313410195</v>
      </c>
      <c r="M237" s="14">
        <f t="shared" si="32"/>
        <v>0</v>
      </c>
      <c r="N237" s="2">
        <f t="shared" si="33"/>
        <v>0</v>
      </c>
      <c r="O237" s="131">
        <f t="shared" si="34"/>
        <v>-138771.16510695883</v>
      </c>
      <c r="P237" s="457">
        <f t="shared" si="35"/>
        <v>-7.4104278795751313</v>
      </c>
      <c r="Q237" s="127"/>
    </row>
    <row r="238" spans="1:17" x14ac:dyDescent="0.25">
      <c r="A238" s="49">
        <f>+'A) Base RI'!A240</f>
        <v>5798</v>
      </c>
      <c r="B238" s="294" t="str">
        <f>+'A) Base RI'!B240</f>
        <v>Ropraz</v>
      </c>
      <c r="C238" s="306">
        <f>+'D) Ecrêtage'!C238</f>
        <v>13725.260150883058</v>
      </c>
      <c r="D238" s="458">
        <v>146414</v>
      </c>
      <c r="E238" s="460">
        <v>13779</v>
      </c>
      <c r="F238" s="458">
        <v>59621</v>
      </c>
      <c r="G238" s="306">
        <f t="shared" si="27"/>
        <v>219814</v>
      </c>
      <c r="H238" s="286">
        <f t="shared" si="28"/>
        <v>109802.08120706446</v>
      </c>
      <c r="I238" s="10">
        <f t="shared" si="29"/>
        <v>110011.91879293554</v>
      </c>
      <c r="J238" s="303">
        <f t="shared" si="30"/>
        <v>-80257.301994445326</v>
      </c>
      <c r="K238" s="462">
        <v>-3819</v>
      </c>
      <c r="L238" s="10">
        <f t="shared" si="31"/>
        <v>13725.260150883058</v>
      </c>
      <c r="M238" s="14">
        <f t="shared" si="32"/>
        <v>0</v>
      </c>
      <c r="N238" s="2">
        <f t="shared" si="33"/>
        <v>0</v>
      </c>
      <c r="O238" s="131">
        <f t="shared" si="34"/>
        <v>-80257.301994445326</v>
      </c>
      <c r="P238" s="457">
        <f t="shared" si="35"/>
        <v>-5.847415721973162</v>
      </c>
      <c r="Q238" s="127"/>
    </row>
    <row r="239" spans="1:17" x14ac:dyDescent="0.25">
      <c r="A239" s="49">
        <f>+'A) Base RI'!A241</f>
        <v>5799</v>
      </c>
      <c r="B239" s="294" t="str">
        <f>+'A) Base RI'!B241</f>
        <v>Servion</v>
      </c>
      <c r="C239" s="306">
        <f>+'D) Ecrêtage'!C239</f>
        <v>68712.576636224549</v>
      </c>
      <c r="D239" s="458">
        <v>517166</v>
      </c>
      <c r="E239" s="460">
        <v>87450</v>
      </c>
      <c r="F239" s="458">
        <v>250695</v>
      </c>
      <c r="G239" s="306">
        <f t="shared" si="27"/>
        <v>855311</v>
      </c>
      <c r="H239" s="286">
        <f t="shared" si="28"/>
        <v>549700.61308979639</v>
      </c>
      <c r="I239" s="10">
        <f t="shared" si="29"/>
        <v>305610.38691020361</v>
      </c>
      <c r="J239" s="303">
        <f t="shared" si="30"/>
        <v>-222952.79806051828</v>
      </c>
      <c r="K239" s="462">
        <v>74430</v>
      </c>
      <c r="L239" s="10">
        <f t="shared" si="31"/>
        <v>68712.576636224549</v>
      </c>
      <c r="M239" s="14">
        <f t="shared" si="32"/>
        <v>5717.4233637754514</v>
      </c>
      <c r="N239" s="2">
        <f t="shared" si="33"/>
        <v>-4171.0478152853566</v>
      </c>
      <c r="O239" s="131">
        <f t="shared" si="34"/>
        <v>-227123.84587580364</v>
      </c>
      <c r="P239" s="457">
        <f t="shared" si="35"/>
        <v>-3.3054188475311279</v>
      </c>
      <c r="Q239" s="127"/>
    </row>
    <row r="240" spans="1:17" x14ac:dyDescent="0.25">
      <c r="A240" s="49">
        <f>+'A) Base RI'!A242</f>
        <v>5803</v>
      </c>
      <c r="B240" s="294" t="str">
        <f>+'A) Base RI'!B242</f>
        <v>Vulliens</v>
      </c>
      <c r="C240" s="306">
        <f>+'D) Ecrêtage'!C240</f>
        <v>16546.34632030463</v>
      </c>
      <c r="D240" s="458">
        <v>125207</v>
      </c>
      <c r="E240" s="460">
        <v>15769</v>
      </c>
      <c r="F240" s="458">
        <v>75624</v>
      </c>
      <c r="G240" s="306">
        <f t="shared" si="27"/>
        <v>216600</v>
      </c>
      <c r="H240" s="286">
        <f t="shared" si="28"/>
        <v>132370.77056243704</v>
      </c>
      <c r="I240" s="10">
        <f t="shared" si="29"/>
        <v>84229.229437562957</v>
      </c>
      <c r="J240" s="303">
        <f t="shared" si="30"/>
        <v>-61447.984708398806</v>
      </c>
      <c r="K240" s="462">
        <v>35349</v>
      </c>
      <c r="L240" s="10">
        <f t="shared" si="31"/>
        <v>16546.34632030463</v>
      </c>
      <c r="M240" s="14">
        <f t="shared" si="32"/>
        <v>18802.65367969537</v>
      </c>
      <c r="N240" s="2">
        <f t="shared" si="33"/>
        <v>-13717.15238881175</v>
      </c>
      <c r="O240" s="131">
        <f t="shared" si="34"/>
        <v>-75165.137097210551</v>
      </c>
      <c r="P240" s="457">
        <f t="shared" si="35"/>
        <v>-4.5427030017480439</v>
      </c>
      <c r="Q240" s="127"/>
    </row>
    <row r="241" spans="1:17" x14ac:dyDescent="0.25">
      <c r="A241" s="49">
        <f>+'A) Base RI'!A243</f>
        <v>5804</v>
      </c>
      <c r="B241" s="294" t="str">
        <f>+'A) Base RI'!B243</f>
        <v>Jorat-Menthue</v>
      </c>
      <c r="C241" s="306">
        <f>+'D) Ecrêtage'!C241</f>
        <v>47504.398266419383</v>
      </c>
      <c r="D241" s="458">
        <v>689982</v>
      </c>
      <c r="E241" s="460">
        <v>46909</v>
      </c>
      <c r="F241" s="458">
        <v>140438</v>
      </c>
      <c r="G241" s="306">
        <f t="shared" si="27"/>
        <v>877329</v>
      </c>
      <c r="H241" s="286">
        <f t="shared" si="28"/>
        <v>380035.18613135506</v>
      </c>
      <c r="I241" s="10">
        <f t="shared" si="29"/>
        <v>497293.81386864494</v>
      </c>
      <c r="J241" s="303">
        <f t="shared" si="30"/>
        <v>-362792.14322901395</v>
      </c>
      <c r="K241" s="462">
        <v>89434</v>
      </c>
      <c r="L241" s="10">
        <f t="shared" si="31"/>
        <v>47504.398266419383</v>
      </c>
      <c r="M241" s="14">
        <f t="shared" si="32"/>
        <v>41929.601733580617</v>
      </c>
      <c r="N241" s="2">
        <f t="shared" si="33"/>
        <v>-30589.019315013462</v>
      </c>
      <c r="O241" s="131">
        <f t="shared" si="34"/>
        <v>-393381.16254402744</v>
      </c>
      <c r="P241" s="457">
        <f t="shared" si="35"/>
        <v>-8.2809419106379156</v>
      </c>
      <c r="Q241" s="127"/>
    </row>
    <row r="242" spans="1:17" x14ac:dyDescent="0.25">
      <c r="A242" s="49">
        <f>+'A) Base RI'!A244</f>
        <v>5805</v>
      </c>
      <c r="B242" s="294" t="str">
        <f>+'A) Base RI'!B244</f>
        <v>Oron</v>
      </c>
      <c r="C242" s="306">
        <f>+'D) Ecrêtage'!C242</f>
        <v>152415.01875763744</v>
      </c>
      <c r="D242" s="458">
        <v>1113782</v>
      </c>
      <c r="E242" s="460">
        <v>418188</v>
      </c>
      <c r="F242" s="458">
        <v>623298</v>
      </c>
      <c r="G242" s="306">
        <f t="shared" si="27"/>
        <v>2155268</v>
      </c>
      <c r="H242" s="286">
        <f t="shared" si="28"/>
        <v>1219320.1500610996</v>
      </c>
      <c r="I242" s="10">
        <f t="shared" si="29"/>
        <v>935947.84993890044</v>
      </c>
      <c r="J242" s="303">
        <f t="shared" si="30"/>
        <v>-682804.64578554174</v>
      </c>
      <c r="K242" s="462">
        <v>51366</v>
      </c>
      <c r="L242" s="10">
        <f t="shared" si="31"/>
        <v>152415.01875763744</v>
      </c>
      <c r="M242" s="14">
        <f t="shared" si="32"/>
        <v>0</v>
      </c>
      <c r="N242" s="2">
        <f t="shared" si="33"/>
        <v>0</v>
      </c>
      <c r="O242" s="131">
        <f t="shared" si="34"/>
        <v>-682804.64578554174</v>
      </c>
      <c r="P242" s="457">
        <f t="shared" si="35"/>
        <v>-4.4799039579642912</v>
      </c>
      <c r="Q242" s="127"/>
    </row>
    <row r="243" spans="1:17" x14ac:dyDescent="0.25">
      <c r="A243" s="49">
        <f>+'A) Base RI'!A245</f>
        <v>5806</v>
      </c>
      <c r="B243" s="294" t="str">
        <f>+'A) Base RI'!B245</f>
        <v>Jorat-Mézières</v>
      </c>
      <c r="C243" s="306">
        <f>+'D) Ecrêtage'!C243</f>
        <v>89827.60291631594</v>
      </c>
      <c r="D243" s="458">
        <v>754154</v>
      </c>
      <c r="E243" s="460">
        <v>130899</v>
      </c>
      <c r="F243" s="458">
        <v>394269</v>
      </c>
      <c r="G243" s="306">
        <f t="shared" si="27"/>
        <v>1279322</v>
      </c>
      <c r="H243" s="286">
        <f t="shared" si="28"/>
        <v>718620.82333052752</v>
      </c>
      <c r="I243" s="10">
        <f t="shared" si="29"/>
        <v>560701.17666947248</v>
      </c>
      <c r="J243" s="303">
        <f t="shared" si="30"/>
        <v>-409049.89348747191</v>
      </c>
      <c r="K243" s="462">
        <v>80119</v>
      </c>
      <c r="L243" s="10">
        <f t="shared" si="31"/>
        <v>89827.60291631594</v>
      </c>
      <c r="M243" s="14">
        <f t="shared" si="32"/>
        <v>0</v>
      </c>
      <c r="N243" s="2">
        <f t="shared" si="33"/>
        <v>0</v>
      </c>
      <c r="O243" s="131">
        <f t="shared" si="34"/>
        <v>-409049.89348747191</v>
      </c>
      <c r="P243" s="457">
        <f t="shared" si="35"/>
        <v>-4.5537215756335589</v>
      </c>
      <c r="Q243" s="127"/>
    </row>
    <row r="244" spans="1:17" x14ac:dyDescent="0.25">
      <c r="A244" s="49">
        <f>+'A) Base RI'!A246</f>
        <v>5812</v>
      </c>
      <c r="B244" s="294" t="str">
        <f>+'A) Base RI'!B246</f>
        <v>Champtauroz</v>
      </c>
      <c r="C244" s="306">
        <f>+'D) Ecrêtage'!C244</f>
        <v>2432.9524302206905</v>
      </c>
      <c r="D244" s="458">
        <v>36176</v>
      </c>
      <c r="E244" s="460">
        <v>4263</v>
      </c>
      <c r="F244" s="458">
        <v>16927</v>
      </c>
      <c r="G244" s="306">
        <f t="shared" si="27"/>
        <v>57366</v>
      </c>
      <c r="H244" s="286">
        <f t="shared" si="28"/>
        <v>19463.619441765524</v>
      </c>
      <c r="I244" s="10">
        <f t="shared" si="29"/>
        <v>37902.380558234479</v>
      </c>
      <c r="J244" s="303">
        <f t="shared" si="30"/>
        <v>-27651.029417059468</v>
      </c>
      <c r="K244" s="462">
        <v>-256</v>
      </c>
      <c r="L244" s="10">
        <f t="shared" si="31"/>
        <v>2432.9524302206905</v>
      </c>
      <c r="M244" s="14">
        <f t="shared" si="32"/>
        <v>0</v>
      </c>
      <c r="N244" s="2">
        <f t="shared" si="33"/>
        <v>0</v>
      </c>
      <c r="O244" s="131">
        <f t="shared" si="34"/>
        <v>-27651.029417059468</v>
      </c>
      <c r="P244" s="457">
        <f t="shared" si="35"/>
        <v>-11.365215806768269</v>
      </c>
      <c r="Q244" s="127"/>
    </row>
    <row r="245" spans="1:17" x14ac:dyDescent="0.25">
      <c r="A245" s="49">
        <f>+'A) Base RI'!A247</f>
        <v>5813</v>
      </c>
      <c r="B245" s="294" t="str">
        <f>+'A) Base RI'!B247</f>
        <v>Chevroux</v>
      </c>
      <c r="C245" s="306">
        <f>+'D) Ecrêtage'!C245</f>
        <v>12841.233936581375</v>
      </c>
      <c r="D245" s="458">
        <v>177227</v>
      </c>
      <c r="E245" s="460">
        <v>23479</v>
      </c>
      <c r="F245" s="458">
        <v>25973</v>
      </c>
      <c r="G245" s="306">
        <f t="shared" si="27"/>
        <v>226679</v>
      </c>
      <c r="H245" s="286">
        <f t="shared" si="28"/>
        <v>102729.871492651</v>
      </c>
      <c r="I245" s="10">
        <f t="shared" si="29"/>
        <v>123949.128507349</v>
      </c>
      <c r="J245" s="303">
        <f t="shared" si="30"/>
        <v>-90424.953475144954</v>
      </c>
      <c r="K245" s="462">
        <v>7048</v>
      </c>
      <c r="L245" s="10">
        <f t="shared" si="31"/>
        <v>12841.233936581375</v>
      </c>
      <c r="M245" s="14">
        <f t="shared" si="32"/>
        <v>0</v>
      </c>
      <c r="N245" s="2">
        <f t="shared" si="33"/>
        <v>0</v>
      </c>
      <c r="O245" s="131">
        <f t="shared" si="34"/>
        <v>-90424.953475144954</v>
      </c>
      <c r="P245" s="457">
        <f t="shared" si="35"/>
        <v>-7.0417651389051876</v>
      </c>
      <c r="Q245" s="127"/>
    </row>
    <row r="246" spans="1:17" x14ac:dyDescent="0.25">
      <c r="A246" s="49">
        <f>+'A) Base RI'!A248</f>
        <v>5816</v>
      </c>
      <c r="B246" s="294" t="str">
        <f>+'A) Base RI'!B248</f>
        <v>Corcelles-près-Payerne</v>
      </c>
      <c r="C246" s="306">
        <f>+'D) Ecrêtage'!C246</f>
        <v>55328.106299465391</v>
      </c>
      <c r="D246" s="458">
        <v>574438</v>
      </c>
      <c r="E246" s="460">
        <v>203817</v>
      </c>
      <c r="F246" s="458">
        <v>163870</v>
      </c>
      <c r="G246" s="306">
        <f t="shared" si="27"/>
        <v>942125</v>
      </c>
      <c r="H246" s="286">
        <f t="shared" si="28"/>
        <v>442624.85039572313</v>
      </c>
      <c r="I246" s="10">
        <f t="shared" si="29"/>
        <v>499500.14960427687</v>
      </c>
      <c r="J246" s="303">
        <f t="shared" si="30"/>
        <v>-364401.73749278672</v>
      </c>
      <c r="K246" s="462">
        <v>40128</v>
      </c>
      <c r="L246" s="10">
        <f t="shared" si="31"/>
        <v>55328.106299465391</v>
      </c>
      <c r="M246" s="14">
        <f t="shared" si="32"/>
        <v>0</v>
      </c>
      <c r="N246" s="2">
        <f t="shared" si="33"/>
        <v>0</v>
      </c>
      <c r="O246" s="131">
        <f t="shared" si="34"/>
        <v>-364401.73749278672</v>
      </c>
      <c r="P246" s="457">
        <f t="shared" si="35"/>
        <v>-6.5861957306192451</v>
      </c>
      <c r="Q246" s="127"/>
    </row>
    <row r="247" spans="1:17" x14ac:dyDescent="0.25">
      <c r="A247" s="49">
        <f>+'A) Base RI'!A249</f>
        <v>5817</v>
      </c>
      <c r="B247" s="294" t="str">
        <f>+'A) Base RI'!B249</f>
        <v>Grandcour</v>
      </c>
      <c r="C247" s="306">
        <f>+'D) Ecrêtage'!C247</f>
        <v>23406.066601684674</v>
      </c>
      <c r="D247" s="458">
        <v>224724</v>
      </c>
      <c r="E247" s="460">
        <v>29640</v>
      </c>
      <c r="F247" s="458">
        <v>71273</v>
      </c>
      <c r="G247" s="306">
        <f t="shared" si="27"/>
        <v>325637</v>
      </c>
      <c r="H247" s="286">
        <f t="shared" si="28"/>
        <v>187248.53281347739</v>
      </c>
      <c r="I247" s="10">
        <f t="shared" si="29"/>
        <v>138388.46718652261</v>
      </c>
      <c r="J247" s="303">
        <f t="shared" si="30"/>
        <v>-100958.92450019109</v>
      </c>
      <c r="K247" s="462">
        <v>73946</v>
      </c>
      <c r="L247" s="10">
        <f t="shared" si="31"/>
        <v>23406.066601684674</v>
      </c>
      <c r="M247" s="14">
        <f t="shared" si="32"/>
        <v>50539.933398315326</v>
      </c>
      <c r="N247" s="2">
        <f t="shared" si="33"/>
        <v>-36870.538592843972</v>
      </c>
      <c r="O247" s="131">
        <f t="shared" si="34"/>
        <v>-137829.46309303507</v>
      </c>
      <c r="P247" s="457">
        <f t="shared" si="35"/>
        <v>-5.8886213321769603</v>
      </c>
      <c r="Q247" s="127"/>
    </row>
    <row r="248" spans="1:17" x14ac:dyDescent="0.25">
      <c r="A248" s="49">
        <f>+'A) Base RI'!A250</f>
        <v>5819</v>
      </c>
      <c r="B248" s="294" t="str">
        <f>+'A) Base RI'!B250</f>
        <v>Henniez</v>
      </c>
      <c r="C248" s="306">
        <f>+'D) Ecrêtage'!C248</f>
        <v>12438.573202549422</v>
      </c>
      <c r="D248" s="458">
        <v>124041</v>
      </c>
      <c r="E248" s="460">
        <v>29890</v>
      </c>
      <c r="F248" s="458">
        <v>60759</v>
      </c>
      <c r="G248" s="306">
        <f t="shared" si="27"/>
        <v>214690</v>
      </c>
      <c r="H248" s="286">
        <f t="shared" si="28"/>
        <v>99508.585620395374</v>
      </c>
      <c r="I248" s="10">
        <f t="shared" si="29"/>
        <v>115181.41437960463</v>
      </c>
      <c r="J248" s="303">
        <f t="shared" si="30"/>
        <v>-84028.618530057793</v>
      </c>
      <c r="K248" s="462">
        <v>0</v>
      </c>
      <c r="L248" s="10">
        <f t="shared" si="31"/>
        <v>12438.573202549422</v>
      </c>
      <c r="M248" s="14">
        <f t="shared" si="32"/>
        <v>0</v>
      </c>
      <c r="N248" s="2">
        <f t="shared" si="33"/>
        <v>0</v>
      </c>
      <c r="O248" s="131">
        <f t="shared" si="34"/>
        <v>-84028.618530057793</v>
      </c>
      <c r="P248" s="457">
        <f t="shared" si="35"/>
        <v>-6.7554869165247355</v>
      </c>
      <c r="Q248" s="127"/>
    </row>
    <row r="249" spans="1:17" x14ac:dyDescent="0.25">
      <c r="A249" s="49">
        <f>+'A) Base RI'!A251</f>
        <v>5821</v>
      </c>
      <c r="B249" s="294" t="str">
        <f>+'A) Base RI'!B251</f>
        <v>Missy</v>
      </c>
      <c r="C249" s="306">
        <f>+'D) Ecrêtage'!C249</f>
        <v>8575.631351638991</v>
      </c>
      <c r="D249" s="458">
        <v>59177</v>
      </c>
      <c r="E249" s="460">
        <v>11723</v>
      </c>
      <c r="F249" s="458">
        <v>23839</v>
      </c>
      <c r="G249" s="306">
        <f t="shared" si="27"/>
        <v>94739</v>
      </c>
      <c r="H249" s="286">
        <f t="shared" si="28"/>
        <v>68605.050813111928</v>
      </c>
      <c r="I249" s="10">
        <f t="shared" si="29"/>
        <v>26133.949186888072</v>
      </c>
      <c r="J249" s="303">
        <f t="shared" si="30"/>
        <v>-19065.57285076872</v>
      </c>
      <c r="K249" s="462">
        <v>0</v>
      </c>
      <c r="L249" s="10">
        <f t="shared" si="31"/>
        <v>8575.631351638991</v>
      </c>
      <c r="M249" s="14">
        <f t="shared" si="32"/>
        <v>0</v>
      </c>
      <c r="N249" s="2">
        <f t="shared" si="33"/>
        <v>0</v>
      </c>
      <c r="O249" s="131">
        <f t="shared" si="34"/>
        <v>-19065.57285076872</v>
      </c>
      <c r="P249" s="457">
        <f t="shared" si="35"/>
        <v>-2.2232267303706883</v>
      </c>
      <c r="Q249" s="127"/>
    </row>
    <row r="250" spans="1:17" x14ac:dyDescent="0.25">
      <c r="A250" s="49">
        <f>+'A) Base RI'!A252</f>
        <v>5822</v>
      </c>
      <c r="B250" s="294" t="str">
        <f>+'A) Base RI'!B252</f>
        <v>Payerne</v>
      </c>
      <c r="C250" s="306">
        <f>+'D) Ecrêtage'!C250</f>
        <v>236916.04439002261</v>
      </c>
      <c r="D250" s="458">
        <v>2285698</v>
      </c>
      <c r="E250" s="460">
        <v>808942</v>
      </c>
      <c r="F250" s="458">
        <v>678889</v>
      </c>
      <c r="G250" s="306">
        <f t="shared" si="27"/>
        <v>3773529</v>
      </c>
      <c r="H250" s="286">
        <f t="shared" si="28"/>
        <v>1895328.3551201809</v>
      </c>
      <c r="I250" s="10">
        <f t="shared" si="29"/>
        <v>1878200.6448798191</v>
      </c>
      <c r="J250" s="303">
        <f t="shared" si="30"/>
        <v>-1370208.9556860032</v>
      </c>
      <c r="K250" s="462">
        <v>155788</v>
      </c>
      <c r="L250" s="10">
        <f t="shared" si="31"/>
        <v>236916.04439002261</v>
      </c>
      <c r="M250" s="14">
        <f t="shared" si="32"/>
        <v>0</v>
      </c>
      <c r="N250" s="2">
        <f t="shared" si="33"/>
        <v>0</v>
      </c>
      <c r="O250" s="131">
        <f t="shared" si="34"/>
        <v>-1370208.9556860032</v>
      </c>
      <c r="P250" s="457">
        <f t="shared" si="35"/>
        <v>-5.7835211592098812</v>
      </c>
      <c r="Q250" s="127"/>
    </row>
    <row r="251" spans="1:17" x14ac:dyDescent="0.25">
      <c r="A251" s="49">
        <f>+'A) Base RI'!A253</f>
        <v>5827</v>
      </c>
      <c r="B251" s="294" t="str">
        <f>+'A) Base RI'!B253</f>
        <v>Trey</v>
      </c>
      <c r="C251" s="306">
        <f>+'D) Ecrêtage'!C251</f>
        <v>7081.6159611211069</v>
      </c>
      <c r="D251" s="458">
        <v>94636</v>
      </c>
      <c r="E251" s="460">
        <v>8925</v>
      </c>
      <c r="F251" s="458">
        <v>24250</v>
      </c>
      <c r="G251" s="306">
        <f t="shared" si="27"/>
        <v>127811</v>
      </c>
      <c r="H251" s="286">
        <f t="shared" si="28"/>
        <v>56652.927688968855</v>
      </c>
      <c r="I251" s="10">
        <f t="shared" si="29"/>
        <v>71158.072311031137</v>
      </c>
      <c r="J251" s="303">
        <f t="shared" si="30"/>
        <v>-51912.146987983775</v>
      </c>
      <c r="K251" s="462">
        <v>13212</v>
      </c>
      <c r="L251" s="10">
        <f t="shared" si="31"/>
        <v>7081.6159611211069</v>
      </c>
      <c r="M251" s="14">
        <f t="shared" si="32"/>
        <v>6130.3840388788931</v>
      </c>
      <c r="N251" s="2">
        <f t="shared" si="33"/>
        <v>-4472.3161685443238</v>
      </c>
      <c r="O251" s="131">
        <f t="shared" si="34"/>
        <v>-56384.463156528102</v>
      </c>
      <c r="P251" s="457">
        <f t="shared" si="35"/>
        <v>-7.9620899334396764</v>
      </c>
      <c r="Q251" s="127"/>
    </row>
    <row r="252" spans="1:17" x14ac:dyDescent="0.25">
      <c r="A252" s="49">
        <f>+'A) Base RI'!A254</f>
        <v>5828</v>
      </c>
      <c r="B252" s="294" t="str">
        <f>+'A) Base RI'!B254</f>
        <v>Treytorrens (Payerne)</v>
      </c>
      <c r="C252" s="306">
        <f>+'D) Ecrêtage'!C252</f>
        <v>2673.2421559488716</v>
      </c>
      <c r="D252" s="458">
        <v>48080</v>
      </c>
      <c r="E252" s="460">
        <v>4063</v>
      </c>
      <c r="F252" s="458">
        <v>18846</v>
      </c>
      <c r="G252" s="306">
        <f t="shared" si="27"/>
        <v>70989</v>
      </c>
      <c r="H252" s="286">
        <f t="shared" si="28"/>
        <v>21385.937247590973</v>
      </c>
      <c r="I252" s="10">
        <f t="shared" si="29"/>
        <v>49603.062752409023</v>
      </c>
      <c r="J252" s="303">
        <f t="shared" si="30"/>
        <v>-36187.060737142194</v>
      </c>
      <c r="K252" s="462">
        <v>4093</v>
      </c>
      <c r="L252" s="10">
        <f t="shared" si="31"/>
        <v>2673.2421559488716</v>
      </c>
      <c r="M252" s="14">
        <f t="shared" si="32"/>
        <v>1419.7578440511284</v>
      </c>
      <c r="N252" s="2">
        <f t="shared" si="33"/>
        <v>-1035.7599003746411</v>
      </c>
      <c r="O252" s="131">
        <f t="shared" si="34"/>
        <v>-37222.820637516837</v>
      </c>
      <c r="P252" s="457">
        <f t="shared" si="35"/>
        <v>-13.92422327123767</v>
      </c>
      <c r="Q252" s="127"/>
    </row>
    <row r="253" spans="1:17" x14ac:dyDescent="0.25">
      <c r="A253" s="49">
        <f>+'A) Base RI'!A255</f>
        <v>5830</v>
      </c>
      <c r="B253" s="294" t="str">
        <f>+'A) Base RI'!B255</f>
        <v>Villarzel</v>
      </c>
      <c r="C253" s="306">
        <f>+'D) Ecrêtage'!C253</f>
        <v>12117.556810814382</v>
      </c>
      <c r="D253" s="458">
        <v>134170</v>
      </c>
      <c r="E253" s="460">
        <v>20831</v>
      </c>
      <c r="F253" s="458">
        <v>70746</v>
      </c>
      <c r="G253" s="306">
        <f t="shared" si="27"/>
        <v>225747</v>
      </c>
      <c r="H253" s="286">
        <f t="shared" si="28"/>
        <v>96940.454486515053</v>
      </c>
      <c r="I253" s="10">
        <f t="shared" si="29"/>
        <v>128806.54551348495</v>
      </c>
      <c r="J253" s="303">
        <f t="shared" si="30"/>
        <v>-93968.598453360173</v>
      </c>
      <c r="K253" s="462">
        <v>4551</v>
      </c>
      <c r="L253" s="10">
        <f t="shared" si="31"/>
        <v>12117.556810814382</v>
      </c>
      <c r="M253" s="14">
        <f t="shared" si="32"/>
        <v>0</v>
      </c>
      <c r="N253" s="2">
        <f t="shared" si="33"/>
        <v>0</v>
      </c>
      <c r="O253" s="131">
        <f t="shared" si="34"/>
        <v>-93968.598453360173</v>
      </c>
      <c r="P253" s="457">
        <f t="shared" si="35"/>
        <v>-7.754747918284763</v>
      </c>
      <c r="Q253" s="127"/>
    </row>
    <row r="254" spans="1:17" x14ac:dyDescent="0.25">
      <c r="A254" s="49">
        <f>+'A) Base RI'!A256</f>
        <v>5831</v>
      </c>
      <c r="B254" s="294" t="str">
        <f>+'A) Base RI'!B256</f>
        <v>Valbroye</v>
      </c>
      <c r="C254" s="306">
        <f>+'D) Ecrêtage'!C254</f>
        <v>83651.867392232569</v>
      </c>
      <c r="D254" s="458">
        <v>980264</v>
      </c>
      <c r="E254" s="460">
        <v>252690</v>
      </c>
      <c r="F254" s="458">
        <v>462877</v>
      </c>
      <c r="G254" s="306">
        <f t="shared" si="27"/>
        <v>1695831</v>
      </c>
      <c r="H254" s="286">
        <f t="shared" si="28"/>
        <v>669214.93913786055</v>
      </c>
      <c r="I254" s="10">
        <f t="shared" si="29"/>
        <v>1026616.0608621394</v>
      </c>
      <c r="J254" s="303">
        <f t="shared" si="30"/>
        <v>-748950.0786186771</v>
      </c>
      <c r="K254" s="462">
        <v>59568</v>
      </c>
      <c r="L254" s="10">
        <f t="shared" si="31"/>
        <v>83651.867392232569</v>
      </c>
      <c r="M254" s="14">
        <f t="shared" si="32"/>
        <v>0</v>
      </c>
      <c r="N254" s="2">
        <f t="shared" si="33"/>
        <v>0</v>
      </c>
      <c r="O254" s="131">
        <f t="shared" si="34"/>
        <v>-748950.0786186771</v>
      </c>
      <c r="P254" s="457">
        <f t="shared" si="35"/>
        <v>-8.9531782369776511</v>
      </c>
      <c r="Q254" s="127"/>
    </row>
    <row r="255" spans="1:17" x14ac:dyDescent="0.25">
      <c r="A255" s="49">
        <f>+'A) Base RI'!A257</f>
        <v>5841</v>
      </c>
      <c r="B255" s="294" t="str">
        <f>+'A) Base RI'!B257</f>
        <v>Château-d'Oex</v>
      </c>
      <c r="C255" s="306">
        <f>+'D) Ecrêtage'!C255</f>
        <v>116299.93992329082</v>
      </c>
      <c r="D255" s="458">
        <v>3010250</v>
      </c>
      <c r="E255" s="460">
        <v>233301</v>
      </c>
      <c r="F255" s="458">
        <v>382367</v>
      </c>
      <c r="G255" s="306">
        <f t="shared" si="27"/>
        <v>3625918</v>
      </c>
      <c r="H255" s="286">
        <f t="shared" si="28"/>
        <v>930399.51938632654</v>
      </c>
      <c r="I255" s="10">
        <f t="shared" si="29"/>
        <v>2695518.4806136736</v>
      </c>
      <c r="J255" s="303">
        <f t="shared" si="30"/>
        <v>-1966469.1162909891</v>
      </c>
      <c r="K255" s="462">
        <v>45305</v>
      </c>
      <c r="L255" s="10">
        <f t="shared" si="31"/>
        <v>116299.93992329082</v>
      </c>
      <c r="M255" s="14">
        <f t="shared" si="32"/>
        <v>0</v>
      </c>
      <c r="N255" s="2">
        <f t="shared" si="33"/>
        <v>0</v>
      </c>
      <c r="O255" s="131">
        <f t="shared" si="34"/>
        <v>-1966469.1162909891</v>
      </c>
      <c r="P255" s="457">
        <f t="shared" si="35"/>
        <v>-16.90859958816861</v>
      </c>
      <c r="Q255" s="127"/>
    </row>
    <row r="256" spans="1:17" x14ac:dyDescent="0.25">
      <c r="A256" s="49">
        <f>+'A) Base RI'!A258</f>
        <v>5842</v>
      </c>
      <c r="B256" s="294" t="str">
        <f>+'A) Base RI'!B258</f>
        <v>Rossinière</v>
      </c>
      <c r="C256" s="306">
        <f>+'D) Ecrêtage'!C256</f>
        <v>16094.216375513943</v>
      </c>
      <c r="D256" s="458">
        <v>253284</v>
      </c>
      <c r="E256" s="460">
        <v>37037</v>
      </c>
      <c r="F256" s="458">
        <v>73000</v>
      </c>
      <c r="G256" s="306">
        <f t="shared" si="27"/>
        <v>363321</v>
      </c>
      <c r="H256" s="286">
        <f t="shared" si="28"/>
        <v>128753.73100411154</v>
      </c>
      <c r="I256" s="10">
        <f t="shared" si="29"/>
        <v>234567.26899588847</v>
      </c>
      <c r="J256" s="303">
        <f t="shared" si="30"/>
        <v>-171124.51407423517</v>
      </c>
      <c r="K256" s="462">
        <v>3177</v>
      </c>
      <c r="L256" s="10">
        <f t="shared" si="31"/>
        <v>16094.216375513943</v>
      </c>
      <c r="M256" s="14">
        <f t="shared" si="32"/>
        <v>0</v>
      </c>
      <c r="N256" s="2">
        <f t="shared" si="33"/>
        <v>0</v>
      </c>
      <c r="O256" s="131">
        <f t="shared" si="34"/>
        <v>-171124.51407423517</v>
      </c>
      <c r="P256" s="457">
        <f t="shared" si="35"/>
        <v>-10.632671394587895</v>
      </c>
      <c r="Q256" s="127"/>
    </row>
    <row r="257" spans="1:17" x14ac:dyDescent="0.25">
      <c r="A257" s="49">
        <f>+'A) Base RI'!A259</f>
        <v>5843</v>
      </c>
      <c r="B257" s="294" t="str">
        <f>+'A) Base RI'!B259</f>
        <v>Rougemont</v>
      </c>
      <c r="C257" s="306">
        <f>+'D) Ecrêtage'!C257</f>
        <v>94148.401666926264</v>
      </c>
      <c r="D257" s="458">
        <v>829757</v>
      </c>
      <c r="E257" s="460">
        <v>59939</v>
      </c>
      <c r="F257" s="458">
        <v>85439</v>
      </c>
      <c r="G257" s="306">
        <f t="shared" si="27"/>
        <v>975135</v>
      </c>
      <c r="H257" s="286">
        <f t="shared" si="28"/>
        <v>753187.21333541011</v>
      </c>
      <c r="I257" s="10">
        <f t="shared" si="29"/>
        <v>221947.78666458989</v>
      </c>
      <c r="J257" s="303">
        <f t="shared" si="30"/>
        <v>-161918.18792713014</v>
      </c>
      <c r="K257" s="462">
        <v>-16936</v>
      </c>
      <c r="L257" s="10">
        <f t="shared" si="31"/>
        <v>94148.401666926264</v>
      </c>
      <c r="M257" s="14">
        <f t="shared" si="32"/>
        <v>0</v>
      </c>
      <c r="N257" s="2">
        <f t="shared" si="33"/>
        <v>0</v>
      </c>
      <c r="O257" s="131">
        <f t="shared" si="34"/>
        <v>-161918.18792713014</v>
      </c>
      <c r="P257" s="457">
        <f t="shared" si="35"/>
        <v>-1.7198187654842683</v>
      </c>
      <c r="Q257" s="127"/>
    </row>
    <row r="258" spans="1:17" x14ac:dyDescent="0.25">
      <c r="A258" s="49">
        <f>+'A) Base RI'!A260</f>
        <v>5851</v>
      </c>
      <c r="B258" s="294" t="str">
        <f>+'A) Base RI'!B260</f>
        <v>Allaman</v>
      </c>
      <c r="C258" s="306">
        <f>+'D) Ecrêtage'!C258</f>
        <v>28833.689592297927</v>
      </c>
      <c r="D258" s="458">
        <v>113868</v>
      </c>
      <c r="E258" s="460">
        <v>30903</v>
      </c>
      <c r="F258" s="458">
        <v>44493</v>
      </c>
      <c r="G258" s="306">
        <f t="shared" si="27"/>
        <v>189264</v>
      </c>
      <c r="H258" s="286">
        <f t="shared" si="28"/>
        <v>230669.51673838342</v>
      </c>
      <c r="I258" s="10">
        <f t="shared" si="29"/>
        <v>0</v>
      </c>
      <c r="J258" s="303">
        <f t="shared" si="30"/>
        <v>0</v>
      </c>
      <c r="K258" s="462">
        <v>0</v>
      </c>
      <c r="L258" s="10">
        <f t="shared" si="31"/>
        <v>28833.689592297927</v>
      </c>
      <c r="M258" s="14">
        <f t="shared" si="32"/>
        <v>0</v>
      </c>
      <c r="N258" s="2">
        <f t="shared" si="33"/>
        <v>0</v>
      </c>
      <c r="O258" s="131">
        <f t="shared" si="34"/>
        <v>0</v>
      </c>
      <c r="P258" s="457">
        <f t="shared" si="35"/>
        <v>0</v>
      </c>
      <c r="Q258" s="127"/>
    </row>
    <row r="259" spans="1:17" x14ac:dyDescent="0.25">
      <c r="A259" s="49">
        <f>+'A) Base RI'!A261</f>
        <v>5852</v>
      </c>
      <c r="B259" s="294" t="str">
        <f>+'A) Base RI'!B261</f>
        <v>Bursinel</v>
      </c>
      <c r="C259" s="306">
        <f>+'D) Ecrêtage'!C259</f>
        <v>39695.951591324636</v>
      </c>
      <c r="D259" s="458">
        <v>237348</v>
      </c>
      <c r="E259" s="460">
        <v>13165</v>
      </c>
      <c r="F259" s="458">
        <v>39050</v>
      </c>
      <c r="G259" s="306">
        <f t="shared" si="27"/>
        <v>289563</v>
      </c>
      <c r="H259" s="286">
        <f t="shared" si="28"/>
        <v>317567.61273059709</v>
      </c>
      <c r="I259" s="10">
        <f t="shared" si="29"/>
        <v>0</v>
      </c>
      <c r="J259" s="303">
        <f t="shared" si="30"/>
        <v>0</v>
      </c>
      <c r="K259" s="462">
        <v>4672</v>
      </c>
      <c r="L259" s="10">
        <f t="shared" si="31"/>
        <v>39695.951591324636</v>
      </c>
      <c r="M259" s="14">
        <f t="shared" si="32"/>
        <v>0</v>
      </c>
      <c r="N259" s="2">
        <f t="shared" si="33"/>
        <v>0</v>
      </c>
      <c r="O259" s="131">
        <f t="shared" si="34"/>
        <v>0</v>
      </c>
      <c r="P259" s="457">
        <f t="shared" si="35"/>
        <v>0</v>
      </c>
      <c r="Q259" s="127"/>
    </row>
    <row r="260" spans="1:17" x14ac:dyDescent="0.25">
      <c r="A260" s="49">
        <f>+'A) Base RI'!A262</f>
        <v>5853</v>
      </c>
      <c r="B260" s="294" t="str">
        <f>+'A) Base RI'!B262</f>
        <v>Bursins</v>
      </c>
      <c r="C260" s="306">
        <f>+'D) Ecrêtage'!C260</f>
        <v>36570.93565140845</v>
      </c>
      <c r="D260" s="458">
        <v>216587</v>
      </c>
      <c r="E260" s="460">
        <v>37369</v>
      </c>
      <c r="F260" s="458">
        <v>60347</v>
      </c>
      <c r="G260" s="306">
        <f t="shared" si="27"/>
        <v>314303</v>
      </c>
      <c r="H260" s="286">
        <f t="shared" si="28"/>
        <v>292567.4852112676</v>
      </c>
      <c r="I260" s="10">
        <f t="shared" si="29"/>
        <v>21735.514788732398</v>
      </c>
      <c r="J260" s="303">
        <f t="shared" si="30"/>
        <v>-15856.770734881939</v>
      </c>
      <c r="K260" s="462">
        <v>49751</v>
      </c>
      <c r="L260" s="10">
        <f t="shared" si="31"/>
        <v>36570.93565140845</v>
      </c>
      <c r="M260" s="14">
        <f t="shared" si="32"/>
        <v>13180.06434859155</v>
      </c>
      <c r="N260" s="2">
        <f t="shared" si="33"/>
        <v>-9615.2891099201624</v>
      </c>
      <c r="O260" s="131">
        <f t="shared" si="34"/>
        <v>-25472.059844802101</v>
      </c>
      <c r="P260" s="457">
        <f t="shared" si="35"/>
        <v>-0.6965110241531679</v>
      </c>
      <c r="Q260" s="127"/>
    </row>
    <row r="261" spans="1:17" x14ac:dyDescent="0.25">
      <c r="A261" s="49">
        <f>+'A) Base RI'!A263</f>
        <v>5854</v>
      </c>
      <c r="B261" s="294" t="str">
        <f>+'A) Base RI'!B263</f>
        <v>Burtigny</v>
      </c>
      <c r="C261" s="306">
        <f>+'D) Ecrêtage'!C261</f>
        <v>15186.776169765042</v>
      </c>
      <c r="D261" s="458">
        <v>87269</v>
      </c>
      <c r="E261" s="460">
        <v>9739</v>
      </c>
      <c r="F261" s="458">
        <v>41743</v>
      </c>
      <c r="G261" s="306">
        <f t="shared" si="27"/>
        <v>138751</v>
      </c>
      <c r="H261" s="286">
        <f t="shared" si="28"/>
        <v>121494.20935812034</v>
      </c>
      <c r="I261" s="10">
        <f t="shared" si="29"/>
        <v>17256.790641879663</v>
      </c>
      <c r="J261" s="303">
        <f t="shared" si="30"/>
        <v>-12589.394614660529</v>
      </c>
      <c r="K261" s="462">
        <v>3403</v>
      </c>
      <c r="L261" s="10">
        <f t="shared" si="31"/>
        <v>15186.776169765042</v>
      </c>
      <c r="M261" s="14">
        <f t="shared" si="32"/>
        <v>0</v>
      </c>
      <c r="N261" s="2">
        <f t="shared" si="33"/>
        <v>0</v>
      </c>
      <c r="O261" s="131">
        <f t="shared" si="34"/>
        <v>-12589.394614660529</v>
      </c>
      <c r="P261" s="457">
        <f t="shared" si="35"/>
        <v>-0.82897084107451502</v>
      </c>
      <c r="Q261" s="127"/>
    </row>
    <row r="262" spans="1:17" x14ac:dyDescent="0.25">
      <c r="A262" s="49">
        <f>+'A) Base RI'!A264</f>
        <v>5855</v>
      </c>
      <c r="B262" s="294" t="str">
        <f>+'A) Base RI'!B264</f>
        <v>Dully</v>
      </c>
      <c r="C262" s="306">
        <f>+'D) Ecrêtage'!C262</f>
        <v>91369.635498396179</v>
      </c>
      <c r="D262" s="458">
        <v>261608</v>
      </c>
      <c r="E262" s="460">
        <v>32711</v>
      </c>
      <c r="F262" s="458">
        <v>43495</v>
      </c>
      <c r="G262" s="306">
        <f t="shared" ref="G262:G313" si="36">SUM(D262:F262)</f>
        <v>337814</v>
      </c>
      <c r="H262" s="286">
        <f t="shared" ref="H262:H313" si="37">+C262*$I$4</f>
        <v>730957.08398716943</v>
      </c>
      <c r="I262" s="10">
        <f t="shared" ref="I262:I313" si="38">IF(G262&gt;H262,G262-H262,0)</f>
        <v>0</v>
      </c>
      <c r="J262" s="303">
        <f t="shared" ref="J262:J313" si="39">-I262*J$4</f>
        <v>0</v>
      </c>
      <c r="K262" s="462">
        <v>5106</v>
      </c>
      <c r="L262" s="10">
        <f t="shared" ref="L262:L313" si="40">C262*M$4</f>
        <v>91369.635498396179</v>
      </c>
      <c r="M262" s="14">
        <f t="shared" ref="M262:M313" si="41">IF(K262&gt;L262,K262-L262,0)</f>
        <v>0</v>
      </c>
      <c r="N262" s="2">
        <f t="shared" ref="N262:N313" si="42">-M262*N$4</f>
        <v>0</v>
      </c>
      <c r="O262" s="131">
        <f t="shared" ref="O262:O313" si="43">N262+J262</f>
        <v>0</v>
      </c>
      <c r="P262" s="457">
        <f t="shared" ref="P262:P313" si="44">+O262/C262</f>
        <v>0</v>
      </c>
      <c r="Q262" s="127"/>
    </row>
    <row r="263" spans="1:17" x14ac:dyDescent="0.25">
      <c r="A263" s="49">
        <f>+'A) Base RI'!A265</f>
        <v>5856</v>
      </c>
      <c r="B263" s="294" t="str">
        <f>+'A) Base RI'!B265</f>
        <v>Essertines-sur-Rolle</v>
      </c>
      <c r="C263" s="306">
        <f>+'D) Ecrêtage'!C263</f>
        <v>37403.277675115321</v>
      </c>
      <c r="D263" s="458">
        <v>166290</v>
      </c>
      <c r="E263" s="460">
        <v>18776</v>
      </c>
      <c r="F263" s="458">
        <v>52495</v>
      </c>
      <c r="G263" s="306">
        <f t="shared" si="36"/>
        <v>237561</v>
      </c>
      <c r="H263" s="286">
        <f t="shared" si="37"/>
        <v>299226.22140092257</v>
      </c>
      <c r="I263" s="10">
        <f t="shared" si="38"/>
        <v>0</v>
      </c>
      <c r="J263" s="303">
        <f t="shared" si="39"/>
        <v>0</v>
      </c>
      <c r="K263" s="462">
        <v>-7033</v>
      </c>
      <c r="L263" s="10">
        <f t="shared" si="40"/>
        <v>37403.277675115321</v>
      </c>
      <c r="M263" s="14">
        <f t="shared" si="41"/>
        <v>0</v>
      </c>
      <c r="N263" s="2">
        <f t="shared" si="42"/>
        <v>0</v>
      </c>
      <c r="O263" s="131">
        <f t="shared" si="43"/>
        <v>0</v>
      </c>
      <c r="P263" s="457">
        <f t="shared" si="44"/>
        <v>0</v>
      </c>
      <c r="Q263" s="127"/>
    </row>
    <row r="264" spans="1:17" x14ac:dyDescent="0.25">
      <c r="A264" s="49">
        <f>+'A) Base RI'!A266</f>
        <v>5857</v>
      </c>
      <c r="B264" s="294" t="str">
        <f>+'A) Base RI'!B266</f>
        <v>Gilly</v>
      </c>
      <c r="C264" s="306">
        <f>+'D) Ecrêtage'!C264</f>
        <v>88640.687774331382</v>
      </c>
      <c r="D264" s="458">
        <v>192738</v>
      </c>
      <c r="E264" s="460">
        <v>63437</v>
      </c>
      <c r="F264" s="458">
        <v>92048</v>
      </c>
      <c r="G264" s="306">
        <f t="shared" si="36"/>
        <v>348223</v>
      </c>
      <c r="H264" s="286">
        <f t="shared" si="37"/>
        <v>709125.50219465105</v>
      </c>
      <c r="I264" s="10">
        <f t="shared" si="38"/>
        <v>0</v>
      </c>
      <c r="J264" s="303">
        <f t="shared" si="39"/>
        <v>0</v>
      </c>
      <c r="K264" s="462">
        <v>30740</v>
      </c>
      <c r="L264" s="10">
        <f t="shared" si="40"/>
        <v>88640.687774331382</v>
      </c>
      <c r="M264" s="14">
        <f t="shared" si="41"/>
        <v>0</v>
      </c>
      <c r="N264" s="2">
        <f t="shared" si="42"/>
        <v>0</v>
      </c>
      <c r="O264" s="131">
        <f t="shared" si="43"/>
        <v>0</v>
      </c>
      <c r="P264" s="457">
        <f t="shared" si="44"/>
        <v>0</v>
      </c>
      <c r="Q264" s="127"/>
    </row>
    <row r="265" spans="1:17" x14ac:dyDescent="0.25">
      <c r="A265" s="49">
        <f>+'A) Base RI'!A267</f>
        <v>5858</v>
      </c>
      <c r="B265" s="294" t="str">
        <f>+'A) Base RI'!B267</f>
        <v>Luins</v>
      </c>
      <c r="C265" s="306">
        <f>+'D) Ecrêtage'!C265</f>
        <v>43780.812152194871</v>
      </c>
      <c r="D265" s="458">
        <v>38903</v>
      </c>
      <c r="E265" s="460">
        <v>30062</v>
      </c>
      <c r="F265" s="458">
        <v>50009</v>
      </c>
      <c r="G265" s="306">
        <f t="shared" si="36"/>
        <v>118974</v>
      </c>
      <c r="H265" s="286">
        <f t="shared" si="37"/>
        <v>350246.49721755896</v>
      </c>
      <c r="I265" s="10">
        <f t="shared" si="38"/>
        <v>0</v>
      </c>
      <c r="J265" s="303">
        <f t="shared" si="39"/>
        <v>0</v>
      </c>
      <c r="K265" s="462">
        <v>3374</v>
      </c>
      <c r="L265" s="10">
        <f t="shared" si="40"/>
        <v>43780.812152194871</v>
      </c>
      <c r="M265" s="14">
        <f t="shared" si="41"/>
        <v>0</v>
      </c>
      <c r="N265" s="2">
        <f t="shared" si="42"/>
        <v>0</v>
      </c>
      <c r="O265" s="131">
        <f t="shared" si="43"/>
        <v>0</v>
      </c>
      <c r="P265" s="457">
        <f t="shared" si="44"/>
        <v>0</v>
      </c>
      <c r="Q265" s="127"/>
    </row>
    <row r="266" spans="1:17" x14ac:dyDescent="0.25">
      <c r="A266" s="49">
        <f>+'A) Base RI'!A268</f>
        <v>5859</v>
      </c>
      <c r="B266" s="294" t="str">
        <f>+'A) Base RI'!B268</f>
        <v>Mont-sur-Rolle</v>
      </c>
      <c r="C266" s="306">
        <f>+'D) Ecrêtage'!C266</f>
        <v>142403.85565354835</v>
      </c>
      <c r="D266" s="458">
        <v>482989</v>
      </c>
      <c r="E266" s="460">
        <v>145730</v>
      </c>
      <c r="F266" s="458">
        <v>218757</v>
      </c>
      <c r="G266" s="306">
        <f t="shared" si="36"/>
        <v>847476</v>
      </c>
      <c r="H266" s="286">
        <f t="shared" si="37"/>
        <v>1139230.8452283868</v>
      </c>
      <c r="I266" s="10">
        <f t="shared" si="38"/>
        <v>0</v>
      </c>
      <c r="J266" s="303">
        <f t="shared" si="39"/>
        <v>0</v>
      </c>
      <c r="K266" s="462">
        <v>3712</v>
      </c>
      <c r="L266" s="10">
        <f t="shared" si="40"/>
        <v>142403.85565354835</v>
      </c>
      <c r="M266" s="14">
        <f t="shared" si="41"/>
        <v>0</v>
      </c>
      <c r="N266" s="2">
        <f t="shared" si="42"/>
        <v>0</v>
      </c>
      <c r="O266" s="131">
        <f t="shared" si="43"/>
        <v>0</v>
      </c>
      <c r="P266" s="457">
        <f t="shared" si="44"/>
        <v>0</v>
      </c>
      <c r="Q266" s="127"/>
    </row>
    <row r="267" spans="1:17" x14ac:dyDescent="0.25">
      <c r="A267" s="49">
        <f>+'A) Base RI'!A269</f>
        <v>5860</v>
      </c>
      <c r="B267" s="294" t="str">
        <f>+'A) Base RI'!B269</f>
        <v>Perroy</v>
      </c>
      <c r="C267" s="306">
        <f>+'D) Ecrêtage'!C267</f>
        <v>95160.687801613312</v>
      </c>
      <c r="D267" s="458">
        <v>148414</v>
      </c>
      <c r="E267" s="460">
        <v>61265</v>
      </c>
      <c r="F267" s="458">
        <v>124800</v>
      </c>
      <c r="G267" s="306">
        <f t="shared" si="36"/>
        <v>334479</v>
      </c>
      <c r="H267" s="286">
        <f t="shared" si="37"/>
        <v>761285.5024129065</v>
      </c>
      <c r="I267" s="10">
        <f t="shared" si="38"/>
        <v>0</v>
      </c>
      <c r="J267" s="303">
        <f t="shared" si="39"/>
        <v>0</v>
      </c>
      <c r="K267" s="462">
        <v>4363</v>
      </c>
      <c r="L267" s="10">
        <f t="shared" si="40"/>
        <v>95160.687801613312</v>
      </c>
      <c r="M267" s="14">
        <f t="shared" si="41"/>
        <v>0</v>
      </c>
      <c r="N267" s="2">
        <f t="shared" si="42"/>
        <v>0</v>
      </c>
      <c r="O267" s="131">
        <f t="shared" si="43"/>
        <v>0</v>
      </c>
      <c r="P267" s="457">
        <f t="shared" si="44"/>
        <v>0</v>
      </c>
      <c r="Q267" s="127"/>
    </row>
    <row r="268" spans="1:17" x14ac:dyDescent="0.25">
      <c r="A268" s="49">
        <f>+'A) Base RI'!A270</f>
        <v>5861</v>
      </c>
      <c r="B268" s="294" t="str">
        <f>+'A) Base RI'!B270</f>
        <v>Rolle</v>
      </c>
      <c r="C268" s="306">
        <f>+'D) Ecrêtage'!C268</f>
        <v>574229.10238061741</v>
      </c>
      <c r="D268" s="458">
        <v>2437372</v>
      </c>
      <c r="E268" s="460">
        <v>791206</v>
      </c>
      <c r="F268" s="458">
        <v>514023</v>
      </c>
      <c r="G268" s="306">
        <f t="shared" si="36"/>
        <v>3742601</v>
      </c>
      <c r="H268" s="286">
        <f t="shared" si="37"/>
        <v>4593832.8190449392</v>
      </c>
      <c r="I268" s="10">
        <f t="shared" si="38"/>
        <v>0</v>
      </c>
      <c r="J268" s="303">
        <f t="shared" si="39"/>
        <v>0</v>
      </c>
      <c r="K268" s="462">
        <v>85459</v>
      </c>
      <c r="L268" s="10">
        <f t="shared" si="40"/>
        <v>574229.10238061741</v>
      </c>
      <c r="M268" s="14">
        <f t="shared" si="41"/>
        <v>0</v>
      </c>
      <c r="N268" s="2">
        <f t="shared" si="42"/>
        <v>0</v>
      </c>
      <c r="O268" s="131">
        <f t="shared" si="43"/>
        <v>0</v>
      </c>
      <c r="P268" s="457">
        <f t="shared" si="44"/>
        <v>0</v>
      </c>
      <c r="Q268" s="127"/>
    </row>
    <row r="269" spans="1:17" x14ac:dyDescent="0.25">
      <c r="A269" s="49">
        <f>+'A) Base RI'!A271</f>
        <v>5862</v>
      </c>
      <c r="B269" s="294" t="str">
        <f>+'A) Base RI'!B271</f>
        <v>Tartegnin</v>
      </c>
      <c r="C269" s="306">
        <f>+'D) Ecrêtage'!C269</f>
        <v>12235.59571867773</v>
      </c>
      <c r="D269" s="458">
        <v>28646</v>
      </c>
      <c r="E269" s="460">
        <v>11389</v>
      </c>
      <c r="F269" s="458">
        <v>20577</v>
      </c>
      <c r="G269" s="306">
        <f t="shared" si="36"/>
        <v>60612</v>
      </c>
      <c r="H269" s="286">
        <f t="shared" si="37"/>
        <v>97884.765749421844</v>
      </c>
      <c r="I269" s="10">
        <f t="shared" si="38"/>
        <v>0</v>
      </c>
      <c r="J269" s="303">
        <f t="shared" si="39"/>
        <v>0</v>
      </c>
      <c r="K269" s="462">
        <v>4429</v>
      </c>
      <c r="L269" s="10">
        <f t="shared" si="40"/>
        <v>12235.59571867773</v>
      </c>
      <c r="M269" s="14">
        <f t="shared" si="41"/>
        <v>0</v>
      </c>
      <c r="N269" s="2">
        <f t="shared" si="42"/>
        <v>0</v>
      </c>
      <c r="O269" s="131">
        <f t="shared" si="43"/>
        <v>0</v>
      </c>
      <c r="P269" s="457">
        <f t="shared" si="44"/>
        <v>0</v>
      </c>
      <c r="Q269" s="127"/>
    </row>
    <row r="270" spans="1:17" x14ac:dyDescent="0.25">
      <c r="A270" s="49">
        <f>+'A) Base RI'!A272</f>
        <v>5863</v>
      </c>
      <c r="B270" s="294" t="str">
        <f>+'A) Base RI'!B272</f>
        <v>Vinzel</v>
      </c>
      <c r="C270" s="306">
        <f>+'D) Ecrêtage'!C270</f>
        <v>22394.635794374353</v>
      </c>
      <c r="D270" s="458">
        <v>15406</v>
      </c>
      <c r="E270" s="460">
        <v>20993</v>
      </c>
      <c r="F270" s="458">
        <v>25985</v>
      </c>
      <c r="G270" s="306">
        <f t="shared" si="36"/>
        <v>62384</v>
      </c>
      <c r="H270" s="286">
        <f t="shared" si="37"/>
        <v>179157.08635499483</v>
      </c>
      <c r="I270" s="10">
        <f t="shared" si="38"/>
        <v>0</v>
      </c>
      <c r="J270" s="303">
        <f t="shared" si="39"/>
        <v>0</v>
      </c>
      <c r="K270" s="462">
        <v>2097</v>
      </c>
      <c r="L270" s="10">
        <f t="shared" si="40"/>
        <v>22394.635794374353</v>
      </c>
      <c r="M270" s="14">
        <f t="shared" si="41"/>
        <v>0</v>
      </c>
      <c r="N270" s="2">
        <f t="shared" si="42"/>
        <v>0</v>
      </c>
      <c r="O270" s="131">
        <f t="shared" si="43"/>
        <v>0</v>
      </c>
      <c r="P270" s="457">
        <f t="shared" si="44"/>
        <v>0</v>
      </c>
      <c r="Q270" s="127"/>
    </row>
    <row r="271" spans="1:17" x14ac:dyDescent="0.25">
      <c r="A271" s="49">
        <f>+'A) Base RI'!A273</f>
        <v>5871</v>
      </c>
      <c r="B271" s="294" t="str">
        <f>+'A) Base RI'!B273</f>
        <v>L'Abbaye</v>
      </c>
      <c r="C271" s="306">
        <f>+'D) Ecrêtage'!C271</f>
        <v>44671.831166364944</v>
      </c>
      <c r="D271" s="458">
        <v>491623</v>
      </c>
      <c r="E271" s="460">
        <v>155704</v>
      </c>
      <c r="F271" s="458">
        <v>205301</v>
      </c>
      <c r="G271" s="306">
        <f t="shared" si="36"/>
        <v>852628</v>
      </c>
      <c r="H271" s="286">
        <f t="shared" si="37"/>
        <v>357374.64933091955</v>
      </c>
      <c r="I271" s="10">
        <f t="shared" si="38"/>
        <v>495253.35066908045</v>
      </c>
      <c r="J271" s="303">
        <f t="shared" si="39"/>
        <v>-361303.55841917865</v>
      </c>
      <c r="K271" s="462">
        <v>72037</v>
      </c>
      <c r="L271" s="10">
        <f t="shared" si="40"/>
        <v>44671.831166364944</v>
      </c>
      <c r="M271" s="14">
        <f t="shared" si="41"/>
        <v>27365.168833635056</v>
      </c>
      <c r="N271" s="2">
        <f t="shared" si="42"/>
        <v>-19963.787954138159</v>
      </c>
      <c r="O271" s="131">
        <f t="shared" si="43"/>
        <v>-381267.34637331683</v>
      </c>
      <c r="P271" s="457">
        <f t="shared" si="44"/>
        <v>-8.5348492868675372</v>
      </c>
      <c r="Q271" s="127"/>
    </row>
    <row r="272" spans="1:17" x14ac:dyDescent="0.25">
      <c r="A272" s="49">
        <f>+'A) Base RI'!A274</f>
        <v>5872</v>
      </c>
      <c r="B272" s="294" t="str">
        <f>+'A) Base RI'!B274</f>
        <v>Le Chenit</v>
      </c>
      <c r="C272" s="306">
        <f>+'D) Ecrêtage'!C272</f>
        <v>169487.47890245376</v>
      </c>
      <c r="D272" s="458">
        <v>2674444</v>
      </c>
      <c r="E272" s="460">
        <v>481505</v>
      </c>
      <c r="F272" s="458">
        <v>672810</v>
      </c>
      <c r="G272" s="306">
        <f t="shared" si="36"/>
        <v>3828759</v>
      </c>
      <c r="H272" s="286">
        <f t="shared" si="37"/>
        <v>1355899.8312196301</v>
      </c>
      <c r="I272" s="10">
        <f t="shared" si="38"/>
        <v>2472859.1687803697</v>
      </c>
      <c r="J272" s="303">
        <f t="shared" si="39"/>
        <v>-1804031.847422733</v>
      </c>
      <c r="K272" s="462">
        <v>177122</v>
      </c>
      <c r="L272" s="10">
        <f t="shared" si="40"/>
        <v>169487.47890245376</v>
      </c>
      <c r="M272" s="14">
        <f t="shared" si="41"/>
        <v>7634.5210975462396</v>
      </c>
      <c r="N272" s="2">
        <f t="shared" si="42"/>
        <v>-5569.6334727331305</v>
      </c>
      <c r="O272" s="131">
        <f t="shared" si="43"/>
        <v>-1809601.4808954662</v>
      </c>
      <c r="P272" s="457">
        <f t="shared" si="44"/>
        <v>-10.676903642757928</v>
      </c>
      <c r="Q272" s="127"/>
    </row>
    <row r="273" spans="1:17" x14ac:dyDescent="0.25">
      <c r="A273" s="49">
        <f>+'A) Base RI'!A275</f>
        <v>5873</v>
      </c>
      <c r="B273" s="294" t="str">
        <f>+'A) Base RI'!B275</f>
        <v>Le Lieu</v>
      </c>
      <c r="C273" s="306">
        <f>+'D) Ecrêtage'!C273</f>
        <v>29965.351280448966</v>
      </c>
      <c r="D273" s="458">
        <v>916973</v>
      </c>
      <c r="E273" s="460">
        <v>89580</v>
      </c>
      <c r="F273" s="458">
        <v>115653</v>
      </c>
      <c r="G273" s="306">
        <f t="shared" si="36"/>
        <v>1122206</v>
      </c>
      <c r="H273" s="286">
        <f t="shared" si="37"/>
        <v>239722.81024359172</v>
      </c>
      <c r="I273" s="10">
        <f t="shared" si="38"/>
        <v>882483.18975640833</v>
      </c>
      <c r="J273" s="303">
        <f t="shared" si="39"/>
        <v>-643800.42310333345</v>
      </c>
      <c r="K273" s="462">
        <v>210593</v>
      </c>
      <c r="L273" s="10">
        <f t="shared" si="40"/>
        <v>29965.351280448966</v>
      </c>
      <c r="M273" s="14">
        <f t="shared" si="41"/>
        <v>180627.64871955104</v>
      </c>
      <c r="N273" s="2">
        <f t="shared" si="42"/>
        <v>-131773.79242986627</v>
      </c>
      <c r="O273" s="131">
        <f t="shared" si="43"/>
        <v>-775574.21553319972</v>
      </c>
      <c r="P273" s="457">
        <f t="shared" si="44"/>
        <v>-25.882366880151569</v>
      </c>
      <c r="Q273" s="127"/>
    </row>
    <row r="274" spans="1:17" x14ac:dyDescent="0.25">
      <c r="A274" s="49">
        <f>+'A) Base RI'!A276</f>
        <v>5881</v>
      </c>
      <c r="B274" s="294" t="str">
        <f>+'A) Base RI'!B276</f>
        <v>Blonay</v>
      </c>
      <c r="C274" s="306">
        <f>+'D) Ecrêtage'!C274</f>
        <v>329876.03226063965</v>
      </c>
      <c r="D274" s="458">
        <v>2085167</v>
      </c>
      <c r="E274" s="460">
        <v>983593</v>
      </c>
      <c r="F274" s="458">
        <v>461190</v>
      </c>
      <c r="G274" s="306">
        <f t="shared" si="36"/>
        <v>3529950</v>
      </c>
      <c r="H274" s="286">
        <f t="shared" si="37"/>
        <v>2639008.2580851172</v>
      </c>
      <c r="I274" s="10">
        <f t="shared" si="38"/>
        <v>890941.74191488279</v>
      </c>
      <c r="J274" s="303">
        <f t="shared" si="39"/>
        <v>-649971.21425457415</v>
      </c>
      <c r="K274" s="462">
        <v>316879</v>
      </c>
      <c r="L274" s="10">
        <f t="shared" si="40"/>
        <v>329876.03226063965</v>
      </c>
      <c r="M274" s="14">
        <f t="shared" si="41"/>
        <v>0</v>
      </c>
      <c r="N274" s="2">
        <f t="shared" si="42"/>
        <v>0</v>
      </c>
      <c r="O274" s="131">
        <f t="shared" si="43"/>
        <v>-649971.21425457415</v>
      </c>
      <c r="P274" s="457">
        <f t="shared" si="44"/>
        <v>-1.9703499214548053</v>
      </c>
      <c r="Q274" s="127"/>
    </row>
    <row r="275" spans="1:17" x14ac:dyDescent="0.25">
      <c r="A275" s="49">
        <f>+'A) Base RI'!A277</f>
        <v>5882</v>
      </c>
      <c r="B275" s="294" t="str">
        <f>+'A) Base RI'!B277</f>
        <v>Chardonne</v>
      </c>
      <c r="C275" s="306">
        <f>+'D) Ecrêtage'!C275</f>
        <v>160866.12406088383</v>
      </c>
      <c r="D275" s="458">
        <v>1414315</v>
      </c>
      <c r="E275" s="460">
        <v>248133</v>
      </c>
      <c r="F275" s="458">
        <v>159654</v>
      </c>
      <c r="G275" s="306">
        <f t="shared" si="36"/>
        <v>1822102</v>
      </c>
      <c r="H275" s="286">
        <f t="shared" si="37"/>
        <v>1286928.9924870706</v>
      </c>
      <c r="I275" s="10">
        <f t="shared" si="38"/>
        <v>535173.00751292938</v>
      </c>
      <c r="J275" s="303">
        <f t="shared" si="39"/>
        <v>-390426.25703205972</v>
      </c>
      <c r="K275" s="462">
        <v>6316</v>
      </c>
      <c r="L275" s="10">
        <f t="shared" si="40"/>
        <v>160866.12406088383</v>
      </c>
      <c r="M275" s="14">
        <f t="shared" si="41"/>
        <v>0</v>
      </c>
      <c r="N275" s="2">
        <f t="shared" si="42"/>
        <v>0</v>
      </c>
      <c r="O275" s="131">
        <f t="shared" si="43"/>
        <v>-390426.25703205972</v>
      </c>
      <c r="P275" s="457">
        <f t="shared" si="44"/>
        <v>-2.4270259466455042</v>
      </c>
      <c r="Q275" s="127"/>
    </row>
    <row r="276" spans="1:17" x14ac:dyDescent="0.25">
      <c r="A276" s="49">
        <f>+'A) Base RI'!A278</f>
        <v>5883</v>
      </c>
      <c r="B276" s="294" t="str">
        <f>+'A) Base RI'!B278</f>
        <v>Corseaux</v>
      </c>
      <c r="C276" s="306">
        <f>+'D) Ecrêtage'!C276</f>
        <v>155219.69320868849</v>
      </c>
      <c r="D276" s="458">
        <v>459495</v>
      </c>
      <c r="E276" s="460">
        <v>533875</v>
      </c>
      <c r="F276" s="458">
        <v>115669</v>
      </c>
      <c r="G276" s="306">
        <f t="shared" si="36"/>
        <v>1109039</v>
      </c>
      <c r="H276" s="286">
        <f t="shared" si="37"/>
        <v>1241757.5456695079</v>
      </c>
      <c r="I276" s="10">
        <f t="shared" si="38"/>
        <v>0</v>
      </c>
      <c r="J276" s="303">
        <f t="shared" si="39"/>
        <v>0</v>
      </c>
      <c r="K276" s="462">
        <v>202</v>
      </c>
      <c r="L276" s="10">
        <f t="shared" si="40"/>
        <v>155219.69320868849</v>
      </c>
      <c r="M276" s="14">
        <f t="shared" si="41"/>
        <v>0</v>
      </c>
      <c r="N276" s="2">
        <f t="shared" si="42"/>
        <v>0</v>
      </c>
      <c r="O276" s="131">
        <f t="shared" si="43"/>
        <v>0</v>
      </c>
      <c r="P276" s="457">
        <f t="shared" si="44"/>
        <v>0</v>
      </c>
      <c r="Q276" s="127"/>
    </row>
    <row r="277" spans="1:17" x14ac:dyDescent="0.25">
      <c r="A277" s="49">
        <f>+'A) Base RI'!A279</f>
        <v>5884</v>
      </c>
      <c r="B277" s="294" t="str">
        <f>+'A) Base RI'!B279</f>
        <v>Corsier-sur-Vevey</v>
      </c>
      <c r="C277" s="306">
        <f>+'D) Ecrêtage'!C277</f>
        <v>113730.49763913798</v>
      </c>
      <c r="D277" s="458">
        <v>1535776</v>
      </c>
      <c r="E277" s="460">
        <v>997939</v>
      </c>
      <c r="F277" s="458">
        <v>202388</v>
      </c>
      <c r="G277" s="306">
        <f t="shared" si="36"/>
        <v>2736103</v>
      </c>
      <c r="H277" s="286">
        <f t="shared" si="37"/>
        <v>909843.9811131038</v>
      </c>
      <c r="I277" s="10">
        <f t="shared" si="38"/>
        <v>1826259.0188868963</v>
      </c>
      <c r="J277" s="303">
        <f t="shared" si="39"/>
        <v>-1332315.8363846042</v>
      </c>
      <c r="K277" s="462">
        <v>-7484</v>
      </c>
      <c r="L277" s="10">
        <f t="shared" si="40"/>
        <v>113730.49763913798</v>
      </c>
      <c r="M277" s="14">
        <f t="shared" si="41"/>
        <v>0</v>
      </c>
      <c r="N277" s="2">
        <f t="shared" si="42"/>
        <v>0</v>
      </c>
      <c r="O277" s="131">
        <f t="shared" si="43"/>
        <v>-1332315.8363846042</v>
      </c>
      <c r="P277" s="457">
        <f t="shared" si="44"/>
        <v>-11.714675166655699</v>
      </c>
      <c r="Q277" s="127"/>
    </row>
    <row r="278" spans="1:17" x14ac:dyDescent="0.25">
      <c r="A278" s="49">
        <f>+'A) Base RI'!A280</f>
        <v>5885</v>
      </c>
      <c r="B278" s="294" t="str">
        <f>+'A) Base RI'!B280</f>
        <v>Jongny</v>
      </c>
      <c r="C278" s="306">
        <f>+'D) Ecrêtage'!C278</f>
        <v>83488.016188395792</v>
      </c>
      <c r="D278" s="458">
        <v>485979</v>
      </c>
      <c r="E278" s="460">
        <v>111036</v>
      </c>
      <c r="F278" s="458">
        <v>96345</v>
      </c>
      <c r="G278" s="306">
        <f t="shared" si="36"/>
        <v>693360</v>
      </c>
      <c r="H278" s="286">
        <f t="shared" si="37"/>
        <v>667904.12950716633</v>
      </c>
      <c r="I278" s="10">
        <f t="shared" si="38"/>
        <v>25455.870492833667</v>
      </c>
      <c r="J278" s="303">
        <f t="shared" si="39"/>
        <v>-18570.8922095997</v>
      </c>
      <c r="K278" s="462">
        <v>6459</v>
      </c>
      <c r="L278" s="10">
        <f t="shared" si="40"/>
        <v>83488.016188395792</v>
      </c>
      <c r="M278" s="14">
        <f t="shared" si="41"/>
        <v>0</v>
      </c>
      <c r="N278" s="2">
        <f t="shared" si="42"/>
        <v>0</v>
      </c>
      <c r="O278" s="131">
        <f t="shared" si="43"/>
        <v>-18570.8922095997</v>
      </c>
      <c r="P278" s="457">
        <f t="shared" si="44"/>
        <v>-0.22243781871272819</v>
      </c>
      <c r="Q278" s="127"/>
    </row>
    <row r="279" spans="1:17" x14ac:dyDescent="0.25">
      <c r="A279" s="49">
        <f>+'A) Base RI'!A281</f>
        <v>5886</v>
      </c>
      <c r="B279" s="294" t="str">
        <f>+'A) Base RI'!B281</f>
        <v>Montreux</v>
      </c>
      <c r="C279" s="306">
        <f>+'D) Ecrêtage'!C279</f>
        <v>1097840.7322767281</v>
      </c>
      <c r="D279" s="458">
        <v>10664981</v>
      </c>
      <c r="E279" s="460">
        <v>6497526</v>
      </c>
      <c r="F279" s="458">
        <v>265515</v>
      </c>
      <c r="G279" s="306">
        <f t="shared" si="36"/>
        <v>17428022</v>
      </c>
      <c r="H279" s="286">
        <f t="shared" si="37"/>
        <v>8782725.8582138252</v>
      </c>
      <c r="I279" s="10">
        <f t="shared" si="38"/>
        <v>8645296.1417861748</v>
      </c>
      <c r="J279" s="303">
        <f t="shared" si="39"/>
        <v>-6307027.0103070121</v>
      </c>
      <c r="K279" s="462">
        <v>1836529</v>
      </c>
      <c r="L279" s="10">
        <f t="shared" si="40"/>
        <v>1097840.7322767281</v>
      </c>
      <c r="M279" s="14">
        <f t="shared" si="41"/>
        <v>738688.26772327186</v>
      </c>
      <c r="N279" s="2">
        <f t="shared" si="42"/>
        <v>-538897.31251762633</v>
      </c>
      <c r="O279" s="131">
        <f t="shared" si="43"/>
        <v>-6845924.3228246383</v>
      </c>
      <c r="P279" s="457">
        <f t="shared" si="44"/>
        <v>-6.2358082748737136</v>
      </c>
      <c r="Q279" s="127"/>
    </row>
    <row r="280" spans="1:17" x14ac:dyDescent="0.25">
      <c r="A280" s="49">
        <f>+'A) Base RI'!A282</f>
        <v>5888</v>
      </c>
      <c r="B280" s="294" t="str">
        <f>+'A) Base RI'!B282</f>
        <v>Saint-Légier-La Chiésaz</v>
      </c>
      <c r="C280" s="306">
        <f>+'D) Ecrêtage'!C280</f>
        <v>314313.56949265295</v>
      </c>
      <c r="D280" s="458">
        <v>1560223</v>
      </c>
      <c r="E280" s="460">
        <v>880467</v>
      </c>
      <c r="F280" s="458">
        <v>350193</v>
      </c>
      <c r="G280" s="306">
        <f t="shared" si="36"/>
        <v>2790883</v>
      </c>
      <c r="H280" s="286">
        <f t="shared" si="37"/>
        <v>2514508.5559412236</v>
      </c>
      <c r="I280" s="10">
        <f t="shared" si="38"/>
        <v>276374.44405877637</v>
      </c>
      <c r="J280" s="303">
        <f t="shared" si="39"/>
        <v>-201624.21911866986</v>
      </c>
      <c r="K280" s="462">
        <v>819757</v>
      </c>
      <c r="L280" s="10">
        <f t="shared" si="40"/>
        <v>314313.56949265295</v>
      </c>
      <c r="M280" s="14">
        <f t="shared" si="41"/>
        <v>505443.43050734705</v>
      </c>
      <c r="N280" s="2">
        <f t="shared" si="42"/>
        <v>-368737.55578874174</v>
      </c>
      <c r="O280" s="131">
        <f t="shared" si="43"/>
        <v>-570361.77490741154</v>
      </c>
      <c r="P280" s="457">
        <f t="shared" si="44"/>
        <v>-1.8146266348858466</v>
      </c>
      <c r="Q280" s="127"/>
    </row>
    <row r="281" spans="1:17" x14ac:dyDescent="0.25">
      <c r="A281" s="49">
        <f>+'A) Base RI'!A283</f>
        <v>5889</v>
      </c>
      <c r="B281" s="294" t="str">
        <f>+'A) Base RI'!B283</f>
        <v>La Tour-de-Peilz</v>
      </c>
      <c r="C281" s="306">
        <f>+'D) Ecrêtage'!C281</f>
        <v>638439.35310298624</v>
      </c>
      <c r="D281" s="458">
        <v>2199924</v>
      </c>
      <c r="E281" s="460">
        <v>2726217</v>
      </c>
      <c r="F281" s="458">
        <v>0</v>
      </c>
      <c r="G281" s="306">
        <f t="shared" si="36"/>
        <v>4926141</v>
      </c>
      <c r="H281" s="286">
        <f t="shared" si="37"/>
        <v>5107514.8248238899</v>
      </c>
      <c r="I281" s="10">
        <f t="shared" si="38"/>
        <v>0</v>
      </c>
      <c r="J281" s="303">
        <f t="shared" si="39"/>
        <v>0</v>
      </c>
      <c r="K281" s="462">
        <v>24230</v>
      </c>
      <c r="L281" s="10">
        <f t="shared" si="40"/>
        <v>638439.35310298624</v>
      </c>
      <c r="M281" s="14">
        <f t="shared" si="41"/>
        <v>0</v>
      </c>
      <c r="N281" s="2">
        <f t="shared" si="42"/>
        <v>0</v>
      </c>
      <c r="O281" s="131">
        <f t="shared" si="43"/>
        <v>0</v>
      </c>
      <c r="P281" s="457">
        <f t="shared" si="44"/>
        <v>0</v>
      </c>
      <c r="Q281" s="127"/>
    </row>
    <row r="282" spans="1:17" x14ac:dyDescent="0.25">
      <c r="A282" s="49">
        <f>+'A) Base RI'!A284</f>
        <v>5890</v>
      </c>
      <c r="B282" s="294" t="str">
        <f>+'A) Base RI'!B284</f>
        <v>Vevey</v>
      </c>
      <c r="C282" s="306">
        <f>+'D) Ecrêtage'!C282</f>
        <v>913497.60631978849</v>
      </c>
      <c r="D282" s="458">
        <v>6721552</v>
      </c>
      <c r="E282" s="460">
        <v>4834797</v>
      </c>
      <c r="F282" s="458">
        <v>133399</v>
      </c>
      <c r="G282" s="306">
        <f t="shared" si="36"/>
        <v>11689748</v>
      </c>
      <c r="H282" s="286">
        <f t="shared" si="37"/>
        <v>7307980.850558308</v>
      </c>
      <c r="I282" s="10">
        <f t="shared" si="38"/>
        <v>4381767.149441692</v>
      </c>
      <c r="J282" s="303">
        <f t="shared" si="39"/>
        <v>-3196642.8114393027</v>
      </c>
      <c r="K282" s="462">
        <v>100000</v>
      </c>
      <c r="L282" s="10">
        <f t="shared" si="40"/>
        <v>913497.60631978849</v>
      </c>
      <c r="M282" s="14">
        <f t="shared" si="41"/>
        <v>0</v>
      </c>
      <c r="N282" s="2">
        <f t="shared" si="42"/>
        <v>0</v>
      </c>
      <c r="O282" s="131">
        <f t="shared" si="43"/>
        <v>-3196642.8114393027</v>
      </c>
      <c r="P282" s="457">
        <f t="shared" si="44"/>
        <v>-3.4993444857700617</v>
      </c>
      <c r="Q282" s="127"/>
    </row>
    <row r="283" spans="1:17" x14ac:dyDescent="0.25">
      <c r="A283" s="49">
        <f>+'A) Base RI'!A285</f>
        <v>5891</v>
      </c>
      <c r="B283" s="294" t="str">
        <f>+'A) Base RI'!B285</f>
        <v>Veytaux</v>
      </c>
      <c r="C283" s="306">
        <f>+'D) Ecrêtage'!C283</f>
        <v>36119.381724012419</v>
      </c>
      <c r="D283" s="458">
        <v>259102</v>
      </c>
      <c r="E283" s="460">
        <v>278906</v>
      </c>
      <c r="F283" s="458">
        <v>30000</v>
      </c>
      <c r="G283" s="306">
        <f t="shared" si="36"/>
        <v>568008</v>
      </c>
      <c r="H283" s="286">
        <f t="shared" si="37"/>
        <v>288955.05379209935</v>
      </c>
      <c r="I283" s="10">
        <f t="shared" si="38"/>
        <v>279052.94620790065</v>
      </c>
      <c r="J283" s="303">
        <f t="shared" si="39"/>
        <v>-203578.27426318248</v>
      </c>
      <c r="K283" s="462">
        <v>424946</v>
      </c>
      <c r="L283" s="10">
        <f t="shared" si="40"/>
        <v>36119.381724012419</v>
      </c>
      <c r="M283" s="14">
        <f t="shared" si="41"/>
        <v>388826.61827598757</v>
      </c>
      <c r="N283" s="2">
        <f t="shared" si="42"/>
        <v>-283661.76745986153</v>
      </c>
      <c r="O283" s="131">
        <f t="shared" si="43"/>
        <v>-487240.04172304401</v>
      </c>
      <c r="P283" s="457">
        <f t="shared" si="44"/>
        <v>-13.489711574966506</v>
      </c>
      <c r="Q283" s="127"/>
    </row>
    <row r="284" spans="1:17" x14ac:dyDescent="0.25">
      <c r="A284" s="49">
        <f>+'A) Base RI'!A286</f>
        <v>5902</v>
      </c>
      <c r="B284" s="294" t="str">
        <f>+'A) Base RI'!B286</f>
        <v>Belmont-sur-Yverdon</v>
      </c>
      <c r="C284" s="306">
        <f>+'D) Ecrêtage'!C284</f>
        <v>10311.765900330549</v>
      </c>
      <c r="D284" s="458">
        <v>11444</v>
      </c>
      <c r="E284" s="460">
        <v>15586</v>
      </c>
      <c r="F284" s="458">
        <v>43215</v>
      </c>
      <c r="G284" s="306">
        <f t="shared" si="36"/>
        <v>70245</v>
      </c>
      <c r="H284" s="286">
        <f t="shared" si="37"/>
        <v>82494.127202644391</v>
      </c>
      <c r="I284" s="10">
        <f t="shared" si="38"/>
        <v>0</v>
      </c>
      <c r="J284" s="303">
        <f t="shared" si="39"/>
        <v>0</v>
      </c>
      <c r="K284" s="462">
        <v>20399</v>
      </c>
      <c r="L284" s="10">
        <f t="shared" si="40"/>
        <v>10311.765900330549</v>
      </c>
      <c r="M284" s="14">
        <f t="shared" si="41"/>
        <v>10087.234099669451</v>
      </c>
      <c r="N284" s="2">
        <f t="shared" si="42"/>
        <v>-7358.9680309968835</v>
      </c>
      <c r="O284" s="131">
        <f t="shared" si="43"/>
        <v>-7358.9680309968835</v>
      </c>
      <c r="P284" s="457">
        <f t="shared" si="44"/>
        <v>-0.71364770128858224</v>
      </c>
      <c r="Q284" s="127"/>
    </row>
    <row r="285" spans="1:17" x14ac:dyDescent="0.25">
      <c r="A285" s="49">
        <f>+'A) Base RI'!A287</f>
        <v>5903</v>
      </c>
      <c r="B285" s="294" t="str">
        <f>+'A) Base RI'!B287</f>
        <v>Bioley-Magnoux</v>
      </c>
      <c r="C285" s="306">
        <f>+'D) Ecrêtage'!C285</f>
        <v>5438.478399120967</v>
      </c>
      <c r="D285" s="458">
        <v>313363</v>
      </c>
      <c r="E285" s="460">
        <v>9278</v>
      </c>
      <c r="F285" s="458">
        <v>20809</v>
      </c>
      <c r="G285" s="306">
        <f t="shared" si="36"/>
        <v>343450</v>
      </c>
      <c r="H285" s="286">
        <f t="shared" si="37"/>
        <v>43507.827192967736</v>
      </c>
      <c r="I285" s="10">
        <f t="shared" si="38"/>
        <v>299942.17280703224</v>
      </c>
      <c r="J285" s="303">
        <f t="shared" si="39"/>
        <v>-218817.65001439027</v>
      </c>
      <c r="K285" s="462">
        <v>20059</v>
      </c>
      <c r="L285" s="10">
        <f t="shared" si="40"/>
        <v>5438.478399120967</v>
      </c>
      <c r="M285" s="14">
        <f t="shared" si="41"/>
        <v>14620.521600879034</v>
      </c>
      <c r="N285" s="2">
        <f t="shared" si="42"/>
        <v>-10666.149907326318</v>
      </c>
      <c r="O285" s="131">
        <f t="shared" si="43"/>
        <v>-229483.79992171659</v>
      </c>
      <c r="P285" s="457">
        <f t="shared" si="44"/>
        <v>-42.196324611459069</v>
      </c>
      <c r="Q285" s="127"/>
    </row>
    <row r="286" spans="1:17" x14ac:dyDescent="0.25">
      <c r="A286" s="49">
        <f>+'A) Base RI'!A288</f>
        <v>5904</v>
      </c>
      <c r="B286" s="294" t="str">
        <f>+'A) Base RI'!B288</f>
        <v>Chamblon</v>
      </c>
      <c r="C286" s="306">
        <f>+'D) Ecrêtage'!C286</f>
        <v>19974.80164727481</v>
      </c>
      <c r="D286" s="458">
        <v>56309</v>
      </c>
      <c r="E286" s="460">
        <v>22019</v>
      </c>
      <c r="F286" s="458">
        <v>19069</v>
      </c>
      <c r="G286" s="306">
        <f t="shared" si="36"/>
        <v>97397</v>
      </c>
      <c r="H286" s="286">
        <f t="shared" si="37"/>
        <v>159798.41317819848</v>
      </c>
      <c r="I286" s="10">
        <f t="shared" si="38"/>
        <v>0</v>
      </c>
      <c r="J286" s="303">
        <f t="shared" si="39"/>
        <v>0</v>
      </c>
      <c r="K286" s="462">
        <v>5652</v>
      </c>
      <c r="L286" s="10">
        <f t="shared" si="40"/>
        <v>19974.80164727481</v>
      </c>
      <c r="M286" s="14">
        <f t="shared" si="41"/>
        <v>0</v>
      </c>
      <c r="N286" s="2">
        <f t="shared" si="42"/>
        <v>0</v>
      </c>
      <c r="O286" s="131">
        <f t="shared" si="43"/>
        <v>0</v>
      </c>
      <c r="P286" s="457">
        <f t="shared" si="44"/>
        <v>0</v>
      </c>
      <c r="Q286" s="127"/>
    </row>
    <row r="287" spans="1:17" x14ac:dyDescent="0.25">
      <c r="A287" s="49">
        <f>+'A) Base RI'!A289</f>
        <v>5905</v>
      </c>
      <c r="B287" s="294" t="str">
        <f>+'A) Base RI'!B289</f>
        <v>Champvent</v>
      </c>
      <c r="C287" s="306">
        <f>+'D) Ecrêtage'!C287</f>
        <v>22958.275896270283</v>
      </c>
      <c r="D287" s="458">
        <v>107973</v>
      </c>
      <c r="E287" s="460">
        <v>68963</v>
      </c>
      <c r="F287" s="458">
        <v>36207</v>
      </c>
      <c r="G287" s="306">
        <f t="shared" si="36"/>
        <v>213143</v>
      </c>
      <c r="H287" s="286">
        <f t="shared" si="37"/>
        <v>183666.20717016226</v>
      </c>
      <c r="I287" s="10">
        <f t="shared" si="38"/>
        <v>29476.792829837737</v>
      </c>
      <c r="J287" s="303">
        <f t="shared" si="39"/>
        <v>-21504.286898447444</v>
      </c>
      <c r="K287" s="462">
        <v>34112</v>
      </c>
      <c r="L287" s="10">
        <f t="shared" si="40"/>
        <v>22958.275896270283</v>
      </c>
      <c r="M287" s="14">
        <f t="shared" si="41"/>
        <v>11153.724103729717</v>
      </c>
      <c r="N287" s="2">
        <f t="shared" si="42"/>
        <v>-8137.0074586249602</v>
      </c>
      <c r="O287" s="131">
        <f t="shared" si="43"/>
        <v>-29641.294357072406</v>
      </c>
      <c r="P287" s="457">
        <f t="shared" si="44"/>
        <v>-1.2910940913419295</v>
      </c>
      <c r="Q287" s="127"/>
    </row>
    <row r="288" spans="1:17" x14ac:dyDescent="0.25">
      <c r="A288" s="49">
        <f>+'A) Base RI'!A290</f>
        <v>5907</v>
      </c>
      <c r="B288" s="294" t="str">
        <f>+'A) Base RI'!B290</f>
        <v>Chavannes-le-Chêne</v>
      </c>
      <c r="C288" s="306">
        <f>+'D) Ecrêtage'!C288</f>
        <v>8069.3635983781451</v>
      </c>
      <c r="D288" s="458">
        <v>110198</v>
      </c>
      <c r="E288" s="460">
        <v>12288</v>
      </c>
      <c r="F288" s="458">
        <v>25593</v>
      </c>
      <c r="G288" s="306">
        <f t="shared" si="36"/>
        <v>148079</v>
      </c>
      <c r="H288" s="286">
        <f t="shared" si="37"/>
        <v>64554.908787025161</v>
      </c>
      <c r="I288" s="10">
        <f t="shared" si="38"/>
        <v>83524.091212974832</v>
      </c>
      <c r="J288" s="303">
        <f t="shared" si="39"/>
        <v>-60933.563252437161</v>
      </c>
      <c r="K288" s="462">
        <v>7142</v>
      </c>
      <c r="L288" s="10">
        <f t="shared" si="40"/>
        <v>8069.3635983781451</v>
      </c>
      <c r="M288" s="14">
        <f t="shared" si="41"/>
        <v>0</v>
      </c>
      <c r="N288" s="2">
        <f t="shared" si="42"/>
        <v>0</v>
      </c>
      <c r="O288" s="131">
        <f t="shared" si="43"/>
        <v>-60933.563252437161</v>
      </c>
      <c r="P288" s="457">
        <f t="shared" si="44"/>
        <v>-7.5512229074278112</v>
      </c>
      <c r="Q288" s="127"/>
    </row>
    <row r="289" spans="1:17" x14ac:dyDescent="0.25">
      <c r="A289" s="49">
        <f>+'A) Base RI'!A291</f>
        <v>5908</v>
      </c>
      <c r="B289" s="294" t="str">
        <f>+'A) Base RI'!B291</f>
        <v>Chêne-Pâquier</v>
      </c>
      <c r="C289" s="306">
        <f>+'D) Ecrêtage'!C289</f>
        <v>3150.4766446398044</v>
      </c>
      <c r="D289" s="458">
        <v>15662</v>
      </c>
      <c r="E289" s="460">
        <v>5731</v>
      </c>
      <c r="F289" s="458">
        <v>10481</v>
      </c>
      <c r="G289" s="306">
        <f t="shared" si="36"/>
        <v>31874</v>
      </c>
      <c r="H289" s="286">
        <f t="shared" si="37"/>
        <v>25203.813157118435</v>
      </c>
      <c r="I289" s="10">
        <f t="shared" si="38"/>
        <v>6670.1868428815651</v>
      </c>
      <c r="J289" s="303">
        <f t="shared" si="39"/>
        <v>-4866.1200139243283</v>
      </c>
      <c r="K289" s="462">
        <v>13749</v>
      </c>
      <c r="L289" s="10">
        <f t="shared" si="40"/>
        <v>3150.4766446398044</v>
      </c>
      <c r="M289" s="14">
        <f t="shared" si="41"/>
        <v>10598.523355360196</v>
      </c>
      <c r="N289" s="2">
        <f t="shared" si="42"/>
        <v>-7731.9703079385554</v>
      </c>
      <c r="O289" s="131">
        <f t="shared" si="43"/>
        <v>-12598.090321862885</v>
      </c>
      <c r="P289" s="457">
        <f t="shared" si="44"/>
        <v>-3.9987886732305014</v>
      </c>
      <c r="Q289" s="127"/>
    </row>
    <row r="290" spans="1:17" x14ac:dyDescent="0.25">
      <c r="A290" s="49">
        <f>+'A) Base RI'!A292</f>
        <v>5909</v>
      </c>
      <c r="B290" s="294" t="str">
        <f>+'A) Base RI'!B292</f>
        <v>Cheseaux-Noréaz</v>
      </c>
      <c r="C290" s="306">
        <f>+'D) Ecrêtage'!C290</f>
        <v>32363.863960310864</v>
      </c>
      <c r="D290" s="458">
        <v>198147</v>
      </c>
      <c r="E290" s="460">
        <v>130100</v>
      </c>
      <c r="F290" s="458">
        <v>34310</v>
      </c>
      <c r="G290" s="306">
        <f t="shared" si="36"/>
        <v>362557</v>
      </c>
      <c r="H290" s="286">
        <f t="shared" si="37"/>
        <v>258910.91168248691</v>
      </c>
      <c r="I290" s="10">
        <f t="shared" si="38"/>
        <v>103646.08831751309</v>
      </c>
      <c r="J290" s="303">
        <f t="shared" si="39"/>
        <v>-75613.219930273277</v>
      </c>
      <c r="K290" s="462">
        <v>8148</v>
      </c>
      <c r="L290" s="10">
        <f t="shared" si="40"/>
        <v>32363.863960310864</v>
      </c>
      <c r="M290" s="14">
        <f t="shared" si="41"/>
        <v>0</v>
      </c>
      <c r="N290" s="2">
        <f t="shared" si="42"/>
        <v>0</v>
      </c>
      <c r="O290" s="131">
        <f t="shared" si="43"/>
        <v>-75613.219930273277</v>
      </c>
      <c r="P290" s="457">
        <f t="shared" si="44"/>
        <v>-2.3363471068535229</v>
      </c>
      <c r="Q290" s="127"/>
    </row>
    <row r="291" spans="1:17" x14ac:dyDescent="0.25">
      <c r="A291" s="49">
        <f>+'A) Base RI'!A293</f>
        <v>5910</v>
      </c>
      <c r="B291" s="294" t="str">
        <f>+'A) Base RI'!B293</f>
        <v>Cronay</v>
      </c>
      <c r="C291" s="306">
        <f>+'D) Ecrêtage'!C291</f>
        <v>9609.1535349412279</v>
      </c>
      <c r="D291" s="458">
        <v>82301</v>
      </c>
      <c r="E291" s="460">
        <v>23503</v>
      </c>
      <c r="F291" s="458">
        <v>31777</v>
      </c>
      <c r="G291" s="306">
        <f t="shared" si="36"/>
        <v>137581</v>
      </c>
      <c r="H291" s="286">
        <f t="shared" si="37"/>
        <v>76873.228279529823</v>
      </c>
      <c r="I291" s="10">
        <f t="shared" si="38"/>
        <v>60707.771720470177</v>
      </c>
      <c r="J291" s="303">
        <f t="shared" si="39"/>
        <v>-44288.310047115512</v>
      </c>
      <c r="K291" s="462">
        <v>71309</v>
      </c>
      <c r="L291" s="10">
        <f t="shared" si="40"/>
        <v>9609.1535349412279</v>
      </c>
      <c r="M291" s="14">
        <f t="shared" si="41"/>
        <v>61699.84646505877</v>
      </c>
      <c r="N291" s="2">
        <f t="shared" si="42"/>
        <v>-45012.061102920401</v>
      </c>
      <c r="O291" s="131">
        <f t="shared" si="43"/>
        <v>-89300.371150035906</v>
      </c>
      <c r="P291" s="457">
        <f t="shared" si="44"/>
        <v>-9.293260933475354</v>
      </c>
      <c r="Q291" s="127"/>
    </row>
    <row r="292" spans="1:17" x14ac:dyDescent="0.25">
      <c r="A292" s="49">
        <f>+'A) Base RI'!A294</f>
        <v>5911</v>
      </c>
      <c r="B292" s="294" t="str">
        <f>+'A) Base RI'!B294</f>
        <v>Cuarny</v>
      </c>
      <c r="C292" s="306">
        <f>+'D) Ecrêtage'!C292</f>
        <v>6836.3467697278311</v>
      </c>
      <c r="D292" s="458">
        <v>168316</v>
      </c>
      <c r="E292" s="460">
        <v>9937</v>
      </c>
      <c r="F292" s="458">
        <v>16976</v>
      </c>
      <c r="G292" s="306">
        <f t="shared" si="36"/>
        <v>195229</v>
      </c>
      <c r="H292" s="286">
        <f t="shared" si="37"/>
        <v>54690.774157822649</v>
      </c>
      <c r="I292" s="10">
        <f t="shared" si="38"/>
        <v>140538.22584217734</v>
      </c>
      <c r="J292" s="303">
        <f t="shared" si="39"/>
        <v>-102527.24392898679</v>
      </c>
      <c r="K292" s="462">
        <v>14640</v>
      </c>
      <c r="L292" s="10">
        <f t="shared" si="40"/>
        <v>6836.3467697278311</v>
      </c>
      <c r="M292" s="14">
        <f t="shared" si="41"/>
        <v>7803.6532302721689</v>
      </c>
      <c r="N292" s="2">
        <f t="shared" si="42"/>
        <v>-5693.0209093135136</v>
      </c>
      <c r="O292" s="131">
        <f t="shared" si="43"/>
        <v>-108220.26483830031</v>
      </c>
      <c r="P292" s="457">
        <f t="shared" si="44"/>
        <v>-15.83013098713961</v>
      </c>
      <c r="Q292" s="127"/>
    </row>
    <row r="293" spans="1:17" x14ac:dyDescent="0.25">
      <c r="A293" s="49">
        <f>+'A) Base RI'!A295</f>
        <v>5912</v>
      </c>
      <c r="B293" s="294" t="str">
        <f>+'A) Base RI'!B295</f>
        <v>Démoret</v>
      </c>
      <c r="C293" s="306">
        <f>+'D) Ecrêtage'!C293</f>
        <v>3133.4473385194956</v>
      </c>
      <c r="D293" s="458">
        <v>42980</v>
      </c>
      <c r="E293" s="460">
        <v>6020</v>
      </c>
      <c r="F293" s="458">
        <v>8233</v>
      </c>
      <c r="G293" s="306">
        <f t="shared" si="36"/>
        <v>57233</v>
      </c>
      <c r="H293" s="286">
        <f t="shared" si="37"/>
        <v>25067.578708155965</v>
      </c>
      <c r="I293" s="10">
        <f t="shared" si="38"/>
        <v>32165.421291844035</v>
      </c>
      <c r="J293" s="303">
        <f t="shared" si="39"/>
        <v>-23465.729520244138</v>
      </c>
      <c r="K293" s="462">
        <v>48440</v>
      </c>
      <c r="L293" s="10">
        <f t="shared" si="40"/>
        <v>3133.4473385194956</v>
      </c>
      <c r="M293" s="14">
        <f t="shared" si="41"/>
        <v>45306.552661480506</v>
      </c>
      <c r="N293" s="2">
        <f t="shared" si="42"/>
        <v>-33052.615745423944</v>
      </c>
      <c r="O293" s="131">
        <f t="shared" si="43"/>
        <v>-56518.345265668082</v>
      </c>
      <c r="P293" s="457">
        <f t="shared" si="44"/>
        <v>-18.037113491868066</v>
      </c>
      <c r="Q293" s="127"/>
    </row>
    <row r="294" spans="1:17" x14ac:dyDescent="0.25">
      <c r="A294" s="49">
        <f>+'A) Base RI'!A296</f>
        <v>5913</v>
      </c>
      <c r="B294" s="294" t="str">
        <f>+'A) Base RI'!B296</f>
        <v>Donneloye</v>
      </c>
      <c r="C294" s="306">
        <f>+'D) Ecrêtage'!C294</f>
        <v>20110.628715820858</v>
      </c>
      <c r="D294" s="458">
        <v>62885</v>
      </c>
      <c r="E294" s="460">
        <v>50284</v>
      </c>
      <c r="F294" s="458">
        <v>74527</v>
      </c>
      <c r="G294" s="306">
        <f t="shared" si="36"/>
        <v>187696</v>
      </c>
      <c r="H294" s="286">
        <f t="shared" si="37"/>
        <v>160885.02972656686</v>
      </c>
      <c r="I294" s="10">
        <f t="shared" si="38"/>
        <v>26810.970273433137</v>
      </c>
      <c r="J294" s="303">
        <f t="shared" si="39"/>
        <v>-19559.48193258126</v>
      </c>
      <c r="K294" s="462">
        <v>52316</v>
      </c>
      <c r="L294" s="10">
        <f t="shared" si="40"/>
        <v>20110.628715820858</v>
      </c>
      <c r="M294" s="14">
        <f t="shared" si="41"/>
        <v>32205.371284179142</v>
      </c>
      <c r="N294" s="2">
        <f t="shared" si="42"/>
        <v>-23494.874349592577</v>
      </c>
      <c r="O294" s="131">
        <f t="shared" si="43"/>
        <v>-43054.356282173838</v>
      </c>
      <c r="P294" s="457">
        <f t="shared" si="44"/>
        <v>-2.1408756976505336</v>
      </c>
      <c r="Q294" s="127"/>
    </row>
    <row r="295" spans="1:17" x14ac:dyDescent="0.25">
      <c r="A295" s="49">
        <f>+'A) Base RI'!A297</f>
        <v>5914</v>
      </c>
      <c r="B295" s="294" t="str">
        <f>+'A) Base RI'!B297</f>
        <v>Ependes</v>
      </c>
      <c r="C295" s="306">
        <f>+'D) Ecrêtage'!C295</f>
        <v>9482.8279280120751</v>
      </c>
      <c r="D295" s="458">
        <v>45474</v>
      </c>
      <c r="E295" s="460">
        <v>37213</v>
      </c>
      <c r="F295" s="458">
        <v>45343</v>
      </c>
      <c r="G295" s="306">
        <f t="shared" si="36"/>
        <v>128030</v>
      </c>
      <c r="H295" s="286">
        <f t="shared" si="37"/>
        <v>75862.623424096601</v>
      </c>
      <c r="I295" s="10">
        <f t="shared" si="38"/>
        <v>52167.376575903399</v>
      </c>
      <c r="J295" s="303">
        <f t="shared" si="39"/>
        <v>-38057.811753930524</v>
      </c>
      <c r="K295" s="462">
        <v>19916</v>
      </c>
      <c r="L295" s="10">
        <f t="shared" si="40"/>
        <v>9482.8279280120751</v>
      </c>
      <c r="M295" s="14">
        <f t="shared" si="41"/>
        <v>10433.172071987925</v>
      </c>
      <c r="N295" s="2">
        <f t="shared" si="42"/>
        <v>-7611.3411249337996</v>
      </c>
      <c r="O295" s="131">
        <f t="shared" si="43"/>
        <v>-45669.152878864326</v>
      </c>
      <c r="P295" s="457">
        <f t="shared" si="44"/>
        <v>-4.8159845592008059</v>
      </c>
      <c r="Q295" s="127"/>
    </row>
    <row r="296" spans="1:17" x14ac:dyDescent="0.25">
      <c r="A296" s="49">
        <f>+'A) Base RI'!A298</f>
        <v>5919</v>
      </c>
      <c r="B296" s="294" t="str">
        <f>+'A) Base RI'!B298</f>
        <v>Mathod</v>
      </c>
      <c r="C296" s="306">
        <f>+'D) Ecrêtage'!C296</f>
        <v>17110.918111251427</v>
      </c>
      <c r="D296" s="458">
        <v>155354</v>
      </c>
      <c r="E296" s="460">
        <v>38162</v>
      </c>
      <c r="F296" s="458">
        <v>29745</v>
      </c>
      <c r="G296" s="306">
        <f t="shared" si="36"/>
        <v>223261</v>
      </c>
      <c r="H296" s="286">
        <f t="shared" si="37"/>
        <v>136887.34489001142</v>
      </c>
      <c r="I296" s="10">
        <f t="shared" si="38"/>
        <v>86373.655109988584</v>
      </c>
      <c r="J296" s="303">
        <f t="shared" si="39"/>
        <v>-63012.413551063051</v>
      </c>
      <c r="K296" s="462">
        <v>8476</v>
      </c>
      <c r="L296" s="10">
        <f t="shared" si="40"/>
        <v>17110.918111251427</v>
      </c>
      <c r="M296" s="14">
        <f t="shared" si="41"/>
        <v>0</v>
      </c>
      <c r="N296" s="2">
        <f t="shared" si="42"/>
        <v>0</v>
      </c>
      <c r="O296" s="131">
        <f t="shared" si="43"/>
        <v>-63012.413551063051</v>
      </c>
      <c r="P296" s="457">
        <f t="shared" si="44"/>
        <v>-3.6825851857492506</v>
      </c>
      <c r="Q296" s="127"/>
    </row>
    <row r="297" spans="1:17" x14ac:dyDescent="0.25">
      <c r="A297" s="49">
        <f>+'A) Base RI'!A299</f>
        <v>5921</v>
      </c>
      <c r="B297" s="294" t="str">
        <f>+'A) Base RI'!B299</f>
        <v>Molondin</v>
      </c>
      <c r="C297" s="306">
        <f>+'D) Ecrêtage'!C297</f>
        <v>5222.6425850785827</v>
      </c>
      <c r="D297" s="458">
        <v>30902</v>
      </c>
      <c r="E297" s="460">
        <v>9566</v>
      </c>
      <c r="F297" s="458">
        <v>15621</v>
      </c>
      <c r="G297" s="306">
        <f t="shared" si="36"/>
        <v>56089</v>
      </c>
      <c r="H297" s="286">
        <f t="shared" si="37"/>
        <v>41781.140680628661</v>
      </c>
      <c r="I297" s="10">
        <f t="shared" si="38"/>
        <v>14307.859319371339</v>
      </c>
      <c r="J297" s="303">
        <f t="shared" si="39"/>
        <v>-10438.052520928884</v>
      </c>
      <c r="K297" s="462">
        <v>49193</v>
      </c>
      <c r="L297" s="10">
        <f t="shared" si="40"/>
        <v>5222.6425850785827</v>
      </c>
      <c r="M297" s="14">
        <f t="shared" si="41"/>
        <v>43970.357414921418</v>
      </c>
      <c r="N297" s="2">
        <f t="shared" si="42"/>
        <v>-32077.817499894922</v>
      </c>
      <c r="O297" s="131">
        <f t="shared" si="43"/>
        <v>-42515.870020823808</v>
      </c>
      <c r="P297" s="457">
        <f t="shared" si="44"/>
        <v>-8.1406815282160636</v>
      </c>
      <c r="Q297" s="127"/>
    </row>
    <row r="298" spans="1:17" x14ac:dyDescent="0.25">
      <c r="A298" s="49">
        <f>+'A) Base RI'!A300</f>
        <v>5922</v>
      </c>
      <c r="B298" s="294" t="str">
        <f>+'A) Base RI'!B300</f>
        <v>Montagny-près-Yverdon</v>
      </c>
      <c r="C298" s="306">
        <f>+'D) Ecrêtage'!C298</f>
        <v>35584.669450199006</v>
      </c>
      <c r="D298" s="458">
        <v>150355</v>
      </c>
      <c r="E298" s="460">
        <v>273123</v>
      </c>
      <c r="F298" s="458">
        <v>119948</v>
      </c>
      <c r="G298" s="306">
        <f t="shared" si="36"/>
        <v>543426</v>
      </c>
      <c r="H298" s="286">
        <f t="shared" si="37"/>
        <v>284677.35560159205</v>
      </c>
      <c r="I298" s="10">
        <f t="shared" si="38"/>
        <v>258748.64439840795</v>
      </c>
      <c r="J298" s="303">
        <f t="shared" si="39"/>
        <v>-188765.62032540332</v>
      </c>
      <c r="K298" s="462">
        <v>2035</v>
      </c>
      <c r="L298" s="10">
        <f t="shared" si="40"/>
        <v>35584.669450199006</v>
      </c>
      <c r="M298" s="14">
        <f t="shared" si="41"/>
        <v>0</v>
      </c>
      <c r="N298" s="2">
        <f t="shared" si="42"/>
        <v>0</v>
      </c>
      <c r="O298" s="131">
        <f t="shared" si="43"/>
        <v>-188765.62032540332</v>
      </c>
      <c r="P298" s="457">
        <f t="shared" si="44"/>
        <v>-5.3046894418840145</v>
      </c>
      <c r="Q298" s="127"/>
    </row>
    <row r="299" spans="1:17" x14ac:dyDescent="0.25">
      <c r="A299" s="49">
        <f>+'A) Base RI'!A301</f>
        <v>5923</v>
      </c>
      <c r="B299" s="294" t="str">
        <f>+'A) Base RI'!B301</f>
        <v>Oppens</v>
      </c>
      <c r="C299" s="306">
        <f>+'D) Ecrêtage'!C299</f>
        <v>5170.8107520197709</v>
      </c>
      <c r="D299" s="458">
        <v>58896</v>
      </c>
      <c r="E299" s="460">
        <v>7710</v>
      </c>
      <c r="F299" s="458">
        <v>17142</v>
      </c>
      <c r="G299" s="306">
        <f t="shared" si="36"/>
        <v>83748</v>
      </c>
      <c r="H299" s="286">
        <f t="shared" si="37"/>
        <v>41366.486016158167</v>
      </c>
      <c r="I299" s="10">
        <f t="shared" si="38"/>
        <v>42381.513983841833</v>
      </c>
      <c r="J299" s="303">
        <f t="shared" si="39"/>
        <v>-30918.704119552414</v>
      </c>
      <c r="K299" s="462">
        <v>21866</v>
      </c>
      <c r="L299" s="10">
        <f t="shared" si="40"/>
        <v>5170.8107520197709</v>
      </c>
      <c r="M299" s="14">
        <f t="shared" si="41"/>
        <v>16695.18924798023</v>
      </c>
      <c r="N299" s="2">
        <f t="shared" si="42"/>
        <v>-12179.687983186135</v>
      </c>
      <c r="O299" s="131">
        <f t="shared" si="43"/>
        <v>-43098.392102738551</v>
      </c>
      <c r="P299" s="457">
        <f t="shared" si="44"/>
        <v>-8.3349389814554478</v>
      </c>
      <c r="Q299" s="127"/>
    </row>
    <row r="300" spans="1:17" x14ac:dyDescent="0.25">
      <c r="A300" s="49">
        <f>+'A) Base RI'!A302</f>
        <v>5924</v>
      </c>
      <c r="B300" s="294" t="str">
        <f>+'A) Base RI'!B302</f>
        <v>Orges</v>
      </c>
      <c r="C300" s="306">
        <f>+'D) Ecrêtage'!C300</f>
        <v>10275.510319946678</v>
      </c>
      <c r="D300" s="458">
        <v>42764</v>
      </c>
      <c r="E300" s="460">
        <v>13854</v>
      </c>
      <c r="F300" s="458">
        <v>26161</v>
      </c>
      <c r="G300" s="306">
        <f t="shared" si="36"/>
        <v>82779</v>
      </c>
      <c r="H300" s="286">
        <f t="shared" si="37"/>
        <v>82204.08255957342</v>
      </c>
      <c r="I300" s="10">
        <f t="shared" si="38"/>
        <v>574.91744042657956</v>
      </c>
      <c r="J300" s="303">
        <f t="shared" si="39"/>
        <v>-419.42112404235701</v>
      </c>
      <c r="K300" s="462">
        <v>1047</v>
      </c>
      <c r="L300" s="10">
        <f t="shared" si="40"/>
        <v>10275.510319946678</v>
      </c>
      <c r="M300" s="14">
        <f t="shared" si="41"/>
        <v>0</v>
      </c>
      <c r="N300" s="2">
        <f t="shared" si="42"/>
        <v>0</v>
      </c>
      <c r="O300" s="131">
        <f t="shared" si="43"/>
        <v>-419.42112404235701</v>
      </c>
      <c r="P300" s="457">
        <f t="shared" si="44"/>
        <v>-4.0817546864624576E-2</v>
      </c>
      <c r="Q300" s="127"/>
    </row>
    <row r="301" spans="1:17" x14ac:dyDescent="0.25">
      <c r="A301" s="49">
        <f>+'A) Base RI'!A303</f>
        <v>5925</v>
      </c>
      <c r="B301" s="294" t="str">
        <f>+'A) Base RI'!B303</f>
        <v>Orzens</v>
      </c>
      <c r="C301" s="306">
        <f>+'D) Ecrêtage'!C301</f>
        <v>5564.160782501971</v>
      </c>
      <c r="D301" s="458">
        <v>6790</v>
      </c>
      <c r="E301" s="460">
        <v>8041</v>
      </c>
      <c r="F301" s="458">
        <v>17876</v>
      </c>
      <c r="G301" s="306">
        <f t="shared" si="36"/>
        <v>32707</v>
      </c>
      <c r="H301" s="286">
        <f t="shared" si="37"/>
        <v>44513.286260015768</v>
      </c>
      <c r="I301" s="10">
        <f t="shared" si="38"/>
        <v>0</v>
      </c>
      <c r="J301" s="303">
        <f t="shared" si="39"/>
        <v>0</v>
      </c>
      <c r="K301" s="462">
        <v>28242</v>
      </c>
      <c r="L301" s="10">
        <f t="shared" si="40"/>
        <v>5564.160782501971</v>
      </c>
      <c r="M301" s="14">
        <f t="shared" si="41"/>
        <v>22677.839217498029</v>
      </c>
      <c r="N301" s="2">
        <f t="shared" si="42"/>
        <v>-16544.227304006363</v>
      </c>
      <c r="O301" s="131">
        <f t="shared" si="43"/>
        <v>-16544.227304006363</v>
      </c>
      <c r="P301" s="457">
        <f t="shared" si="44"/>
        <v>-2.9733553631365615</v>
      </c>
      <c r="Q301" s="127"/>
    </row>
    <row r="302" spans="1:17" x14ac:dyDescent="0.25">
      <c r="A302" s="49">
        <f>+'A) Base RI'!A304</f>
        <v>5926</v>
      </c>
      <c r="B302" s="294" t="str">
        <f>+'A) Base RI'!B304</f>
        <v>Pomy</v>
      </c>
      <c r="C302" s="306">
        <f>+'D) Ecrêtage'!C302</f>
        <v>26594.76814227111</v>
      </c>
      <c r="D302" s="458">
        <v>91810</v>
      </c>
      <c r="E302" s="460">
        <v>48552</v>
      </c>
      <c r="F302" s="458">
        <v>70969</v>
      </c>
      <c r="G302" s="306">
        <f t="shared" si="36"/>
        <v>211331</v>
      </c>
      <c r="H302" s="286">
        <f t="shared" si="37"/>
        <v>212758.14513816888</v>
      </c>
      <c r="I302" s="10">
        <f t="shared" si="38"/>
        <v>0</v>
      </c>
      <c r="J302" s="303">
        <f t="shared" si="39"/>
        <v>0</v>
      </c>
      <c r="K302" s="462">
        <v>43526</v>
      </c>
      <c r="L302" s="10">
        <f t="shared" si="40"/>
        <v>26594.76814227111</v>
      </c>
      <c r="M302" s="14">
        <f t="shared" si="41"/>
        <v>16931.23185772889</v>
      </c>
      <c r="N302" s="2">
        <f t="shared" si="42"/>
        <v>-12351.888806715191</v>
      </c>
      <c r="O302" s="131">
        <f t="shared" si="43"/>
        <v>-12351.888806715191</v>
      </c>
      <c r="P302" s="457">
        <f t="shared" si="44"/>
        <v>-0.46444807266743776</v>
      </c>
      <c r="Q302" s="127"/>
    </row>
    <row r="303" spans="1:17" x14ac:dyDescent="0.25">
      <c r="A303" s="49">
        <f>+'A) Base RI'!A305</f>
        <v>5928</v>
      </c>
      <c r="B303" s="294" t="str">
        <f>+'A) Base RI'!B305</f>
        <v>Rovray</v>
      </c>
      <c r="C303" s="306">
        <f>+'D) Ecrêtage'!C303</f>
        <v>4332.6487869809371</v>
      </c>
      <c r="D303" s="458">
        <v>24142</v>
      </c>
      <c r="E303" s="460">
        <v>7711</v>
      </c>
      <c r="F303" s="458">
        <v>16333</v>
      </c>
      <c r="G303" s="306">
        <f t="shared" si="36"/>
        <v>48186</v>
      </c>
      <c r="H303" s="286">
        <f t="shared" si="37"/>
        <v>34661.190295847497</v>
      </c>
      <c r="I303" s="10">
        <f t="shared" si="38"/>
        <v>13524.809704152503</v>
      </c>
      <c r="J303" s="303">
        <f t="shared" si="39"/>
        <v>-9866.7921508271684</v>
      </c>
      <c r="K303" s="462">
        <v>1896</v>
      </c>
      <c r="L303" s="10">
        <f t="shared" si="40"/>
        <v>4332.6487869809371</v>
      </c>
      <c r="M303" s="14">
        <f t="shared" si="41"/>
        <v>0</v>
      </c>
      <c r="N303" s="2">
        <f t="shared" si="42"/>
        <v>0</v>
      </c>
      <c r="O303" s="131">
        <f t="shared" si="43"/>
        <v>-9866.7921508271684</v>
      </c>
      <c r="P303" s="457">
        <f t="shared" si="44"/>
        <v>-2.2773117868394119</v>
      </c>
      <c r="Q303" s="127"/>
    </row>
    <row r="304" spans="1:17" x14ac:dyDescent="0.25">
      <c r="A304" s="49">
        <f>+'A) Base RI'!A306</f>
        <v>5929</v>
      </c>
      <c r="B304" s="294" t="str">
        <f>+'A) Base RI'!B306</f>
        <v>Suchy</v>
      </c>
      <c r="C304" s="306">
        <f>+'D) Ecrêtage'!C304</f>
        <v>17123.573212033476</v>
      </c>
      <c r="D304" s="458">
        <v>34402</v>
      </c>
      <c r="E304" s="460">
        <v>24946</v>
      </c>
      <c r="F304" s="458">
        <v>80309</v>
      </c>
      <c r="G304" s="306">
        <f t="shared" si="36"/>
        <v>139657</v>
      </c>
      <c r="H304" s="286">
        <f t="shared" si="37"/>
        <v>136988.58569626781</v>
      </c>
      <c r="I304" s="10">
        <f t="shared" si="38"/>
        <v>2668.4143037321919</v>
      </c>
      <c r="J304" s="303">
        <f t="shared" si="39"/>
        <v>-1946.6957305237406</v>
      </c>
      <c r="K304" s="462">
        <v>37695</v>
      </c>
      <c r="L304" s="10">
        <f t="shared" si="40"/>
        <v>17123.573212033476</v>
      </c>
      <c r="M304" s="14">
        <f t="shared" si="41"/>
        <v>20571.426787966524</v>
      </c>
      <c r="N304" s="2">
        <f t="shared" si="42"/>
        <v>-15007.530368468328</v>
      </c>
      <c r="O304" s="131">
        <f t="shared" si="43"/>
        <v>-16954.226098992069</v>
      </c>
      <c r="P304" s="457">
        <f t="shared" si="44"/>
        <v>-0.99011029351500068</v>
      </c>
      <c r="Q304" s="127"/>
    </row>
    <row r="305" spans="1:17" x14ac:dyDescent="0.25">
      <c r="A305" s="49">
        <f>+'A) Base RI'!A307</f>
        <v>5930</v>
      </c>
      <c r="B305" s="294" t="str">
        <f>+'A) Base RI'!B307</f>
        <v>Suscévaz</v>
      </c>
      <c r="C305" s="306">
        <f>+'D) Ecrêtage'!C305</f>
        <v>5845.0713540916349</v>
      </c>
      <c r="D305" s="458">
        <v>63469</v>
      </c>
      <c r="E305" s="460">
        <v>12370</v>
      </c>
      <c r="F305" s="458">
        <v>10288</v>
      </c>
      <c r="G305" s="306">
        <f t="shared" si="36"/>
        <v>86127</v>
      </c>
      <c r="H305" s="286">
        <f t="shared" si="37"/>
        <v>46760.570832733079</v>
      </c>
      <c r="I305" s="10">
        <f t="shared" si="38"/>
        <v>39366.429167266921</v>
      </c>
      <c r="J305" s="303">
        <f t="shared" si="39"/>
        <v>-28719.100882759689</v>
      </c>
      <c r="K305" s="462">
        <v>5362</v>
      </c>
      <c r="L305" s="10">
        <f t="shared" si="40"/>
        <v>5845.0713540916349</v>
      </c>
      <c r="M305" s="14">
        <f t="shared" si="41"/>
        <v>0</v>
      </c>
      <c r="N305" s="2">
        <f t="shared" si="42"/>
        <v>0</v>
      </c>
      <c r="O305" s="131">
        <f t="shared" si="43"/>
        <v>-28719.100882759689</v>
      </c>
      <c r="P305" s="457">
        <f t="shared" si="44"/>
        <v>-4.9133875607277062</v>
      </c>
      <c r="Q305" s="127"/>
    </row>
    <row r="306" spans="1:17" x14ac:dyDescent="0.25">
      <c r="A306" s="49">
        <f>+'A) Base RI'!A308</f>
        <v>5931</v>
      </c>
      <c r="B306" s="294" t="str">
        <f>+'A) Base RI'!B308</f>
        <v>Treycovagnes</v>
      </c>
      <c r="C306" s="306">
        <f>+'D) Ecrêtage'!C306</f>
        <v>12973.113986974873</v>
      </c>
      <c r="D306" s="458">
        <v>67240</v>
      </c>
      <c r="E306" s="460">
        <v>28204</v>
      </c>
      <c r="F306" s="458">
        <v>19420</v>
      </c>
      <c r="G306" s="306">
        <f t="shared" si="36"/>
        <v>114864</v>
      </c>
      <c r="H306" s="286">
        <f t="shared" si="37"/>
        <v>103784.91189579898</v>
      </c>
      <c r="I306" s="10">
        <f t="shared" si="38"/>
        <v>11079.088104201015</v>
      </c>
      <c r="J306" s="303">
        <f t="shared" si="39"/>
        <v>-8082.5580496922166</v>
      </c>
      <c r="K306" s="462">
        <v>839</v>
      </c>
      <c r="L306" s="10">
        <f t="shared" si="40"/>
        <v>12973.113986974873</v>
      </c>
      <c r="M306" s="14">
        <f t="shared" si="41"/>
        <v>0</v>
      </c>
      <c r="N306" s="2">
        <f t="shared" si="42"/>
        <v>0</v>
      </c>
      <c r="O306" s="131">
        <f t="shared" si="43"/>
        <v>-8082.5580496922166</v>
      </c>
      <c r="P306" s="457">
        <f t="shared" si="44"/>
        <v>-0.62302374416868456</v>
      </c>
      <c r="Q306" s="127"/>
    </row>
    <row r="307" spans="1:17" x14ac:dyDescent="0.25">
      <c r="A307" s="49">
        <f>+'A) Base RI'!A309</f>
        <v>5932</v>
      </c>
      <c r="B307" s="294" t="str">
        <f>+'A) Base RI'!B309</f>
        <v>Ursins</v>
      </c>
      <c r="C307" s="306">
        <f>+'D) Ecrêtage'!C307</f>
        <v>6686.217062317166</v>
      </c>
      <c r="D307" s="458">
        <v>21410</v>
      </c>
      <c r="E307" s="460">
        <v>8899</v>
      </c>
      <c r="F307" s="458">
        <v>8523</v>
      </c>
      <c r="G307" s="306">
        <f t="shared" si="36"/>
        <v>38832</v>
      </c>
      <c r="H307" s="286">
        <f t="shared" si="37"/>
        <v>53489.736498537328</v>
      </c>
      <c r="I307" s="10">
        <f t="shared" si="38"/>
        <v>0</v>
      </c>
      <c r="J307" s="303">
        <f t="shared" si="39"/>
        <v>0</v>
      </c>
      <c r="K307" s="462">
        <v>20430</v>
      </c>
      <c r="L307" s="10">
        <f t="shared" si="40"/>
        <v>6686.217062317166</v>
      </c>
      <c r="M307" s="14">
        <f t="shared" si="41"/>
        <v>13743.782937682834</v>
      </c>
      <c r="N307" s="2">
        <f t="shared" si="42"/>
        <v>-10026.540304708768</v>
      </c>
      <c r="O307" s="131">
        <f t="shared" si="43"/>
        <v>-10026.540304708768</v>
      </c>
      <c r="P307" s="457">
        <f t="shared" si="44"/>
        <v>-1.4995834283061675</v>
      </c>
      <c r="Q307" s="127"/>
    </row>
    <row r="308" spans="1:17" x14ac:dyDescent="0.25">
      <c r="A308" s="49">
        <f>+'A) Base RI'!A310</f>
        <v>5933</v>
      </c>
      <c r="B308" s="294" t="str">
        <f>+'A) Base RI'!B310</f>
        <v>Valeyres-sous-Montagny</v>
      </c>
      <c r="C308" s="306">
        <f>+'D) Ecrêtage'!C308</f>
        <v>22631.763146204292</v>
      </c>
      <c r="D308" s="458">
        <v>217039</v>
      </c>
      <c r="E308" s="460">
        <v>72674</v>
      </c>
      <c r="F308" s="458">
        <v>92113</v>
      </c>
      <c r="G308" s="306">
        <f t="shared" si="36"/>
        <v>381826</v>
      </c>
      <c r="H308" s="286">
        <f t="shared" si="37"/>
        <v>181054.10516963433</v>
      </c>
      <c r="I308" s="10">
        <f t="shared" si="38"/>
        <v>200771.89483036567</v>
      </c>
      <c r="J308" s="303">
        <f t="shared" si="39"/>
        <v>-146469.68048731465</v>
      </c>
      <c r="K308" s="462">
        <v>4858</v>
      </c>
      <c r="L308" s="10">
        <f t="shared" si="40"/>
        <v>22631.763146204292</v>
      </c>
      <c r="M308" s="14">
        <f t="shared" si="41"/>
        <v>0</v>
      </c>
      <c r="N308" s="2">
        <f t="shared" si="42"/>
        <v>0</v>
      </c>
      <c r="O308" s="131">
        <f t="shared" si="43"/>
        <v>-146469.68048731465</v>
      </c>
      <c r="P308" s="457">
        <f t="shared" si="44"/>
        <v>-6.4718634399406021</v>
      </c>
      <c r="Q308" s="127"/>
    </row>
    <row r="309" spans="1:17" x14ac:dyDescent="0.25">
      <c r="A309" s="49">
        <f>+'A) Base RI'!A311</f>
        <v>5934</v>
      </c>
      <c r="B309" s="294" t="str">
        <f>+'A) Base RI'!B311</f>
        <v>Valeyres-sous-Ursins</v>
      </c>
      <c r="C309" s="306">
        <f>+'D) Ecrêtage'!C309</f>
        <v>7641.8509852223033</v>
      </c>
      <c r="D309" s="458">
        <v>9999</v>
      </c>
      <c r="E309" s="460">
        <v>9814</v>
      </c>
      <c r="F309" s="458">
        <v>11401</v>
      </c>
      <c r="G309" s="306">
        <f t="shared" si="36"/>
        <v>31214</v>
      </c>
      <c r="H309" s="286">
        <f t="shared" si="37"/>
        <v>61134.807881778426</v>
      </c>
      <c r="I309" s="10">
        <f t="shared" si="38"/>
        <v>0</v>
      </c>
      <c r="J309" s="303">
        <f t="shared" si="39"/>
        <v>0</v>
      </c>
      <c r="K309" s="462">
        <v>16891</v>
      </c>
      <c r="L309" s="10">
        <f t="shared" si="40"/>
        <v>7641.8509852223033</v>
      </c>
      <c r="M309" s="14">
        <f t="shared" si="41"/>
        <v>9249.1490147776967</v>
      </c>
      <c r="N309" s="2">
        <f t="shared" si="42"/>
        <v>-6747.5574811836468</v>
      </c>
      <c r="O309" s="131">
        <f t="shared" si="43"/>
        <v>-6747.5574811836468</v>
      </c>
      <c r="P309" s="457">
        <f t="shared" si="44"/>
        <v>-0.88297422891809485</v>
      </c>
      <c r="Q309" s="127"/>
    </row>
    <row r="310" spans="1:17" x14ac:dyDescent="0.25">
      <c r="A310" s="49">
        <f>+'A) Base RI'!A312</f>
        <v>5935</v>
      </c>
      <c r="B310" s="294" t="str">
        <f>+'A) Base RI'!B312</f>
        <v>Villars-Epeney</v>
      </c>
      <c r="C310" s="306">
        <f>+'D) Ecrêtage'!C310</f>
        <v>5591.3819786059366</v>
      </c>
      <c r="D310" s="458">
        <v>12379</v>
      </c>
      <c r="E310" s="460">
        <v>4371</v>
      </c>
      <c r="F310" s="458">
        <v>7356</v>
      </c>
      <c r="G310" s="306">
        <f t="shared" si="36"/>
        <v>24106</v>
      </c>
      <c r="H310" s="286">
        <f t="shared" si="37"/>
        <v>44731.055828847493</v>
      </c>
      <c r="I310" s="10">
        <f t="shared" si="38"/>
        <v>0</v>
      </c>
      <c r="J310" s="303">
        <f t="shared" si="39"/>
        <v>0</v>
      </c>
      <c r="K310" s="462">
        <v>14937</v>
      </c>
      <c r="L310" s="10">
        <f t="shared" si="40"/>
        <v>5591.3819786059366</v>
      </c>
      <c r="M310" s="14">
        <f t="shared" si="41"/>
        <v>9345.6180213940643</v>
      </c>
      <c r="N310" s="2">
        <f t="shared" si="42"/>
        <v>-6817.9347846800674</v>
      </c>
      <c r="O310" s="131">
        <f t="shared" si="43"/>
        <v>-6817.9347846800674</v>
      </c>
      <c r="P310" s="457">
        <f t="shared" si="44"/>
        <v>-1.2193648745099579</v>
      </c>
      <c r="Q310" s="127"/>
    </row>
    <row r="311" spans="1:17" x14ac:dyDescent="0.25">
      <c r="A311" s="49">
        <f>+'A) Base RI'!A313</f>
        <v>5937</v>
      </c>
      <c r="B311" s="294" t="str">
        <f>+'A) Base RI'!B313</f>
        <v>Vugelles-La Mothe</v>
      </c>
      <c r="C311" s="306">
        <f>+'D) Ecrêtage'!C311</f>
        <v>2402.7405651963004</v>
      </c>
      <c r="D311" s="458">
        <v>25422</v>
      </c>
      <c r="E311" s="460">
        <v>5031</v>
      </c>
      <c r="F311" s="458">
        <v>23727</v>
      </c>
      <c r="G311" s="306">
        <f t="shared" si="36"/>
        <v>54180</v>
      </c>
      <c r="H311" s="286">
        <f t="shared" si="37"/>
        <v>19221.924521570403</v>
      </c>
      <c r="I311" s="10">
        <f t="shared" si="38"/>
        <v>34958.0754784296</v>
      </c>
      <c r="J311" s="303">
        <f t="shared" si="39"/>
        <v>-25503.062319072138</v>
      </c>
      <c r="K311" s="462">
        <v>16668</v>
      </c>
      <c r="L311" s="10">
        <f t="shared" si="40"/>
        <v>2402.7405651963004</v>
      </c>
      <c r="M311" s="14">
        <f t="shared" si="41"/>
        <v>14265.2594348037</v>
      </c>
      <c r="N311" s="2">
        <f t="shared" si="42"/>
        <v>-10406.974508308191</v>
      </c>
      <c r="O311" s="131">
        <f t="shared" si="43"/>
        <v>-35910.036827380332</v>
      </c>
      <c r="P311" s="457">
        <f t="shared" si="44"/>
        <v>-14.945449104051121</v>
      </c>
      <c r="Q311" s="127"/>
    </row>
    <row r="312" spans="1:17" x14ac:dyDescent="0.25">
      <c r="A312" s="49">
        <f>+'A) Base RI'!A314</f>
        <v>5938</v>
      </c>
      <c r="B312" s="294" t="str">
        <f>+'A) Base RI'!B314</f>
        <v>Yverdon-les-Bains</v>
      </c>
      <c r="C312" s="306">
        <f>+'D) Ecrêtage'!C312</f>
        <v>748845.35601358349</v>
      </c>
      <c r="D312" s="458">
        <v>9606441</v>
      </c>
      <c r="E312" s="460">
        <v>7291815</v>
      </c>
      <c r="F312" s="458">
        <v>800580</v>
      </c>
      <c r="G312" s="306">
        <f t="shared" si="36"/>
        <v>17698836</v>
      </c>
      <c r="H312" s="286">
        <f t="shared" si="37"/>
        <v>5990762.8481086679</v>
      </c>
      <c r="I312" s="10">
        <f t="shared" si="38"/>
        <v>11708073.151891332</v>
      </c>
      <c r="J312" s="303">
        <f t="shared" si="39"/>
        <v>-8541423.2660828792</v>
      </c>
      <c r="K312" s="462">
        <v>205363</v>
      </c>
      <c r="L312" s="10">
        <f t="shared" si="40"/>
        <v>748845.35601358349</v>
      </c>
      <c r="M312" s="14">
        <f t="shared" si="41"/>
        <v>0</v>
      </c>
      <c r="N312" s="2">
        <f t="shared" si="42"/>
        <v>0</v>
      </c>
      <c r="O312" s="131">
        <f t="shared" si="43"/>
        <v>-8541423.2660828792</v>
      </c>
      <c r="P312" s="457">
        <f t="shared" si="44"/>
        <v>-11.406124371996432</v>
      </c>
      <c r="Q312" s="127"/>
    </row>
    <row r="313" spans="1:17" x14ac:dyDescent="0.25">
      <c r="A313" s="49">
        <f>+'A) Base RI'!A315</f>
        <v>5939</v>
      </c>
      <c r="B313" s="294" t="str">
        <f>+'A) Base RI'!B315</f>
        <v>Yvonand</v>
      </c>
      <c r="C313" s="306">
        <f>+'D) Ecrêtage'!C313</f>
        <v>91997.775281850787</v>
      </c>
      <c r="D313" s="458">
        <v>423529</v>
      </c>
      <c r="E313" s="460">
        <v>345434</v>
      </c>
      <c r="F313" s="458">
        <v>288992</v>
      </c>
      <c r="G313" s="306">
        <f t="shared" si="36"/>
        <v>1057955</v>
      </c>
      <c r="H313" s="286">
        <f t="shared" si="37"/>
        <v>735982.2022548063</v>
      </c>
      <c r="I313" s="10">
        <f t="shared" si="38"/>
        <v>321972.7977451937</v>
      </c>
      <c r="J313" s="303">
        <f t="shared" si="39"/>
        <v>-234889.71327979278</v>
      </c>
      <c r="K313" s="464">
        <v>111819</v>
      </c>
      <c r="L313" s="18">
        <f t="shared" si="40"/>
        <v>91997.775281850787</v>
      </c>
      <c r="M313" s="70">
        <f t="shared" si="41"/>
        <v>19821.224718149213</v>
      </c>
      <c r="N313" s="132">
        <f t="shared" si="42"/>
        <v>-14460.233359791371</v>
      </c>
      <c r="O313" s="133">
        <f t="shared" si="43"/>
        <v>-249349.94663958414</v>
      </c>
      <c r="P313" s="457">
        <f t="shared" si="44"/>
        <v>-2.7103910488667613</v>
      </c>
      <c r="Q313" s="127"/>
    </row>
    <row r="314" spans="1:17" x14ac:dyDescent="0.25">
      <c r="A314" s="78"/>
      <c r="B314" s="300">
        <f>COUNTA(B5:B313)</f>
        <v>309</v>
      </c>
      <c r="C314" s="11">
        <f t="shared" ref="C314:N314" si="45">SUM(C5:C313)</f>
        <v>35867536.64913179</v>
      </c>
      <c r="D314" s="301">
        <f t="shared" si="45"/>
        <v>256426623</v>
      </c>
      <c r="E314" s="11">
        <f t="shared" si="45"/>
        <v>169980988</v>
      </c>
      <c r="F314" s="301">
        <f t="shared" si="45"/>
        <v>41237598</v>
      </c>
      <c r="G314" s="11">
        <f t="shared" si="45"/>
        <v>467645209</v>
      </c>
      <c r="H314" s="301">
        <f t="shared" si="45"/>
        <v>286940293.19305432</v>
      </c>
      <c r="I314" s="11">
        <f t="shared" si="45"/>
        <v>213706265.73209229</v>
      </c>
      <c r="J314" s="304">
        <f t="shared" si="45"/>
        <v>-155905728.17158344</v>
      </c>
      <c r="K314" s="120">
        <f t="shared" si="45"/>
        <v>20804824</v>
      </c>
      <c r="L314" s="18">
        <f t="shared" si="45"/>
        <v>35867536.64913179</v>
      </c>
      <c r="M314" s="11">
        <f t="shared" si="45"/>
        <v>7536586.1942046871</v>
      </c>
      <c r="N314" s="132">
        <f t="shared" si="45"/>
        <v>-5498186.749509681</v>
      </c>
      <c r="O314" s="37">
        <f>SUM(O5:O313)</f>
        <v>-161403914.92109314</v>
      </c>
      <c r="P314" s="19">
        <f>O314/'D) Ecrêtage'!C314</f>
        <v>-4.5000000000000027</v>
      </c>
    </row>
    <row r="320" spans="1:17" x14ac:dyDescent="0.25">
      <c r="G320" s="409"/>
    </row>
  </sheetData>
  <mergeCells count="10">
    <mergeCell ref="D3:D4"/>
    <mergeCell ref="C3:C4"/>
    <mergeCell ref="B3:B4"/>
    <mergeCell ref="A3:A4"/>
    <mergeCell ref="L3:L4"/>
    <mergeCell ref="K3:K4"/>
    <mergeCell ref="H3:H4"/>
    <mergeCell ref="G3:G4"/>
    <mergeCell ref="F3:F4"/>
    <mergeCell ref="E3:E4"/>
  </mergeCells>
  <phoneticPr fontId="0" type="noConversion"/>
  <printOptions horizontalCentered="1"/>
  <pageMargins left="0" right="0" top="0" bottom="0" header="0.51181102362204722" footer="0.51181102362204722"/>
  <pageSetup paperSize="9" scale="64" orientation="landscape"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rgb="FF00B050"/>
  </sheetPr>
  <dimension ref="A1:Z320"/>
  <sheetViews>
    <sheetView workbookViewId="0">
      <pane ySplit="4" topLeftCell="A5" activePane="bottomLeft" state="frozen"/>
      <selection pane="bottomLeft" activeCell="A5" sqref="A5"/>
    </sheetView>
  </sheetViews>
  <sheetFormatPr baseColWidth="10" defaultColWidth="10.75" defaultRowHeight="15" x14ac:dyDescent="0.25"/>
  <cols>
    <col min="1" max="1" width="7.25" style="13" customWidth="1"/>
    <col min="2" max="2" width="19.875" style="13" customWidth="1"/>
    <col min="3" max="3" width="10" style="13" customWidth="1"/>
    <col min="4" max="4" width="13.75" style="13" customWidth="1"/>
    <col min="5" max="5" width="11.125" style="13" customWidth="1"/>
    <col min="6" max="6" width="10" style="13" customWidth="1"/>
    <col min="7" max="7" width="10.75" style="13" customWidth="1"/>
    <col min="8" max="8" width="15.125" style="426" customWidth="1"/>
    <col min="9" max="9" width="10" style="140" customWidth="1"/>
    <col min="10" max="10" width="11.75" style="13" customWidth="1"/>
    <col min="11" max="11" width="10" style="15" customWidth="1"/>
    <col min="12" max="12" width="12.125" style="15" customWidth="1"/>
    <col min="13" max="15" width="12.125" style="13" customWidth="1"/>
    <col min="16" max="18" width="8.125" style="13" customWidth="1"/>
    <col min="19" max="16384" width="10.75" style="13"/>
  </cols>
  <sheetData>
    <row r="1" spans="1:26" s="43" customFormat="1" ht="21" x14ac:dyDescent="0.25">
      <c r="A1" s="51" t="s">
        <v>211</v>
      </c>
      <c r="B1" s="42"/>
      <c r="C1" s="68"/>
      <c r="D1" s="68"/>
      <c r="E1" s="68"/>
      <c r="F1" s="68"/>
      <c r="G1" s="68"/>
      <c r="H1" s="430"/>
      <c r="I1" s="139"/>
      <c r="J1" s="68"/>
      <c r="K1" s="134"/>
      <c r="L1" s="135"/>
      <c r="M1" s="56"/>
      <c r="O1" s="13"/>
      <c r="P1" s="13"/>
      <c r="Q1" s="13"/>
      <c r="R1" s="13"/>
      <c r="S1" s="13"/>
      <c r="Z1" s="13"/>
    </row>
    <row r="3" spans="1:26" ht="30" customHeight="1" x14ac:dyDescent="0.25">
      <c r="A3" s="501" t="s">
        <v>46</v>
      </c>
      <c r="B3" s="501" t="s">
        <v>96</v>
      </c>
      <c r="C3" s="501" t="s">
        <v>371</v>
      </c>
      <c r="D3" s="501" t="s">
        <v>93</v>
      </c>
      <c r="E3" s="501" t="s">
        <v>328</v>
      </c>
      <c r="F3" s="501" t="s">
        <v>369</v>
      </c>
      <c r="G3" s="517" t="s">
        <v>358</v>
      </c>
      <c r="H3" s="501" t="s">
        <v>564</v>
      </c>
      <c r="I3" s="141" t="s">
        <v>146</v>
      </c>
      <c r="J3" s="515" t="s">
        <v>372</v>
      </c>
      <c r="K3" s="522" t="s">
        <v>340</v>
      </c>
    </row>
    <row r="4" spans="1:26" x14ac:dyDescent="0.25">
      <c r="A4" s="502"/>
      <c r="B4" s="503"/>
      <c r="C4" s="502"/>
      <c r="D4" s="503"/>
      <c r="E4" s="502"/>
      <c r="F4" s="503"/>
      <c r="G4" s="529"/>
      <c r="H4" s="502"/>
      <c r="I4" s="454">
        <f>Paramètres!B47</f>
        <v>48</v>
      </c>
      <c r="J4" s="528"/>
      <c r="K4" s="527"/>
    </row>
    <row r="5" spans="1:26" x14ac:dyDescent="0.25">
      <c r="A5" s="46">
        <f>'A) Base RI'!A7</f>
        <v>5401</v>
      </c>
      <c r="B5" s="294" t="str">
        <f>'A) Base RI'!B7</f>
        <v>Aigle</v>
      </c>
      <c r="C5" s="94">
        <f>'B) D RI'!U7</f>
        <v>264997.06649252231</v>
      </c>
      <c r="D5" s="431">
        <f>'E) Fact soc'!G11/C5</f>
        <v>19.999444797965012</v>
      </c>
      <c r="E5" s="136">
        <f>'H) Péréquation directe'!I16/C5</f>
        <v>-12.21847077651779</v>
      </c>
      <c r="F5" s="110">
        <f>+'I) Dépenses thématiques'!O5/'J) Plafonnement effort'!C5</f>
        <v>-9.3712756206552505</v>
      </c>
      <c r="G5" s="136">
        <f>SUM(D5:F5)</f>
        <v>-1.5903015992080292</v>
      </c>
      <c r="H5" s="432">
        <f>G5-'C) Prél. conj.'!I5</f>
        <v>-6.1861438329346665</v>
      </c>
      <c r="I5" s="436">
        <f t="shared" ref="I5" si="0">IF(H5&gt;I$4,I$4-H5,0)</f>
        <v>0</v>
      </c>
      <c r="J5" s="100">
        <f>I5*C5</f>
        <v>0</v>
      </c>
      <c r="K5" s="432">
        <f>H5+I5</f>
        <v>-6.1861438329346665</v>
      </c>
    </row>
    <row r="6" spans="1:26" x14ac:dyDescent="0.25">
      <c r="A6" s="49">
        <f>'A) Base RI'!A8</f>
        <v>5402</v>
      </c>
      <c r="B6" s="294" t="str">
        <f>'A) Base RI'!B8</f>
        <v>Bex</v>
      </c>
      <c r="C6" s="95">
        <f>'B) D RI'!U8</f>
        <v>167576.20795633722</v>
      </c>
      <c r="D6" s="431">
        <f>'E) Fact soc'!G12/C6</f>
        <v>18.402064047093511</v>
      </c>
      <c r="E6" s="137">
        <f>'H) Péréquation directe'!I17/C6</f>
        <v>-22.005776451675121</v>
      </c>
      <c r="F6" s="110">
        <f>+'I) Dépenses thématiques'!O6/'J) Plafonnement effort'!C6</f>
        <v>-11.216161468519891</v>
      </c>
      <c r="G6" s="137">
        <f t="shared" ref="G6:G69" si="1">SUM(D6:F6)</f>
        <v>-14.819873873101502</v>
      </c>
      <c r="H6" s="432">
        <f>G6-'C) Prél. conj.'!I6</f>
        <v>-17.818335355956641</v>
      </c>
      <c r="I6" s="436">
        <f t="shared" ref="I6:I69" si="2">IF(H6&gt;I$4,I$4-H6,0)</f>
        <v>0</v>
      </c>
      <c r="J6" s="55">
        <f t="shared" ref="J6:J69" si="3">I6*C6</f>
        <v>0</v>
      </c>
      <c r="K6" s="432">
        <f t="shared" ref="K6:K69" si="4">H6+I6</f>
        <v>-17.818335355956641</v>
      </c>
    </row>
    <row r="7" spans="1:26" x14ac:dyDescent="0.25">
      <c r="A7" s="49">
        <f>'A) Base RI'!A9</f>
        <v>5403</v>
      </c>
      <c r="B7" s="294" t="str">
        <f>'A) Base RI'!B9</f>
        <v>Chessel</v>
      </c>
      <c r="C7" s="95">
        <f>'B) D RI'!U9</f>
        <v>10084.656029543799</v>
      </c>
      <c r="D7" s="431">
        <f>'E) Fact soc'!G13/C7</f>
        <v>18.592318164036048</v>
      </c>
      <c r="E7" s="137">
        <f>'H) Péréquation directe'!I18/C7</f>
        <v>-4.4489830664238568</v>
      </c>
      <c r="F7" s="110">
        <f>+'I) Dépenses thématiques'!O7/'J) Plafonnement effort'!C7</f>
        <v>-4.4120042378428179</v>
      </c>
      <c r="G7" s="137">
        <f t="shared" si="1"/>
        <v>9.731330859769372</v>
      </c>
      <c r="H7" s="432">
        <f>G7-'C) Prél. conj.'!I7</f>
        <v>6.5426152599716971</v>
      </c>
      <c r="I7" s="436">
        <f t="shared" si="2"/>
        <v>0</v>
      </c>
      <c r="J7" s="55">
        <f t="shared" si="3"/>
        <v>0</v>
      </c>
      <c r="K7" s="432">
        <f t="shared" si="4"/>
        <v>6.5426152599716971</v>
      </c>
    </row>
    <row r="8" spans="1:26" x14ac:dyDescent="0.25">
      <c r="A8" s="49">
        <f>'A) Base RI'!A10</f>
        <v>5404</v>
      </c>
      <c r="B8" s="294" t="str">
        <f>'A) Base RI'!B10</f>
        <v>Corbeyrier</v>
      </c>
      <c r="C8" s="95">
        <f>'B) D RI'!U10</f>
        <v>11886.055583598994</v>
      </c>
      <c r="D8" s="431">
        <f>'E) Fact soc'!G14/C8</f>
        <v>18.435756060956859</v>
      </c>
      <c r="E8" s="137">
        <f>'H) Péréquation directe'!I19/C8</f>
        <v>2.980746162866915</v>
      </c>
      <c r="F8" s="110">
        <f>+'I) Dépenses thématiques'!O8/'J) Plafonnement effort'!C8</f>
        <v>-12.378584008151464</v>
      </c>
      <c r="G8" s="137">
        <f t="shared" si="1"/>
        <v>9.0379182156723097</v>
      </c>
      <c r="H8" s="432">
        <f>G8-'C) Prél. conj.'!I8</f>
        <v>6.0057647189538219</v>
      </c>
      <c r="I8" s="436">
        <f t="shared" si="2"/>
        <v>0</v>
      </c>
      <c r="J8" s="55">
        <f t="shared" si="3"/>
        <v>0</v>
      </c>
      <c r="K8" s="432">
        <f t="shared" si="4"/>
        <v>6.0057647189538219</v>
      </c>
    </row>
    <row r="9" spans="1:26" x14ac:dyDescent="0.25">
      <c r="A9" s="49">
        <f>'A) Base RI'!A11</f>
        <v>5405</v>
      </c>
      <c r="B9" s="294" t="str">
        <f>'A) Base RI'!B11</f>
        <v>Gryon</v>
      </c>
      <c r="C9" s="95">
        <f>'B) D RI'!U11</f>
        <v>67043.99833693559</v>
      </c>
      <c r="D9" s="431">
        <f>'E) Fact soc'!G15/C9</f>
        <v>28.800227252811197</v>
      </c>
      <c r="E9" s="137">
        <f>'H) Péréquation directe'!I20/C9</f>
        <v>16.688493676340858</v>
      </c>
      <c r="F9" s="110">
        <f>+'I) Dépenses thématiques'!O9/'J) Plafonnement effort'!C9</f>
        <v>-11.023046743206811</v>
      </c>
      <c r="G9" s="137">
        <f t="shared" si="1"/>
        <v>34.46567418594524</v>
      </c>
      <c r="H9" s="432">
        <f>G9-'C) Prél. conj.'!I9</f>
        <v>22.710503036407523</v>
      </c>
      <c r="I9" s="436">
        <f t="shared" si="2"/>
        <v>0</v>
      </c>
      <c r="J9" s="55">
        <f t="shared" si="3"/>
        <v>0</v>
      </c>
      <c r="K9" s="432">
        <f t="shared" si="4"/>
        <v>22.710503036407523</v>
      </c>
    </row>
    <row r="10" spans="1:26" x14ac:dyDescent="0.25">
      <c r="A10" s="49">
        <f>'A) Base RI'!A12</f>
        <v>5406</v>
      </c>
      <c r="B10" s="294" t="str">
        <f>'A) Base RI'!B12</f>
        <v>Lavey-Morcles</v>
      </c>
      <c r="C10" s="95">
        <f>'B) D RI'!U12</f>
        <v>21182.431428934582</v>
      </c>
      <c r="D10" s="431">
        <f>'E) Fact soc'!G16/C10</f>
        <v>16.593001433982156</v>
      </c>
      <c r="E10" s="137">
        <f>'H) Péréquation directe'!I21/C10</f>
        <v>-5.3772393712864872</v>
      </c>
      <c r="F10" s="110">
        <f>+'I) Dépenses thématiques'!O10/'J) Plafonnement effort'!C10</f>
        <v>-4.0580011289952944</v>
      </c>
      <c r="G10" s="137">
        <f t="shared" si="1"/>
        <v>7.1577609337003745</v>
      </c>
      <c r="H10" s="432">
        <f>G10-'C) Prél. conj.'!I10</f>
        <v>5.9683620639565902</v>
      </c>
      <c r="I10" s="436">
        <f t="shared" si="2"/>
        <v>0</v>
      </c>
      <c r="J10" s="55">
        <f t="shared" si="3"/>
        <v>0</v>
      </c>
      <c r="K10" s="432">
        <f t="shared" si="4"/>
        <v>5.9683620639565902</v>
      </c>
    </row>
    <row r="11" spans="1:26" x14ac:dyDescent="0.25">
      <c r="A11" s="49">
        <f>'A) Base RI'!A13</f>
        <v>5407</v>
      </c>
      <c r="B11" s="294" t="str">
        <f>'A) Base RI'!B13</f>
        <v>Leysin</v>
      </c>
      <c r="C11" s="95">
        <f>'B) D RI'!U13</f>
        <v>87800.052646256067</v>
      </c>
      <c r="D11" s="431">
        <f>'E) Fact soc'!G17/C11</f>
        <v>17.946902576821245</v>
      </c>
      <c r="E11" s="137">
        <f>'H) Péréquation directe'!I22/C11</f>
        <v>-18.905359179739872</v>
      </c>
      <c r="F11" s="110">
        <f>+'I) Dépenses thématiques'!O11/'J) Plafonnement effort'!C11</f>
        <v>-21.488537673277225</v>
      </c>
      <c r="G11" s="137">
        <f t="shared" si="1"/>
        <v>-22.446994276195852</v>
      </c>
      <c r="H11" s="432">
        <f>G11-'C) Prél. conj.'!I11</f>
        <v>-24.990294288778724</v>
      </c>
      <c r="I11" s="436">
        <f t="shared" si="2"/>
        <v>0</v>
      </c>
      <c r="J11" s="55">
        <f t="shared" si="3"/>
        <v>0</v>
      </c>
      <c r="K11" s="432">
        <f t="shared" si="4"/>
        <v>-24.990294288778724</v>
      </c>
    </row>
    <row r="12" spans="1:26" x14ac:dyDescent="0.25">
      <c r="A12" s="49">
        <f>'A) Base RI'!A14</f>
        <v>5408</v>
      </c>
      <c r="B12" s="294" t="str">
        <f>'A) Base RI'!B14</f>
        <v>Noville</v>
      </c>
      <c r="C12" s="95">
        <f>'B) D RI'!U14</f>
        <v>34485.089397525851</v>
      </c>
      <c r="D12" s="431">
        <f>'E) Fact soc'!G18/C12</f>
        <v>22.963291680738209</v>
      </c>
      <c r="E12" s="137">
        <f>'H) Péréquation directe'!I23/C12</f>
        <v>4.5691490819431113</v>
      </c>
      <c r="F12" s="110">
        <f>+'I) Dépenses thématiques'!O12/'J) Plafonnement effort'!C12</f>
        <v>-5.7865370211620677</v>
      </c>
      <c r="G12" s="137">
        <f t="shared" si="1"/>
        <v>21.74590374151925</v>
      </c>
      <c r="H12" s="432">
        <f>G12-'C) Prél. conj.'!I12</f>
        <v>14.186214625019415</v>
      </c>
      <c r="I12" s="436">
        <f t="shared" si="2"/>
        <v>0</v>
      </c>
      <c r="J12" s="55">
        <f t="shared" si="3"/>
        <v>0</v>
      </c>
      <c r="K12" s="432">
        <f t="shared" si="4"/>
        <v>14.186214625019415</v>
      </c>
    </row>
    <row r="13" spans="1:26" x14ac:dyDescent="0.25">
      <c r="A13" s="49">
        <f>'A) Base RI'!A15</f>
        <v>5409</v>
      </c>
      <c r="B13" s="294" t="str">
        <f>'A) Base RI'!B15</f>
        <v>Ollon</v>
      </c>
      <c r="C13" s="95">
        <f>'B) D RI'!U15</f>
        <v>364239.90242657869</v>
      </c>
      <c r="D13" s="431">
        <f>'E) Fact soc'!G19/C13</f>
        <v>22.207340206623432</v>
      </c>
      <c r="E13" s="137">
        <f>'H) Péréquation directe'!I24/C13</f>
        <v>11.227275252581592</v>
      </c>
      <c r="F13" s="110">
        <f>+'I) Dépenses thématiques'!O13/'J) Plafonnement effort'!C13</f>
        <v>-6.355667326261754</v>
      </c>
      <c r="G13" s="137">
        <f t="shared" si="1"/>
        <v>27.078948132943268</v>
      </c>
      <c r="H13" s="432">
        <f>G13-'C) Prél. conj.'!I13</f>
        <v>21.387809569622764</v>
      </c>
      <c r="I13" s="436">
        <f t="shared" si="2"/>
        <v>0</v>
      </c>
      <c r="J13" s="55">
        <f t="shared" si="3"/>
        <v>0</v>
      </c>
      <c r="K13" s="432">
        <f t="shared" si="4"/>
        <v>21.387809569622764</v>
      </c>
    </row>
    <row r="14" spans="1:26" x14ac:dyDescent="0.25">
      <c r="A14" s="49">
        <f>'A) Base RI'!A16</f>
        <v>5410</v>
      </c>
      <c r="B14" s="294" t="str">
        <f>'A) Base RI'!B16</f>
        <v>Ormont-Dessous</v>
      </c>
      <c r="C14" s="95">
        <f>'B) D RI'!U16</f>
        <v>43203.907731880769</v>
      </c>
      <c r="D14" s="431">
        <f>'E) Fact soc'!G20/C14</f>
        <v>19.138625238609208</v>
      </c>
      <c r="E14" s="137">
        <f>'H) Péréquation directe'!I25/C14</f>
        <v>12.417073962816037</v>
      </c>
      <c r="F14" s="110">
        <f>+'I) Dépenses thématiques'!O14/'J) Plafonnement effort'!C14</f>
        <v>-20.927268402533088</v>
      </c>
      <c r="G14" s="137">
        <f t="shared" si="1"/>
        <v>10.628430798892158</v>
      </c>
      <c r="H14" s="432">
        <f>G14-'C) Prél. conj.'!I14</f>
        <v>6.8934081245213248</v>
      </c>
      <c r="I14" s="436">
        <f t="shared" si="2"/>
        <v>0</v>
      </c>
      <c r="J14" s="55">
        <f t="shared" si="3"/>
        <v>0</v>
      </c>
      <c r="K14" s="432">
        <f t="shared" si="4"/>
        <v>6.8934081245213248</v>
      </c>
    </row>
    <row r="15" spans="1:26" x14ac:dyDescent="0.25">
      <c r="A15" s="49">
        <f>'A) Base RI'!A17</f>
        <v>5411</v>
      </c>
      <c r="B15" s="294" t="str">
        <f>'A) Base RI'!B17</f>
        <v>Ormont-Dessus</v>
      </c>
      <c r="C15" s="95">
        <f>'B) D RI'!U17</f>
        <v>72610.798338858935</v>
      </c>
      <c r="D15" s="431">
        <f>'E) Fact soc'!G21/C15</f>
        <v>22.156162957060214</v>
      </c>
      <c r="E15" s="137">
        <f>'H) Péréquation directe'!I26/C15</f>
        <v>16.415081462209418</v>
      </c>
      <c r="F15" s="110">
        <f>+'I) Dépenses thématiques'!O15/'J) Plafonnement effort'!C15</f>
        <v>-11.710332537125787</v>
      </c>
      <c r="G15" s="137">
        <f t="shared" si="1"/>
        <v>26.860911882143846</v>
      </c>
      <c r="H15" s="432">
        <f>G15-'C) Prél. conj.'!I15</f>
        <v>21.739774688958654</v>
      </c>
      <c r="I15" s="436">
        <f t="shared" si="2"/>
        <v>0</v>
      </c>
      <c r="J15" s="55">
        <f t="shared" si="3"/>
        <v>0</v>
      </c>
      <c r="K15" s="432">
        <f t="shared" si="4"/>
        <v>21.739774688958654</v>
      </c>
    </row>
    <row r="16" spans="1:26" x14ac:dyDescent="0.25">
      <c r="A16" s="49">
        <f>'A) Base RI'!A18</f>
        <v>5412</v>
      </c>
      <c r="B16" s="294" t="str">
        <f>'A) Base RI'!B18</f>
        <v>Rennaz</v>
      </c>
      <c r="C16" s="95">
        <f>'B) D RI'!U18</f>
        <v>26466.15780602719</v>
      </c>
      <c r="D16" s="431">
        <f>'E) Fact soc'!G22/C16</f>
        <v>32.016323920410137</v>
      </c>
      <c r="E16" s="137">
        <f>'H) Péréquation directe'!I27/C16</f>
        <v>9.1566052706187744</v>
      </c>
      <c r="F16" s="110">
        <f>+'I) Dépenses thématiques'!O16/'J) Plafonnement effort'!C16</f>
        <v>-1.3138385884586934</v>
      </c>
      <c r="G16" s="137">
        <f t="shared" si="1"/>
        <v>39.85909060257022</v>
      </c>
      <c r="H16" s="432">
        <f>G16-'C) Prél. conj.'!I16</f>
        <v>23.246369246398451</v>
      </c>
      <c r="I16" s="436">
        <f t="shared" si="2"/>
        <v>0</v>
      </c>
      <c r="J16" s="55">
        <f t="shared" si="3"/>
        <v>0</v>
      </c>
      <c r="K16" s="432">
        <f t="shared" si="4"/>
        <v>23.246369246398451</v>
      </c>
    </row>
    <row r="17" spans="1:11" x14ac:dyDescent="0.25">
      <c r="A17" s="49">
        <f>'A) Base RI'!A19</f>
        <v>5413</v>
      </c>
      <c r="B17" s="294" t="str">
        <f>'A) Base RI'!B19</f>
        <v>Roche</v>
      </c>
      <c r="C17" s="95">
        <f>'B) D RI'!U19</f>
        <v>37990.385509658925</v>
      </c>
      <c r="D17" s="431">
        <f>'E) Fact soc'!G23/C17</f>
        <v>21.965981088578815</v>
      </c>
      <c r="E17" s="137">
        <f>'H) Péréquation directe'!I28/C17</f>
        <v>-10.258963672469624</v>
      </c>
      <c r="F17" s="110">
        <f>+'I) Dépenses thématiques'!O17/'J) Plafonnement effort'!C17</f>
        <v>-1.0066243596910498</v>
      </c>
      <c r="G17" s="137">
        <f t="shared" si="1"/>
        <v>10.70039305641814</v>
      </c>
      <c r="H17" s="432">
        <f>G17-'C) Prél. conj.'!I17</f>
        <v>4.1380145320776984</v>
      </c>
      <c r="I17" s="436">
        <f t="shared" si="2"/>
        <v>0</v>
      </c>
      <c r="J17" s="55">
        <f t="shared" si="3"/>
        <v>0</v>
      </c>
      <c r="K17" s="432">
        <f t="shared" si="4"/>
        <v>4.1380145320776984</v>
      </c>
    </row>
    <row r="18" spans="1:11" x14ac:dyDescent="0.25">
      <c r="A18" s="49">
        <f>'A) Base RI'!A20</f>
        <v>5414</v>
      </c>
      <c r="B18" s="294" t="str">
        <f>'A) Base RI'!B20</f>
        <v>Villeneuve</v>
      </c>
      <c r="C18" s="95">
        <f>'B) D RI'!U20</f>
        <v>165545.36815921174</v>
      </c>
      <c r="D18" s="431">
        <f>'E) Fact soc'!G24/C18</f>
        <v>22.953085034796132</v>
      </c>
      <c r="E18" s="137">
        <f>'H) Péréquation directe'!I29/C18</f>
        <v>-4.1738244020911264</v>
      </c>
      <c r="F18" s="110">
        <f>+'I) Dépenses thématiques'!O18/'J) Plafonnement effort'!C18</f>
        <v>-11.384144198452828</v>
      </c>
      <c r="G18" s="137">
        <f t="shared" si="1"/>
        <v>7.3951164342521754</v>
      </c>
      <c r="H18" s="432">
        <f>G18-'C) Prél. conj.'!I18</f>
        <v>-0.15436603630558565</v>
      </c>
      <c r="I18" s="436">
        <f t="shared" si="2"/>
        <v>0</v>
      </c>
      <c r="J18" s="55">
        <f t="shared" si="3"/>
        <v>0</v>
      </c>
      <c r="K18" s="432">
        <f t="shared" si="4"/>
        <v>-0.15436603630558565</v>
      </c>
    </row>
    <row r="19" spans="1:11" x14ac:dyDescent="0.25">
      <c r="A19" s="49">
        <f>'A) Base RI'!A21</f>
        <v>5415</v>
      </c>
      <c r="B19" s="294" t="str">
        <f>'A) Base RI'!B21</f>
        <v>Yvorne</v>
      </c>
      <c r="C19" s="95">
        <f>'B) D RI'!U21</f>
        <v>33364.537599401883</v>
      </c>
      <c r="D19" s="431">
        <f>'E) Fact soc'!G25/C19</f>
        <v>17.835054663890858</v>
      </c>
      <c r="E19" s="137">
        <f>'H) Péréquation directe'!I30/C19</f>
        <v>7.0627044034148199</v>
      </c>
      <c r="F19" s="110">
        <f>+'I) Dépenses thématiques'!O19/'J) Plafonnement effort'!C19</f>
        <v>-3.2319452709352832</v>
      </c>
      <c r="G19" s="137">
        <f t="shared" si="1"/>
        <v>21.665813796370394</v>
      </c>
      <c r="H19" s="432">
        <f>G19-'C) Prél. conj.'!I19</f>
        <v>19.234361696717908</v>
      </c>
      <c r="I19" s="436">
        <f t="shared" si="2"/>
        <v>0</v>
      </c>
      <c r="J19" s="55">
        <f t="shared" si="3"/>
        <v>0</v>
      </c>
      <c r="K19" s="432">
        <f t="shared" si="4"/>
        <v>19.234361696717908</v>
      </c>
    </row>
    <row r="20" spans="1:11" x14ac:dyDescent="0.25">
      <c r="A20" s="49">
        <f>'A) Base RI'!A22</f>
        <v>5421</v>
      </c>
      <c r="B20" s="294" t="str">
        <f>'A) Base RI'!B22</f>
        <v>Apples</v>
      </c>
      <c r="C20" s="95">
        <f>'B) D RI'!U22</f>
        <v>66975.284470984901</v>
      </c>
      <c r="D20" s="431">
        <f>'E) Fact soc'!G26/C20</f>
        <v>17.147470633403138</v>
      </c>
      <c r="E20" s="137">
        <f>'H) Péréquation directe'!I31/C20</f>
        <v>15.969590877760798</v>
      </c>
      <c r="F20" s="110">
        <f>+'I) Dépenses thématiques'!O20/'J) Plafonnement effort'!C20</f>
        <v>-2.4024258502284979</v>
      </c>
      <c r="G20" s="137">
        <f t="shared" si="1"/>
        <v>30.714635660935443</v>
      </c>
      <c r="H20" s="432">
        <f>G20-'C) Prél. conj.'!I20</f>
        <v>29.226506557979885</v>
      </c>
      <c r="I20" s="436">
        <f t="shared" si="2"/>
        <v>0</v>
      </c>
      <c r="J20" s="55">
        <f t="shared" si="3"/>
        <v>0</v>
      </c>
      <c r="K20" s="432">
        <f t="shared" si="4"/>
        <v>29.226506557979885</v>
      </c>
    </row>
    <row r="21" spans="1:11" x14ac:dyDescent="0.25">
      <c r="A21" s="49">
        <f>'A) Base RI'!A23</f>
        <v>5422</v>
      </c>
      <c r="B21" s="294" t="str">
        <f>'A) Base RI'!B23</f>
        <v>Aubonne</v>
      </c>
      <c r="C21" s="95">
        <f>'B) D RI'!U23</f>
        <v>225566.61726643931</v>
      </c>
      <c r="D21" s="431">
        <f>'E) Fact soc'!G27/C21</f>
        <v>28.410422572017342</v>
      </c>
      <c r="E21" s="137">
        <f>'H) Péréquation directe'!I32/C21</f>
        <v>16.092847989397264</v>
      </c>
      <c r="F21" s="110">
        <f>+'I) Dépenses thématiques'!O21/'J) Plafonnement effort'!C21</f>
        <v>0</v>
      </c>
      <c r="G21" s="137">
        <f t="shared" si="1"/>
        <v>44.50327056141461</v>
      </c>
      <c r="H21" s="432">
        <f>G21-'C) Prél. conj.'!I21</f>
        <v>38.105870438614161</v>
      </c>
      <c r="I21" s="436">
        <f t="shared" si="2"/>
        <v>0</v>
      </c>
      <c r="J21" s="55">
        <f t="shared" si="3"/>
        <v>0</v>
      </c>
      <c r="K21" s="432">
        <f t="shared" si="4"/>
        <v>38.105870438614161</v>
      </c>
    </row>
    <row r="22" spans="1:11" x14ac:dyDescent="0.25">
      <c r="A22" s="49">
        <f>'A) Base RI'!A24</f>
        <v>5423</v>
      </c>
      <c r="B22" s="294" t="str">
        <f>'A) Base RI'!B24</f>
        <v>Ballens</v>
      </c>
      <c r="C22" s="95">
        <f>'B) D RI'!U24</f>
        <v>13546.834391748147</v>
      </c>
      <c r="D22" s="431">
        <f>'E) Fact soc'!G28/C22</f>
        <v>17.115076575770015</v>
      </c>
      <c r="E22" s="137">
        <f>'H) Péréquation directe'!I33/C22</f>
        <v>-1.0507330149941954</v>
      </c>
      <c r="F22" s="110">
        <f>+'I) Dépenses thématiques'!O22/'J) Plafonnement effort'!C22</f>
        <v>-7.1678127369501734</v>
      </c>
      <c r="G22" s="137">
        <f t="shared" si="1"/>
        <v>8.8965308238256444</v>
      </c>
      <c r="H22" s="432">
        <f>G22-'C) Prél. conj.'!I22</f>
        <v>7.1850568122940031</v>
      </c>
      <c r="I22" s="436">
        <f t="shared" si="2"/>
        <v>0</v>
      </c>
      <c r="J22" s="55">
        <f t="shared" si="3"/>
        <v>0</v>
      </c>
      <c r="K22" s="432">
        <f t="shared" si="4"/>
        <v>7.1850568122940031</v>
      </c>
    </row>
    <row r="23" spans="1:11" x14ac:dyDescent="0.25">
      <c r="A23" s="49">
        <f>'A) Base RI'!A25</f>
        <v>5424</v>
      </c>
      <c r="B23" s="294" t="str">
        <f>'A) Base RI'!B25</f>
        <v>Berolle</v>
      </c>
      <c r="C23" s="95">
        <f>'B) D RI'!U25</f>
        <v>9307.5930888942275</v>
      </c>
      <c r="D23" s="431">
        <f>'E) Fact soc'!G29/C23</f>
        <v>15.863031222019115</v>
      </c>
      <c r="E23" s="137">
        <f>'H) Péréquation directe'!I34/C23</f>
        <v>4.8822044608581097</v>
      </c>
      <c r="F23" s="110">
        <f>+'I) Dépenses thématiques'!O23/'J) Plafonnement effort'!C23</f>
        <v>-4.0219065480730567</v>
      </c>
      <c r="G23" s="137">
        <f t="shared" si="1"/>
        <v>16.723329134804167</v>
      </c>
      <c r="H23" s="432">
        <f>G23-'C) Prél. conj.'!I23</f>
        <v>16.263900477023423</v>
      </c>
      <c r="I23" s="436">
        <f t="shared" si="2"/>
        <v>0</v>
      </c>
      <c r="J23" s="55">
        <f t="shared" si="3"/>
        <v>0</v>
      </c>
      <c r="K23" s="432">
        <f t="shared" si="4"/>
        <v>16.263900477023423</v>
      </c>
    </row>
    <row r="24" spans="1:11" x14ac:dyDescent="0.25">
      <c r="A24" s="49">
        <f>'A) Base RI'!A26</f>
        <v>5425</v>
      </c>
      <c r="B24" s="294" t="str">
        <f>'A) Base RI'!B26</f>
        <v>Bière</v>
      </c>
      <c r="C24" s="95">
        <f>'B) D RI'!U26</f>
        <v>38506.775780608448</v>
      </c>
      <c r="D24" s="431">
        <f>'E) Fact soc'!G30/C24</f>
        <v>17.845031847635898</v>
      </c>
      <c r="E24" s="137">
        <f>'H) Péréquation directe'!I35/C24</f>
        <v>-5.0558964419000878</v>
      </c>
      <c r="F24" s="110">
        <f>+'I) Dépenses thématiques'!O24/'J) Plafonnement effort'!C24</f>
        <v>-11.688109361109476</v>
      </c>
      <c r="G24" s="137">
        <f t="shared" si="1"/>
        <v>1.1010260446263338</v>
      </c>
      <c r="H24" s="432">
        <f>G24-'C) Prél. conj.'!I24</f>
        <v>-1.3404032387711902</v>
      </c>
      <c r="I24" s="436">
        <f t="shared" si="2"/>
        <v>0</v>
      </c>
      <c r="J24" s="55">
        <f t="shared" si="3"/>
        <v>0</v>
      </c>
      <c r="K24" s="432">
        <f t="shared" si="4"/>
        <v>-1.3404032387711902</v>
      </c>
    </row>
    <row r="25" spans="1:11" x14ac:dyDescent="0.25">
      <c r="A25" s="49">
        <f>'A) Base RI'!A27</f>
        <v>5426</v>
      </c>
      <c r="B25" s="294" t="str">
        <f>'A) Base RI'!B27</f>
        <v>Bougy-Villars</v>
      </c>
      <c r="C25" s="95">
        <f>'B) D RI'!U27</f>
        <v>50656.587213056948</v>
      </c>
      <c r="D25" s="431">
        <f>'E) Fact soc'!G31/C25</f>
        <v>51.801534949641358</v>
      </c>
      <c r="E25" s="137">
        <f>'H) Péréquation directe'!I36/C25</f>
        <v>19.074606087540747</v>
      </c>
      <c r="F25" s="110">
        <f>+'I) Dépenses thématiques'!O25/'J) Plafonnement effort'!C25</f>
        <v>0</v>
      </c>
      <c r="G25" s="137">
        <f t="shared" si="1"/>
        <v>70.876141037182109</v>
      </c>
      <c r="H25" s="432">
        <f>G25-'C) Prél. conj.'!I25</f>
        <v>48.304659164726139</v>
      </c>
      <c r="I25" s="436">
        <f t="shared" si="2"/>
        <v>-0.30465916472613941</v>
      </c>
      <c r="J25" s="55">
        <f t="shared" si="3"/>
        <v>-15432.993548206763</v>
      </c>
      <c r="K25" s="432">
        <f t="shared" si="4"/>
        <v>48</v>
      </c>
    </row>
    <row r="26" spans="1:11" x14ac:dyDescent="0.25">
      <c r="A26" s="49">
        <f>'A) Base RI'!A28</f>
        <v>5427</v>
      </c>
      <c r="B26" s="294" t="str">
        <f>'A) Base RI'!B28</f>
        <v>Féchy</v>
      </c>
      <c r="C26" s="95">
        <f>'B) D RI'!U28</f>
        <v>72785.387066428128</v>
      </c>
      <c r="D26" s="431">
        <f>'E) Fact soc'!G32/C26</f>
        <v>28.035518466394134</v>
      </c>
      <c r="E26" s="137">
        <f>'H) Péréquation directe'!I37/C26</f>
        <v>18.807052829933387</v>
      </c>
      <c r="F26" s="110">
        <f>+'I) Dépenses thématiques'!O26/'J) Plafonnement effort'!C26</f>
        <v>0</v>
      </c>
      <c r="G26" s="137">
        <f t="shared" si="1"/>
        <v>46.84257129632752</v>
      </c>
      <c r="H26" s="432">
        <f>G26-'C) Prél. conj.'!I26</f>
        <v>43.879190339059981</v>
      </c>
      <c r="I26" s="436">
        <f t="shared" si="2"/>
        <v>0</v>
      </c>
      <c r="J26" s="55">
        <f t="shared" si="3"/>
        <v>0</v>
      </c>
      <c r="K26" s="432">
        <f t="shared" si="4"/>
        <v>43.879190339059981</v>
      </c>
    </row>
    <row r="27" spans="1:11" x14ac:dyDescent="0.25">
      <c r="A27" s="49">
        <f>'A) Base RI'!A29</f>
        <v>5428</v>
      </c>
      <c r="B27" s="294" t="str">
        <f>'A) Base RI'!B29</f>
        <v>Gimel</v>
      </c>
      <c r="C27" s="95">
        <f>'B) D RI'!U29</f>
        <v>58910.135180018216</v>
      </c>
      <c r="D27" s="431">
        <f>'E) Fact soc'!G33/C27</f>
        <v>22.545961408166423</v>
      </c>
      <c r="E27" s="137">
        <f>'H) Péréquation directe'!I38/C27</f>
        <v>-2.3613609766807251</v>
      </c>
      <c r="F27" s="110">
        <f>+'I) Dépenses thématiques'!O27/'J) Plafonnement effort'!C27</f>
        <v>-4.2539294765017646</v>
      </c>
      <c r="G27" s="137">
        <f t="shared" si="1"/>
        <v>15.930670954983935</v>
      </c>
      <c r="H27" s="432">
        <f>G27-'C) Prél. conj.'!I27</f>
        <v>8.7883121110558857</v>
      </c>
      <c r="I27" s="436">
        <f t="shared" si="2"/>
        <v>0</v>
      </c>
      <c r="J27" s="55">
        <f t="shared" si="3"/>
        <v>0</v>
      </c>
      <c r="K27" s="432">
        <f t="shared" si="4"/>
        <v>8.7883121110558857</v>
      </c>
    </row>
    <row r="28" spans="1:11" x14ac:dyDescent="0.25">
      <c r="A28" s="49">
        <f>'A) Base RI'!A30</f>
        <v>5429</v>
      </c>
      <c r="B28" s="294" t="str">
        <f>'A) Base RI'!B30</f>
        <v>Longirod</v>
      </c>
      <c r="C28" s="95">
        <f>'B) D RI'!U30</f>
        <v>13766.784256066006</v>
      </c>
      <c r="D28" s="431">
        <f>'E) Fact soc'!G34/C28</f>
        <v>18.047117514649862</v>
      </c>
      <c r="E28" s="137">
        <f>'H) Péréquation directe'!I39/C28</f>
        <v>1.4308396909093879</v>
      </c>
      <c r="F28" s="110">
        <f>+'I) Dépenses thématiques'!O28/'J) Plafonnement effort'!C28</f>
        <v>-9.7623870646746145</v>
      </c>
      <c r="G28" s="137">
        <f t="shared" si="1"/>
        <v>9.7155701408846351</v>
      </c>
      <c r="H28" s="432">
        <f>G28-'C) Prél. conj.'!I28</f>
        <v>7.0720551904731455</v>
      </c>
      <c r="I28" s="436">
        <f t="shared" si="2"/>
        <v>0</v>
      </c>
      <c r="J28" s="55">
        <f t="shared" si="3"/>
        <v>0</v>
      </c>
      <c r="K28" s="432">
        <f t="shared" si="4"/>
        <v>7.0720551904731455</v>
      </c>
    </row>
    <row r="29" spans="1:11" x14ac:dyDescent="0.25">
      <c r="A29" s="49">
        <f>'A) Base RI'!A31</f>
        <v>5430</v>
      </c>
      <c r="B29" s="294" t="str">
        <f>'A) Base RI'!B31</f>
        <v>Marchissy</v>
      </c>
      <c r="C29" s="95">
        <f>'B) D RI'!U31</f>
        <v>13685.946067131534</v>
      </c>
      <c r="D29" s="431">
        <f>'E) Fact soc'!G35/C29</f>
        <v>18.094462576352875</v>
      </c>
      <c r="E29" s="137">
        <f>'H) Péréquation directe'!I40/C29</f>
        <v>3.2411673456454366</v>
      </c>
      <c r="F29" s="110">
        <f>+'I) Dépenses thématiques'!O29/'J) Plafonnement effort'!C29</f>
        <v>-5.9705309362952903</v>
      </c>
      <c r="G29" s="137">
        <f t="shared" si="1"/>
        <v>15.365098985703021</v>
      </c>
      <c r="H29" s="432">
        <f>G29-'C) Prél. conj.'!I29</f>
        <v>12.674238973588517</v>
      </c>
      <c r="I29" s="436">
        <f t="shared" si="2"/>
        <v>0</v>
      </c>
      <c r="J29" s="55">
        <f t="shared" si="3"/>
        <v>0</v>
      </c>
      <c r="K29" s="432">
        <f t="shared" si="4"/>
        <v>12.674238973588517</v>
      </c>
    </row>
    <row r="30" spans="1:11" x14ac:dyDescent="0.25">
      <c r="A30" s="49">
        <f>'A) Base RI'!A32</f>
        <v>5431</v>
      </c>
      <c r="B30" s="294" t="str">
        <f>'A) Base RI'!B32</f>
        <v>Mollens</v>
      </c>
      <c r="C30" s="95">
        <f>'B) D RI'!U32</f>
        <v>8631.0396252458468</v>
      </c>
      <c r="D30" s="431">
        <f>'E) Fact soc'!G36/C30</f>
        <v>20.920610024234094</v>
      </c>
      <c r="E30" s="137">
        <f>'H) Péréquation directe'!I41/C30</f>
        <v>5.9590468779988077</v>
      </c>
      <c r="F30" s="110">
        <f>+'I) Dépenses thématiques'!O30/'J) Plafonnement effort'!C30</f>
        <v>-6.4046582509732408</v>
      </c>
      <c r="G30" s="137">
        <f t="shared" si="1"/>
        <v>20.474998651259661</v>
      </c>
      <c r="H30" s="432">
        <f>G30-'C) Prél. conj.'!I30</f>
        <v>14.95799119126394</v>
      </c>
      <c r="I30" s="436">
        <f t="shared" si="2"/>
        <v>0</v>
      </c>
      <c r="J30" s="55">
        <f t="shared" si="3"/>
        <v>0</v>
      </c>
      <c r="K30" s="432">
        <f t="shared" si="4"/>
        <v>14.95799119126394</v>
      </c>
    </row>
    <row r="31" spans="1:11" x14ac:dyDescent="0.25">
      <c r="A31" s="49">
        <f>'A) Base RI'!A33</f>
        <v>5432</v>
      </c>
      <c r="B31" s="294" t="str">
        <f>'A) Base RI'!B33</f>
        <v>Montherod</v>
      </c>
      <c r="C31" s="95">
        <f>'B) D RI'!U33</f>
        <v>18119.784125682436</v>
      </c>
      <c r="D31" s="431">
        <f>'E) Fact soc'!G37/C31</f>
        <v>16.927436115923147</v>
      </c>
      <c r="E31" s="137">
        <f>'H) Péréquation directe'!I42/C31</f>
        <v>8.702445044425323</v>
      </c>
      <c r="F31" s="110">
        <f>+'I) Dépenses thématiques'!O31/'J) Plafonnement effort'!C31</f>
        <v>-1.369852107017169</v>
      </c>
      <c r="G31" s="137">
        <f t="shared" si="1"/>
        <v>24.260029053331298</v>
      </c>
      <c r="H31" s="432">
        <f>G31-'C) Prél. conj.'!I31</f>
        <v>22.736195501646527</v>
      </c>
      <c r="I31" s="436">
        <f t="shared" si="2"/>
        <v>0</v>
      </c>
      <c r="J31" s="55">
        <f t="shared" si="3"/>
        <v>0</v>
      </c>
      <c r="K31" s="432">
        <f t="shared" si="4"/>
        <v>22.736195501646527</v>
      </c>
    </row>
    <row r="32" spans="1:11" x14ac:dyDescent="0.25">
      <c r="A32" s="49">
        <f>'A) Base RI'!A34</f>
        <v>5434</v>
      </c>
      <c r="B32" s="294" t="str">
        <f>'A) Base RI'!B34</f>
        <v>Saint-George</v>
      </c>
      <c r="C32" s="95">
        <f>'B) D RI'!U34</f>
        <v>36673.941124861783</v>
      </c>
      <c r="D32" s="431">
        <f>'E) Fact soc'!G38/C32</f>
        <v>20.144544079305913</v>
      </c>
      <c r="E32" s="137">
        <f>'H) Péréquation directe'!I43/C32</f>
        <v>11.367086307197221</v>
      </c>
      <c r="F32" s="110">
        <f>+'I) Dépenses thématiques'!O32/'J) Plafonnement effort'!C32</f>
        <v>-2.9170125162244922</v>
      </c>
      <c r="G32" s="137">
        <f t="shared" si="1"/>
        <v>28.594617870278643</v>
      </c>
      <c r="H32" s="432">
        <f>G32-'C) Prél. conj.'!I32</f>
        <v>23.853676355211103</v>
      </c>
      <c r="I32" s="436">
        <f t="shared" si="2"/>
        <v>0</v>
      </c>
      <c r="J32" s="55">
        <f t="shared" si="3"/>
        <v>0</v>
      </c>
      <c r="K32" s="432">
        <f t="shared" si="4"/>
        <v>23.853676355211103</v>
      </c>
    </row>
    <row r="33" spans="1:11" x14ac:dyDescent="0.25">
      <c r="A33" s="49">
        <f>'A) Base RI'!A35</f>
        <v>5435</v>
      </c>
      <c r="B33" s="294" t="str">
        <f>'A) Base RI'!B35</f>
        <v>Saint-Livres</v>
      </c>
      <c r="C33" s="95">
        <f>'B) D RI'!U35</f>
        <v>24134.317552979472</v>
      </c>
      <c r="D33" s="431">
        <f>'E) Fact soc'!G39/C33</f>
        <v>17.239693015220666</v>
      </c>
      <c r="E33" s="137">
        <f>'H) Péréquation directe'!I44/C33</f>
        <v>11.382005839170704</v>
      </c>
      <c r="F33" s="110">
        <f>+'I) Dépenses thématiques'!O33/'J) Plafonnement effort'!C33</f>
        <v>-1.1721056179177096</v>
      </c>
      <c r="G33" s="137">
        <f t="shared" si="1"/>
        <v>27.44959323647366</v>
      </c>
      <c r="H33" s="432">
        <f>G33-'C) Prél. conj.'!I33</f>
        <v>25.613502785491367</v>
      </c>
      <c r="I33" s="436">
        <f t="shared" si="2"/>
        <v>0</v>
      </c>
      <c r="J33" s="55">
        <f t="shared" si="3"/>
        <v>0</v>
      </c>
      <c r="K33" s="432">
        <f t="shared" si="4"/>
        <v>25.613502785491367</v>
      </c>
    </row>
    <row r="34" spans="1:11" x14ac:dyDescent="0.25">
      <c r="A34" s="49">
        <f>'A) Base RI'!A36</f>
        <v>5436</v>
      </c>
      <c r="B34" s="294" t="str">
        <f>'A) Base RI'!B36</f>
        <v>Saint-Oyens</v>
      </c>
      <c r="C34" s="95">
        <f>'B) D RI'!U36</f>
        <v>15081.317332619743</v>
      </c>
      <c r="D34" s="431">
        <f>'E) Fact soc'!G40/C34</f>
        <v>19.198856237218241</v>
      </c>
      <c r="E34" s="137">
        <f>'H) Péréquation directe'!I45/C34</f>
        <v>7.9227449531455214</v>
      </c>
      <c r="F34" s="110">
        <f>+'I) Dépenses thématiques'!O34/'J) Plafonnement effort'!C34</f>
        <v>-8.8001708511512593</v>
      </c>
      <c r="G34" s="137">
        <f t="shared" si="1"/>
        <v>18.321430339212505</v>
      </c>
      <c r="H34" s="432">
        <f>G34-'C) Prél. conj.'!I34</f>
        <v>14.526176666232638</v>
      </c>
      <c r="I34" s="436">
        <f t="shared" si="2"/>
        <v>0</v>
      </c>
      <c r="J34" s="55">
        <f t="shared" si="3"/>
        <v>0</v>
      </c>
      <c r="K34" s="432">
        <f t="shared" si="4"/>
        <v>14.526176666232638</v>
      </c>
    </row>
    <row r="35" spans="1:11" x14ac:dyDescent="0.25">
      <c r="A35" s="49">
        <f>'A) Base RI'!A37</f>
        <v>5437</v>
      </c>
      <c r="B35" s="294" t="str">
        <f>'A) Base RI'!B37</f>
        <v>Saubraz</v>
      </c>
      <c r="C35" s="95">
        <f>'B) D RI'!U37</f>
        <v>11367.539443741156</v>
      </c>
      <c r="D35" s="431">
        <f>'E) Fact soc'!G41/C35</f>
        <v>19.007018695119118</v>
      </c>
      <c r="E35" s="137">
        <f>'H) Péréquation directe'!I46/C35</f>
        <v>-0.80766366225117658</v>
      </c>
      <c r="F35" s="110">
        <f>+'I) Dépenses thématiques'!O35/'J) Plafonnement effort'!C35</f>
        <v>-3.701601232832751</v>
      </c>
      <c r="G35" s="137">
        <f t="shared" si="1"/>
        <v>14.497753800035191</v>
      </c>
      <c r="H35" s="432">
        <f>G35-'C) Prél. conj.'!I35</f>
        <v>10.894337669154448</v>
      </c>
      <c r="I35" s="436">
        <f t="shared" si="2"/>
        <v>0</v>
      </c>
      <c r="J35" s="55">
        <f t="shared" si="3"/>
        <v>0</v>
      </c>
      <c r="K35" s="432">
        <f t="shared" si="4"/>
        <v>10.894337669154448</v>
      </c>
    </row>
    <row r="36" spans="1:11" x14ac:dyDescent="0.25">
      <c r="A36" s="49">
        <f>'A) Base RI'!A38</f>
        <v>5451</v>
      </c>
      <c r="B36" s="294" t="str">
        <f>'A) Base RI'!B38</f>
        <v>Avenches</v>
      </c>
      <c r="C36" s="95">
        <f>'B) D RI'!U38</f>
        <v>129470.05703979287</v>
      </c>
      <c r="D36" s="431">
        <f>'E) Fact soc'!G42/C36</f>
        <v>20.748992887093422</v>
      </c>
      <c r="E36" s="137">
        <f>'H) Péréquation directe'!I47/C36</f>
        <v>9.8714695666046778E-2</v>
      </c>
      <c r="F36" s="110">
        <f>+'I) Dépenses thématiques'!O36/'J) Plafonnement effort'!C36</f>
        <v>-10.822636909582062</v>
      </c>
      <c r="G36" s="137">
        <f t="shared" si="1"/>
        <v>10.025070673177407</v>
      </c>
      <c r="H36" s="432">
        <f>G36-'C) Prél. conj.'!I36</f>
        <v>4.6796803503223581</v>
      </c>
      <c r="I36" s="436">
        <f t="shared" si="2"/>
        <v>0</v>
      </c>
      <c r="J36" s="55">
        <f t="shared" si="3"/>
        <v>0</v>
      </c>
      <c r="K36" s="432">
        <f t="shared" si="4"/>
        <v>4.6796803503223581</v>
      </c>
    </row>
    <row r="37" spans="1:11" x14ac:dyDescent="0.25">
      <c r="A37" s="49">
        <f>'A) Base RI'!A39</f>
        <v>5456</v>
      </c>
      <c r="B37" s="294" t="str">
        <f>'A) Base RI'!B39</f>
        <v>Cudrefin</v>
      </c>
      <c r="C37" s="95">
        <f>'B) D RI'!U39</f>
        <v>57775.409957876167</v>
      </c>
      <c r="D37" s="431">
        <f>'E) Fact soc'!G43/C37</f>
        <v>19.861410309571202</v>
      </c>
      <c r="E37" s="137">
        <f>'H) Péréquation directe'!I48/C37</f>
        <v>10.594923258043007</v>
      </c>
      <c r="F37" s="110">
        <f>+'I) Dépenses thématiques'!O37/'J) Plafonnement effort'!C37</f>
        <v>-5.1948265439691399</v>
      </c>
      <c r="G37" s="137">
        <f t="shared" si="1"/>
        <v>25.26150702364507</v>
      </c>
      <c r="H37" s="432">
        <f>G37-'C) Prél. conj.'!I37</f>
        <v>20.803699278312237</v>
      </c>
      <c r="I37" s="436">
        <f t="shared" si="2"/>
        <v>0</v>
      </c>
      <c r="J37" s="55">
        <f t="shared" si="3"/>
        <v>0</v>
      </c>
      <c r="K37" s="432">
        <f t="shared" si="4"/>
        <v>20.803699278312237</v>
      </c>
    </row>
    <row r="38" spans="1:11" x14ac:dyDescent="0.25">
      <c r="A38" s="49">
        <f>'A) Base RI'!A40</f>
        <v>5458</v>
      </c>
      <c r="B38" s="294" t="str">
        <f>'A) Base RI'!B40</f>
        <v>Faoug</v>
      </c>
      <c r="C38" s="95">
        <f>'B) D RI'!U40</f>
        <v>30027.038437033407</v>
      </c>
      <c r="D38" s="431">
        <f>'E) Fact soc'!G44/C38</f>
        <v>19.571100643091974</v>
      </c>
      <c r="E38" s="137">
        <f>'H) Péréquation directe'!I49/C38</f>
        <v>10.830230951426572</v>
      </c>
      <c r="F38" s="110">
        <f>+'I) Dépenses thématiques'!O38/'J) Plafonnement effort'!C38</f>
        <v>-3.2283538166469223</v>
      </c>
      <c r="G38" s="137">
        <f t="shared" si="1"/>
        <v>27.172977777871623</v>
      </c>
      <c r="H38" s="432">
        <f>G38-'C) Prél. conj.'!I38</f>
        <v>23.005479699018021</v>
      </c>
      <c r="I38" s="436">
        <f t="shared" si="2"/>
        <v>0</v>
      </c>
      <c r="J38" s="55">
        <f t="shared" si="3"/>
        <v>0</v>
      </c>
      <c r="K38" s="432">
        <f t="shared" si="4"/>
        <v>23.005479699018021</v>
      </c>
    </row>
    <row r="39" spans="1:11" x14ac:dyDescent="0.25">
      <c r="A39" s="49">
        <f>'A) Base RI'!A41</f>
        <v>5464</v>
      </c>
      <c r="B39" s="294" t="str">
        <f>'A) Base RI'!B41</f>
        <v>Vully-les-Lacs</v>
      </c>
      <c r="C39" s="95">
        <f>'B) D RI'!U41</f>
        <v>103697.32714902573</v>
      </c>
      <c r="D39" s="431">
        <f>'E) Fact soc'!G45/C39</f>
        <v>19.163295660664176</v>
      </c>
      <c r="E39" s="137">
        <f>'H) Péréquation directe'!I50/C39</f>
        <v>4.9936370734219686</v>
      </c>
      <c r="F39" s="110">
        <f>+'I) Dépenses thématiques'!O39/'J) Plafonnement effort'!C39</f>
        <v>-5.8586256092912965</v>
      </c>
      <c r="G39" s="137">
        <f t="shared" si="1"/>
        <v>18.298307124794846</v>
      </c>
      <c r="H39" s="432">
        <f>G39-'C) Prél. conj.'!I39</f>
        <v>14.538614028369043</v>
      </c>
      <c r="I39" s="436">
        <f t="shared" si="2"/>
        <v>0</v>
      </c>
      <c r="J39" s="55">
        <f t="shared" si="3"/>
        <v>0</v>
      </c>
      <c r="K39" s="432">
        <f t="shared" si="4"/>
        <v>14.538614028369043</v>
      </c>
    </row>
    <row r="40" spans="1:11" x14ac:dyDescent="0.25">
      <c r="A40" s="49">
        <f>'A) Base RI'!A42</f>
        <v>5471</v>
      </c>
      <c r="B40" s="294" t="str">
        <f>'A) Base RI'!B42</f>
        <v>Bettens</v>
      </c>
      <c r="C40" s="95">
        <f>'B) D RI'!U42</f>
        <v>18256.794083184803</v>
      </c>
      <c r="D40" s="431">
        <f>'E) Fact soc'!G46/C40</f>
        <v>17.400703196138565</v>
      </c>
      <c r="E40" s="137">
        <f>'H) Péréquation directe'!I51/C40</f>
        <v>7.3967215833800113</v>
      </c>
      <c r="F40" s="110">
        <f>+'I) Dépenses thématiques'!O40/'J) Plafonnement effort'!C40</f>
        <v>-2.1076509668364132</v>
      </c>
      <c r="G40" s="137">
        <f t="shared" si="1"/>
        <v>22.689773812682162</v>
      </c>
      <c r="H40" s="432">
        <f>G40-'C) Prél. conj.'!I40</f>
        <v>20.692673180781973</v>
      </c>
      <c r="I40" s="436">
        <f t="shared" si="2"/>
        <v>0</v>
      </c>
      <c r="J40" s="55">
        <f t="shared" si="3"/>
        <v>0</v>
      </c>
      <c r="K40" s="432">
        <f t="shared" si="4"/>
        <v>20.692673180781973</v>
      </c>
    </row>
    <row r="41" spans="1:11" x14ac:dyDescent="0.25">
      <c r="A41" s="49">
        <f>'A) Base RI'!A43</f>
        <v>5472</v>
      </c>
      <c r="B41" s="294" t="str">
        <f>'A) Base RI'!B43</f>
        <v>Bournens</v>
      </c>
      <c r="C41" s="95">
        <f>'B) D RI'!U43</f>
        <v>16446.057551579073</v>
      </c>
      <c r="D41" s="431">
        <f>'E) Fact soc'!G47/C41</f>
        <v>16.674945251348966</v>
      </c>
      <c r="E41" s="137">
        <f>'H) Péréquation directe'!I52/C41</f>
        <v>14.891954026225097</v>
      </c>
      <c r="F41" s="110">
        <f>+'I) Dépenses thématiques'!O41/'J) Plafonnement effort'!C41</f>
        <v>-1.5058124422028738</v>
      </c>
      <c r="G41" s="137">
        <f t="shared" si="1"/>
        <v>30.061086835371189</v>
      </c>
      <c r="H41" s="432">
        <f>G41-'C) Prél. conj.'!I41</f>
        <v>28.789744148260596</v>
      </c>
      <c r="I41" s="436">
        <f t="shared" si="2"/>
        <v>0</v>
      </c>
      <c r="J41" s="55">
        <f t="shared" si="3"/>
        <v>0</v>
      </c>
      <c r="K41" s="432">
        <f t="shared" si="4"/>
        <v>28.789744148260596</v>
      </c>
    </row>
    <row r="42" spans="1:11" x14ac:dyDescent="0.25">
      <c r="A42" s="49">
        <f>'A) Base RI'!A44</f>
        <v>5473</v>
      </c>
      <c r="B42" s="294" t="str">
        <f>'A) Base RI'!B44</f>
        <v>Boussens</v>
      </c>
      <c r="C42" s="95">
        <f>'B) D RI'!U44</f>
        <v>35765.75205607291</v>
      </c>
      <c r="D42" s="431">
        <f>'E) Fact soc'!G48/C42</f>
        <v>16.531816642799836</v>
      </c>
      <c r="E42" s="137">
        <f>'H) Péréquation directe'!I53/C42</f>
        <v>12.866584033794309</v>
      </c>
      <c r="F42" s="110">
        <f>+'I) Dépenses thématiques'!O42/'J) Plafonnement effort'!C42</f>
        <v>0</v>
      </c>
      <c r="G42" s="137">
        <f t="shared" si="1"/>
        <v>29.398400676594143</v>
      </c>
      <c r="H42" s="432">
        <f>G42-'C) Prél. conj.'!I42</f>
        <v>28.27018659803268</v>
      </c>
      <c r="I42" s="436">
        <f t="shared" si="2"/>
        <v>0</v>
      </c>
      <c r="J42" s="55">
        <f t="shared" si="3"/>
        <v>0</v>
      </c>
      <c r="K42" s="432">
        <f t="shared" si="4"/>
        <v>28.27018659803268</v>
      </c>
    </row>
    <row r="43" spans="1:11" x14ac:dyDescent="0.25">
      <c r="A43" s="49">
        <f>'A) Base RI'!A45</f>
        <v>5474</v>
      </c>
      <c r="B43" s="294" t="str">
        <f>'A) Base RI'!B45</f>
        <v>La Chaux (Cossonay)</v>
      </c>
      <c r="C43" s="95">
        <f>'B) D RI'!U45</f>
        <v>12972.284673481885</v>
      </c>
      <c r="D43" s="431">
        <f>'E) Fact soc'!G49/C43</f>
        <v>15.254917498457875</v>
      </c>
      <c r="E43" s="137">
        <f>'H) Péréquation directe'!I54/C43</f>
        <v>6.510542667123751</v>
      </c>
      <c r="F43" s="110">
        <f>+'I) Dépenses thématiques'!O43/'J) Plafonnement effort'!C43</f>
        <v>-7.8087560462126282</v>
      </c>
      <c r="G43" s="137">
        <f t="shared" si="1"/>
        <v>13.956704119368997</v>
      </c>
      <c r="H43" s="432">
        <f>G43-'C) Prél. conj.'!I43</f>
        <v>14.105389185149495</v>
      </c>
      <c r="I43" s="436">
        <f t="shared" si="2"/>
        <v>0</v>
      </c>
      <c r="J43" s="55">
        <f t="shared" si="3"/>
        <v>0</v>
      </c>
      <c r="K43" s="432">
        <f t="shared" si="4"/>
        <v>14.105389185149495</v>
      </c>
    </row>
    <row r="44" spans="1:11" x14ac:dyDescent="0.25">
      <c r="A44" s="49">
        <f>'A) Base RI'!A46</f>
        <v>5475</v>
      </c>
      <c r="B44" s="294" t="str">
        <f>'A) Base RI'!B46</f>
        <v>Chavannes-le-Veyron</v>
      </c>
      <c r="C44" s="95">
        <f>'B) D RI'!U46</f>
        <v>4902.1559506290205</v>
      </c>
      <c r="D44" s="431">
        <f>'E) Fact soc'!G50/C44</f>
        <v>21.996936257723309</v>
      </c>
      <c r="E44" s="137">
        <f>'H) Péréquation directe'!I55/C44</f>
        <v>9.6290074754689154</v>
      </c>
      <c r="F44" s="110">
        <f>+'I) Dépenses thématiques'!O44/'J) Plafonnement effort'!C44</f>
        <v>-10.084666693974473</v>
      </c>
      <c r="G44" s="137">
        <f t="shared" si="1"/>
        <v>21.54127703921775</v>
      </c>
      <c r="H44" s="432">
        <f>G44-'C) Prél. conj.'!I44</f>
        <v>14.947943345732813</v>
      </c>
      <c r="I44" s="436">
        <f t="shared" si="2"/>
        <v>0</v>
      </c>
      <c r="J44" s="55">
        <f t="shared" si="3"/>
        <v>0</v>
      </c>
      <c r="K44" s="432">
        <f t="shared" si="4"/>
        <v>14.947943345732813</v>
      </c>
    </row>
    <row r="45" spans="1:11" x14ac:dyDescent="0.25">
      <c r="A45" s="49">
        <f>'A) Base RI'!A47</f>
        <v>5476</v>
      </c>
      <c r="B45" s="294" t="str">
        <f>'A) Base RI'!B47</f>
        <v>Chevilly</v>
      </c>
      <c r="C45" s="95">
        <f>'B) D RI'!U47</f>
        <v>10687.030816086675</v>
      </c>
      <c r="D45" s="431">
        <f>'E) Fact soc'!G51/C45</f>
        <v>15.38806036146396</v>
      </c>
      <c r="E45" s="137">
        <f>'H) Péréquation directe'!I56/C45</f>
        <v>9.7102028959278961</v>
      </c>
      <c r="F45" s="110">
        <f>+'I) Dépenses thématiques'!O45/'J) Plafonnement effort'!C45</f>
        <v>-2.5386980778258601</v>
      </c>
      <c r="G45" s="137">
        <f t="shared" si="1"/>
        <v>22.559565179565997</v>
      </c>
      <c r="H45" s="432">
        <f>G45-'C) Prél. conj.'!I45</f>
        <v>22.575107382340409</v>
      </c>
      <c r="I45" s="436">
        <f t="shared" si="2"/>
        <v>0</v>
      </c>
      <c r="J45" s="55">
        <f t="shared" si="3"/>
        <v>0</v>
      </c>
      <c r="K45" s="432">
        <f t="shared" si="4"/>
        <v>22.575107382340409</v>
      </c>
    </row>
    <row r="46" spans="1:11" x14ac:dyDescent="0.25">
      <c r="A46" s="49">
        <f>'A) Base RI'!A48</f>
        <v>5477</v>
      </c>
      <c r="B46" s="294" t="str">
        <f>'A) Base RI'!B48</f>
        <v>Cossonay</v>
      </c>
      <c r="C46" s="95">
        <f>'B) D RI'!U48</f>
        <v>129587.92698014184</v>
      </c>
      <c r="D46" s="431">
        <f>'E) Fact soc'!G52/C46</f>
        <v>18.565639796786989</v>
      </c>
      <c r="E46" s="137">
        <f>'H) Péréquation directe'!I57/C46</f>
        <v>3.7699043116275499</v>
      </c>
      <c r="F46" s="110">
        <f>+'I) Dépenses thématiques'!O46/'J) Plafonnement effort'!C46</f>
        <v>-4.7565779963224148</v>
      </c>
      <c r="G46" s="137">
        <f t="shared" si="1"/>
        <v>17.578966112092125</v>
      </c>
      <c r="H46" s="432">
        <f>G46-'C) Prél. conj.'!I46</f>
        <v>14.416928879543509</v>
      </c>
      <c r="I46" s="436">
        <f t="shared" si="2"/>
        <v>0</v>
      </c>
      <c r="J46" s="55">
        <f t="shared" si="3"/>
        <v>0</v>
      </c>
      <c r="K46" s="432">
        <f t="shared" si="4"/>
        <v>14.416928879543509</v>
      </c>
    </row>
    <row r="47" spans="1:11" x14ac:dyDescent="0.25">
      <c r="A47" s="49">
        <f>'A) Base RI'!A49</f>
        <v>5478</v>
      </c>
      <c r="B47" s="294" t="str">
        <f>'A) Base RI'!B49</f>
        <v>Cottens</v>
      </c>
      <c r="C47" s="95">
        <f>'B) D RI'!U49</f>
        <v>14208.71013401275</v>
      </c>
      <c r="D47" s="431">
        <f>'E) Fact soc'!G53/C47</f>
        <v>17.038846001598735</v>
      </c>
      <c r="E47" s="137">
        <f>'H) Péréquation directe'!I58/C47</f>
        <v>4.4004035782612396</v>
      </c>
      <c r="F47" s="110">
        <f>+'I) Dépenses thématiques'!O47/'J) Plafonnement effort'!C47</f>
        <v>-2.3590703095665457</v>
      </c>
      <c r="G47" s="137">
        <f t="shared" si="1"/>
        <v>19.080179270293428</v>
      </c>
      <c r="H47" s="432">
        <f>G47-'C) Prél. conj.'!I47</f>
        <v>17.444935832933066</v>
      </c>
      <c r="I47" s="436">
        <f t="shared" si="2"/>
        <v>0</v>
      </c>
      <c r="J47" s="55">
        <f t="shared" si="3"/>
        <v>0</v>
      </c>
      <c r="K47" s="432">
        <f t="shared" si="4"/>
        <v>17.444935832933066</v>
      </c>
    </row>
    <row r="48" spans="1:11" x14ac:dyDescent="0.25">
      <c r="A48" s="49">
        <f>'A) Base RI'!A50</f>
        <v>5479</v>
      </c>
      <c r="B48" s="294" t="str">
        <f>'A) Base RI'!B50</f>
        <v>Cuarnens</v>
      </c>
      <c r="C48" s="95">
        <f>'B) D RI'!U50</f>
        <v>16421.228790353522</v>
      </c>
      <c r="D48" s="431">
        <f>'E) Fact soc'!G54/C48</f>
        <v>18.028996226941974</v>
      </c>
      <c r="E48" s="137">
        <f>'H) Péréquation directe'!I59/C48</f>
        <v>9.3894654178570782</v>
      </c>
      <c r="F48" s="110">
        <f>+'I) Dépenses thématiques'!O48/'J) Plafonnement effort'!C48</f>
        <v>-7.8624573436102869</v>
      </c>
      <c r="G48" s="137">
        <f t="shared" si="1"/>
        <v>19.556004301188764</v>
      </c>
      <c r="H48" s="432">
        <f>G48-'C) Prél. conj.'!I48</f>
        <v>16.930610638485167</v>
      </c>
      <c r="I48" s="436">
        <f t="shared" si="2"/>
        <v>0</v>
      </c>
      <c r="J48" s="55">
        <f t="shared" si="3"/>
        <v>0</v>
      </c>
      <c r="K48" s="432">
        <f t="shared" si="4"/>
        <v>16.930610638485167</v>
      </c>
    </row>
    <row r="49" spans="1:11" x14ac:dyDescent="0.25">
      <c r="A49" s="49">
        <f>'A) Base RI'!A51</f>
        <v>5480</v>
      </c>
      <c r="B49" s="294" t="str">
        <f>'A) Base RI'!B51</f>
        <v>Daillens</v>
      </c>
      <c r="C49" s="95">
        <f>'B) D RI'!U51</f>
        <v>41263.325123050025</v>
      </c>
      <c r="D49" s="431">
        <f>'E) Fact soc'!G55/C49</f>
        <v>19.695008539688541</v>
      </c>
      <c r="E49" s="137">
        <f>'H) Péréquation directe'!I60/C49</f>
        <v>14.70913097817062</v>
      </c>
      <c r="F49" s="110">
        <f>+'I) Dépenses thématiques'!O49/'J) Plafonnement effort'!C49</f>
        <v>-3.3449087826310491</v>
      </c>
      <c r="G49" s="137">
        <f t="shared" si="1"/>
        <v>31.059230735228116</v>
      </c>
      <c r="H49" s="432">
        <f>G49-'C) Prél. conj.'!I49</f>
        <v>26.767824759777945</v>
      </c>
      <c r="I49" s="436">
        <f t="shared" si="2"/>
        <v>0</v>
      </c>
      <c r="J49" s="55">
        <f t="shared" si="3"/>
        <v>0</v>
      </c>
      <c r="K49" s="432">
        <f t="shared" si="4"/>
        <v>26.767824759777945</v>
      </c>
    </row>
    <row r="50" spans="1:11" x14ac:dyDescent="0.25">
      <c r="A50" s="49">
        <f>'A) Base RI'!A52</f>
        <v>5481</v>
      </c>
      <c r="B50" s="294" t="str">
        <f>'A) Base RI'!B52</f>
        <v>Dizy</v>
      </c>
      <c r="C50" s="95">
        <f>'B) D RI'!U52</f>
        <v>10892.048755040036</v>
      </c>
      <c r="D50" s="431">
        <f>'E) Fact soc'!G56/C50</f>
        <v>18.247842900160716</v>
      </c>
      <c r="E50" s="137">
        <f>'H) Péréquation directe'!I61/C50</f>
        <v>17.725880119784563</v>
      </c>
      <c r="F50" s="110">
        <f>+'I) Dépenses thématiques'!O50/'J) Plafonnement effort'!C50</f>
        <v>0</v>
      </c>
      <c r="G50" s="137">
        <f t="shared" si="1"/>
        <v>35.973723019945282</v>
      </c>
      <c r="H50" s="432">
        <f>G50-'C) Prél. conj.'!I50</f>
        <v>34.429215611069097</v>
      </c>
      <c r="I50" s="436">
        <f t="shared" si="2"/>
        <v>0</v>
      </c>
      <c r="J50" s="55">
        <f t="shared" si="3"/>
        <v>0</v>
      </c>
      <c r="K50" s="432">
        <f t="shared" si="4"/>
        <v>34.429215611069097</v>
      </c>
    </row>
    <row r="51" spans="1:11" x14ac:dyDescent="0.25">
      <c r="A51" s="49">
        <f>'A) Base RI'!A53</f>
        <v>5482</v>
      </c>
      <c r="B51" s="294" t="str">
        <f>'A) Base RI'!B53</f>
        <v>Eclépens</v>
      </c>
      <c r="C51" s="95">
        <f>'B) D RI'!U53</f>
        <v>46793.329731079626</v>
      </c>
      <c r="D51" s="431">
        <f>'E) Fact soc'!G57/C51</f>
        <v>18.24423948330152</v>
      </c>
      <c r="E51" s="137">
        <f>'H) Péréquation directe'!I62/C51</f>
        <v>14.690411792975445</v>
      </c>
      <c r="F51" s="110">
        <f>+'I) Dépenses thématiques'!O51/'J) Plafonnement effort'!C51</f>
        <v>-2.6163564014258767</v>
      </c>
      <c r="G51" s="137">
        <f t="shared" si="1"/>
        <v>30.318294874851091</v>
      </c>
      <c r="H51" s="432">
        <f>G51-'C) Prél. conj.'!I51</f>
        <v>27.477657955787944</v>
      </c>
      <c r="I51" s="436">
        <f t="shared" si="2"/>
        <v>0</v>
      </c>
      <c r="J51" s="55">
        <f t="shared" si="3"/>
        <v>0</v>
      </c>
      <c r="K51" s="432">
        <f t="shared" si="4"/>
        <v>27.477657955787944</v>
      </c>
    </row>
    <row r="52" spans="1:11" x14ac:dyDescent="0.25">
      <c r="A52" s="49">
        <f>'A) Base RI'!A54</f>
        <v>5483</v>
      </c>
      <c r="B52" s="294" t="str">
        <f>'A) Base RI'!B54</f>
        <v>Ferreyres</v>
      </c>
      <c r="C52" s="95">
        <f>'B) D RI'!U54</f>
        <v>8879.9356567959585</v>
      </c>
      <c r="D52" s="431">
        <f>'E) Fact soc'!G58/C52</f>
        <v>17.950425635269511</v>
      </c>
      <c r="E52" s="137">
        <f>'H) Péréquation directe'!I63/C52</f>
        <v>2.9495324509186487</v>
      </c>
      <c r="F52" s="110">
        <f>+'I) Dépenses thématiques'!O52/'J) Plafonnement effort'!C52</f>
        <v>-3.4603366817123491</v>
      </c>
      <c r="G52" s="137">
        <f t="shared" si="1"/>
        <v>17.439621404475812</v>
      </c>
      <c r="H52" s="432">
        <f>G52-'C) Prél. conj.'!I52</f>
        <v>14.892798333444672</v>
      </c>
      <c r="I52" s="436">
        <f t="shared" si="2"/>
        <v>0</v>
      </c>
      <c r="J52" s="55">
        <f t="shared" si="3"/>
        <v>0</v>
      </c>
      <c r="K52" s="432">
        <f t="shared" si="4"/>
        <v>14.892798333444672</v>
      </c>
    </row>
    <row r="53" spans="1:11" x14ac:dyDescent="0.25">
      <c r="A53" s="49">
        <f>'A) Base RI'!A55</f>
        <v>5484</v>
      </c>
      <c r="B53" s="294" t="str">
        <f>'A) Base RI'!B55</f>
        <v>Gollion</v>
      </c>
      <c r="C53" s="95">
        <f>'B) D RI'!U55</f>
        <v>31794.268758715236</v>
      </c>
      <c r="D53" s="431">
        <f>'E) Fact soc'!G59/C53</f>
        <v>19.935895352400077</v>
      </c>
      <c r="E53" s="137">
        <f>'H) Péréquation directe'!I64/C53</f>
        <v>9.5426200272294732</v>
      </c>
      <c r="F53" s="110">
        <f>+'I) Dépenses thématiques'!O53/'J) Plafonnement effort'!C53</f>
        <v>-2.4703399920699955</v>
      </c>
      <c r="G53" s="137">
        <f t="shared" si="1"/>
        <v>27.008175387559554</v>
      </c>
      <c r="H53" s="432">
        <f>G53-'C) Prél. conj.'!I53</f>
        <v>22.475882599397849</v>
      </c>
      <c r="I53" s="436">
        <f t="shared" si="2"/>
        <v>0</v>
      </c>
      <c r="J53" s="55">
        <f t="shared" si="3"/>
        <v>0</v>
      </c>
      <c r="K53" s="432">
        <f t="shared" si="4"/>
        <v>22.475882599397849</v>
      </c>
    </row>
    <row r="54" spans="1:11" x14ac:dyDescent="0.25">
      <c r="A54" s="49">
        <f>'A) Base RI'!A56</f>
        <v>5485</v>
      </c>
      <c r="B54" s="294" t="str">
        <f>'A) Base RI'!B56</f>
        <v>Grancy</v>
      </c>
      <c r="C54" s="95">
        <f>'B) D RI'!U56</f>
        <v>18552.92429477413</v>
      </c>
      <c r="D54" s="431">
        <f>'E) Fact soc'!G60/C54</f>
        <v>16.815180045479181</v>
      </c>
      <c r="E54" s="137">
        <f>'H) Péréquation directe'!I65/C54</f>
        <v>17.603691512876921</v>
      </c>
      <c r="F54" s="110">
        <f>+'I) Dépenses thématiques'!O54/'J) Plafonnement effort'!C54</f>
        <v>-25.594294732435266</v>
      </c>
      <c r="G54" s="137">
        <f t="shared" si="1"/>
        <v>8.8245768259208361</v>
      </c>
      <c r="H54" s="432">
        <f>G54-'C) Prél. conj.'!I54</f>
        <v>7.950603281784332</v>
      </c>
      <c r="I54" s="436">
        <f t="shared" si="2"/>
        <v>0</v>
      </c>
      <c r="J54" s="55">
        <f t="shared" si="3"/>
        <v>0</v>
      </c>
      <c r="K54" s="432">
        <f t="shared" si="4"/>
        <v>7.950603281784332</v>
      </c>
    </row>
    <row r="55" spans="1:11" x14ac:dyDescent="0.25">
      <c r="A55" s="49">
        <f>'A) Base RI'!A57</f>
        <v>5486</v>
      </c>
      <c r="B55" s="294" t="str">
        <f>'A) Base RI'!B57</f>
        <v>L'Isle</v>
      </c>
      <c r="C55" s="95">
        <f>'B) D RI'!U57</f>
        <v>30546.431240274927</v>
      </c>
      <c r="D55" s="431">
        <f>'E) Fact soc'!G61/C55</f>
        <v>18.395694808372401</v>
      </c>
      <c r="E55" s="137">
        <f>'H) Péréquation directe'!I66/C55</f>
        <v>5.2324540488251925</v>
      </c>
      <c r="F55" s="110">
        <f>+'I) Dépenses thématiques'!O55/'J) Plafonnement effort'!C55</f>
        <v>-10.992086423592463</v>
      </c>
      <c r="G55" s="137">
        <f t="shared" si="1"/>
        <v>12.636062433605131</v>
      </c>
      <c r="H55" s="432">
        <f>G55-'C) Prél. conj.'!I55</f>
        <v>9.6439701894711032</v>
      </c>
      <c r="I55" s="436">
        <f t="shared" si="2"/>
        <v>0</v>
      </c>
      <c r="J55" s="55">
        <f t="shared" si="3"/>
        <v>0</v>
      </c>
      <c r="K55" s="432">
        <f t="shared" si="4"/>
        <v>9.6439701894711032</v>
      </c>
    </row>
    <row r="56" spans="1:11" x14ac:dyDescent="0.25">
      <c r="A56" s="49">
        <f>'A) Base RI'!A58</f>
        <v>5487</v>
      </c>
      <c r="B56" s="294" t="str">
        <f>'A) Base RI'!B58</f>
        <v>Lussery-Villars</v>
      </c>
      <c r="C56" s="95">
        <f>'B) D RI'!U58</f>
        <v>14615.228333906985</v>
      </c>
      <c r="D56" s="431">
        <f>'E) Fact soc'!G62/C56</f>
        <v>16.083112988099479</v>
      </c>
      <c r="E56" s="137">
        <f>'H) Péréquation directe'!I67/C56</f>
        <v>7.0086538607139079</v>
      </c>
      <c r="F56" s="110">
        <f>+'I) Dépenses thématiques'!O56/'J) Plafonnement effort'!C56</f>
        <v>-1.2347791392908574</v>
      </c>
      <c r="G56" s="137">
        <f t="shared" si="1"/>
        <v>21.856987709522528</v>
      </c>
      <c r="H56" s="432">
        <f>G56-'C) Prél. conj.'!I56</f>
        <v>21.177477285661421</v>
      </c>
      <c r="I56" s="436">
        <f t="shared" si="2"/>
        <v>0</v>
      </c>
      <c r="J56" s="55">
        <f t="shared" si="3"/>
        <v>0</v>
      </c>
      <c r="K56" s="432">
        <f t="shared" si="4"/>
        <v>21.177477285661421</v>
      </c>
    </row>
    <row r="57" spans="1:11" x14ac:dyDescent="0.25">
      <c r="A57" s="49">
        <f>'A) Base RI'!A59</f>
        <v>5488</v>
      </c>
      <c r="B57" s="294" t="str">
        <f>'A) Base RI'!B59</f>
        <v>Mauraz</v>
      </c>
      <c r="C57" s="95">
        <f>'B) D RI'!U59</f>
        <v>1907.69174397183</v>
      </c>
      <c r="D57" s="431">
        <f>'E) Fact soc'!G63/C57</f>
        <v>18.708827331250369</v>
      </c>
      <c r="E57" s="137">
        <f>'H) Péréquation directe'!I68/C57</f>
        <v>7.0741017319417763</v>
      </c>
      <c r="F57" s="110">
        <f>+'I) Dépenses thématiques'!O57/'J) Plafonnement effort'!C57</f>
        <v>0</v>
      </c>
      <c r="G57" s="137">
        <f t="shared" si="1"/>
        <v>25.782929063192146</v>
      </c>
      <c r="H57" s="432">
        <f>G57-'C) Prél. conj.'!I57</f>
        <v>22.47770429618015</v>
      </c>
      <c r="I57" s="436">
        <f t="shared" si="2"/>
        <v>0</v>
      </c>
      <c r="J57" s="55">
        <f t="shared" si="3"/>
        <v>0</v>
      </c>
      <c r="K57" s="432">
        <f t="shared" si="4"/>
        <v>22.47770429618015</v>
      </c>
    </row>
    <row r="58" spans="1:11" x14ac:dyDescent="0.25">
      <c r="A58" s="49">
        <f>'A) Base RI'!A60</f>
        <v>5489</v>
      </c>
      <c r="B58" s="294" t="str">
        <f>'A) Base RI'!B60</f>
        <v>Mex</v>
      </c>
      <c r="C58" s="95">
        <f>'B) D RI'!U60</f>
        <v>59050.274266098029</v>
      </c>
      <c r="D58" s="431">
        <f>'E) Fact soc'!G64/C58</f>
        <v>25.539296380210921</v>
      </c>
      <c r="E58" s="137">
        <f>'H) Péréquation directe'!I69/C58</f>
        <v>18.749346543614696</v>
      </c>
      <c r="F58" s="110">
        <f>+'I) Dépenses thématiques'!O58/'J) Plafonnement effort'!C58</f>
        <v>0</v>
      </c>
      <c r="G58" s="137">
        <f t="shared" si="1"/>
        <v>44.28864292382562</v>
      </c>
      <c r="H58" s="432">
        <f>G58-'C) Prél. conj.'!I58</f>
        <v>42.774387552257664</v>
      </c>
      <c r="I58" s="436">
        <f t="shared" si="2"/>
        <v>0</v>
      </c>
      <c r="J58" s="55">
        <f t="shared" si="3"/>
        <v>0</v>
      </c>
      <c r="K58" s="432">
        <f t="shared" si="4"/>
        <v>42.774387552257664</v>
      </c>
    </row>
    <row r="59" spans="1:11" x14ac:dyDescent="0.25">
      <c r="A59" s="49">
        <f>'A) Base RI'!A61</f>
        <v>5490</v>
      </c>
      <c r="B59" s="294" t="str">
        <f>'A) Base RI'!B61</f>
        <v>Moiry</v>
      </c>
      <c r="C59" s="95">
        <f>'B) D RI'!U61</f>
        <v>9338.2754275452353</v>
      </c>
      <c r="D59" s="431">
        <f>'E) Fact soc'!G65/C59</f>
        <v>17.124503829647335</v>
      </c>
      <c r="E59" s="137">
        <f>'H) Péréquation directe'!I70/C59</f>
        <v>3.7165678631465373</v>
      </c>
      <c r="F59" s="110">
        <f>+'I) Dépenses thématiques'!O59/'J) Plafonnement effort'!C59</f>
        <v>-4.8603197577350175</v>
      </c>
      <c r="G59" s="137">
        <f t="shared" si="1"/>
        <v>15.980751935058855</v>
      </c>
      <c r="H59" s="432">
        <f>G59-'C) Prél. conj.'!I59</f>
        <v>14.259850669649895</v>
      </c>
      <c r="I59" s="436">
        <f t="shared" si="2"/>
        <v>0</v>
      </c>
      <c r="J59" s="55">
        <f t="shared" si="3"/>
        <v>0</v>
      </c>
      <c r="K59" s="432">
        <f t="shared" si="4"/>
        <v>14.259850669649895</v>
      </c>
    </row>
    <row r="60" spans="1:11" x14ac:dyDescent="0.25">
      <c r="A60" s="49">
        <f>'A) Base RI'!A62</f>
        <v>5491</v>
      </c>
      <c r="B60" s="294" t="str">
        <f>'A) Base RI'!B62</f>
        <v>Mont-la-Ville</v>
      </c>
      <c r="C60" s="95">
        <f>'B) D RI'!U62</f>
        <v>12342.149373733142</v>
      </c>
      <c r="D60" s="431">
        <f>'E) Fact soc'!G66/C60</f>
        <v>19.122182984086106</v>
      </c>
      <c r="E60" s="137">
        <f>'H) Péréquation directe'!I71/C60</f>
        <v>-0.33666000605998331</v>
      </c>
      <c r="F60" s="110">
        <f>+'I) Dépenses thématiques'!O60/'J) Plafonnement effort'!C60</f>
        <v>-13.616578053398472</v>
      </c>
      <c r="G60" s="137">
        <f t="shared" si="1"/>
        <v>5.1689449246276506</v>
      </c>
      <c r="H60" s="432">
        <f>G60-'C) Prél. conj.'!I60</f>
        <v>1.4503645047799192</v>
      </c>
      <c r="I60" s="436">
        <f t="shared" si="2"/>
        <v>0</v>
      </c>
      <c r="J60" s="55">
        <f t="shared" si="3"/>
        <v>0</v>
      </c>
      <c r="K60" s="432">
        <f t="shared" si="4"/>
        <v>1.4503645047799192</v>
      </c>
    </row>
    <row r="61" spans="1:11" x14ac:dyDescent="0.25">
      <c r="A61" s="49">
        <f>'A) Base RI'!A63</f>
        <v>5492</v>
      </c>
      <c r="B61" s="294" t="str">
        <f>'A) Base RI'!B63</f>
        <v>Montricher</v>
      </c>
      <c r="C61" s="95">
        <f>'B) D RI'!U63</f>
        <v>235377.8890618468</v>
      </c>
      <c r="D61" s="431">
        <f>'E) Fact soc'!G67/C61</f>
        <v>44.035048922093672</v>
      </c>
      <c r="E61" s="137">
        <f>'H) Péréquation directe'!I72/C61</f>
        <v>19.78381672346784</v>
      </c>
      <c r="F61" s="110">
        <f>+'I) Dépenses thématiques'!O61/'J) Plafonnement effort'!C61</f>
        <v>-0.21504366929001234</v>
      </c>
      <c r="G61" s="137">
        <f t="shared" si="1"/>
        <v>63.603821976271504</v>
      </c>
      <c r="H61" s="432">
        <f>G61-'C) Prél. conj.'!I61</f>
        <v>62.259216664101167</v>
      </c>
      <c r="I61" s="436">
        <f t="shared" si="2"/>
        <v>-14.259216664101167</v>
      </c>
      <c r="J61" s="55">
        <f t="shared" si="3"/>
        <v>-3356304.318071642</v>
      </c>
      <c r="K61" s="432">
        <f t="shared" si="4"/>
        <v>48</v>
      </c>
    </row>
    <row r="62" spans="1:11" x14ac:dyDescent="0.25">
      <c r="A62" s="49">
        <f>'A) Base RI'!A64</f>
        <v>5493</v>
      </c>
      <c r="B62" s="294" t="str">
        <f>'A) Base RI'!B64</f>
        <v>Orny</v>
      </c>
      <c r="C62" s="95">
        <f>'B) D RI'!U64</f>
        <v>10742.508207895562</v>
      </c>
      <c r="D62" s="431">
        <f>'E) Fact soc'!G68/C62</f>
        <v>20.440020871113358</v>
      </c>
      <c r="E62" s="137">
        <f>'H) Péréquation directe'!I73/C62</f>
        <v>4.6561391175730993</v>
      </c>
      <c r="F62" s="110">
        <f>+'I) Dépenses thématiques'!O62/'J) Plafonnement effort'!C62</f>
        <v>-66.830512956580364</v>
      </c>
      <c r="G62" s="137">
        <f t="shared" si="1"/>
        <v>-41.734352967893905</v>
      </c>
      <c r="H62" s="432">
        <f>G62-'C) Prél. conj.'!I62</f>
        <v>-46.77077127476889</v>
      </c>
      <c r="I62" s="436">
        <f t="shared" si="2"/>
        <v>0</v>
      </c>
      <c r="J62" s="55">
        <f t="shared" si="3"/>
        <v>0</v>
      </c>
      <c r="K62" s="432">
        <f t="shared" si="4"/>
        <v>-46.77077127476889</v>
      </c>
    </row>
    <row r="63" spans="1:11" x14ac:dyDescent="0.25">
      <c r="A63" s="49">
        <f>'A) Base RI'!A65</f>
        <v>5494</v>
      </c>
      <c r="B63" s="294" t="str">
        <f>'A) Base RI'!B65</f>
        <v>Pampigny</v>
      </c>
      <c r="C63" s="95">
        <f>'B) D RI'!U65</f>
        <v>37463.804333090258</v>
      </c>
      <c r="D63" s="431">
        <f>'E) Fact soc'!G69/C63</f>
        <v>19.483496417009626</v>
      </c>
      <c r="E63" s="137">
        <f>'H) Péréquation directe'!I74/C63</f>
        <v>8.475398452564729</v>
      </c>
      <c r="F63" s="110">
        <f>+'I) Dépenses thématiques'!O63/'J) Plafonnement effort'!C63</f>
        <v>-5.6624721152861195</v>
      </c>
      <c r="G63" s="137">
        <f t="shared" si="1"/>
        <v>22.296422754288237</v>
      </c>
      <c r="H63" s="432">
        <f>G63-'C) Prél. conj.'!I63</f>
        <v>18.216528901516984</v>
      </c>
      <c r="I63" s="436">
        <f t="shared" si="2"/>
        <v>0</v>
      </c>
      <c r="J63" s="55">
        <f t="shared" si="3"/>
        <v>0</v>
      </c>
      <c r="K63" s="432">
        <f t="shared" si="4"/>
        <v>18.216528901516984</v>
      </c>
    </row>
    <row r="64" spans="1:11" x14ac:dyDescent="0.25">
      <c r="A64" s="49">
        <f>'A) Base RI'!A66</f>
        <v>5495</v>
      </c>
      <c r="B64" s="294" t="str">
        <f>'A) Base RI'!B66</f>
        <v>Penthalaz</v>
      </c>
      <c r="C64" s="95">
        <f>'B) D RI'!U66</f>
        <v>91501.360926624242</v>
      </c>
      <c r="D64" s="431">
        <f>'E) Fact soc'!G70/C64</f>
        <v>18.11824666881283</v>
      </c>
      <c r="E64" s="137">
        <f>'H) Péréquation directe'!I75/C64</f>
        <v>-3.5152002754854541</v>
      </c>
      <c r="F64" s="110">
        <f>+'I) Dépenses thématiques'!O64/'J) Plafonnement effort'!C64</f>
        <v>-6.0780508032588285</v>
      </c>
      <c r="G64" s="137">
        <f t="shared" si="1"/>
        <v>8.5249955900685457</v>
      </c>
      <c r="H64" s="432">
        <f>G64-'C) Prél. conj.'!I64</f>
        <v>5.8103514854940901</v>
      </c>
      <c r="I64" s="436">
        <f t="shared" si="2"/>
        <v>0</v>
      </c>
      <c r="J64" s="55">
        <f t="shared" si="3"/>
        <v>0</v>
      </c>
      <c r="K64" s="432">
        <f t="shared" si="4"/>
        <v>5.8103514854940901</v>
      </c>
    </row>
    <row r="65" spans="1:11" x14ac:dyDescent="0.25">
      <c r="A65" s="49">
        <f>'A) Base RI'!A67</f>
        <v>5496</v>
      </c>
      <c r="B65" s="294" t="str">
        <f>'A) Base RI'!B67</f>
        <v>Penthaz</v>
      </c>
      <c r="C65" s="95">
        <f>'B) D RI'!U67</f>
        <v>56734.953960585386</v>
      </c>
      <c r="D65" s="431">
        <f>'E) Fact soc'!G71/C65</f>
        <v>19.871724459183582</v>
      </c>
      <c r="E65" s="137">
        <f>'H) Péréquation directe'!I76/C65</f>
        <v>5.8551876342078142</v>
      </c>
      <c r="F65" s="110">
        <f>+'I) Dépenses thématiques'!O65/'J) Plafonnement effort'!C65</f>
        <v>-4.3705442637106549</v>
      </c>
      <c r="G65" s="137">
        <f t="shared" si="1"/>
        <v>21.356367829680742</v>
      </c>
      <c r="H65" s="432">
        <f>G65-'C) Prél. conj.'!I65</f>
        <v>16.888245934735533</v>
      </c>
      <c r="I65" s="436">
        <f t="shared" si="2"/>
        <v>0</v>
      </c>
      <c r="J65" s="55">
        <f t="shared" si="3"/>
        <v>0</v>
      </c>
      <c r="K65" s="432">
        <f t="shared" si="4"/>
        <v>16.888245934735533</v>
      </c>
    </row>
    <row r="66" spans="1:11" x14ac:dyDescent="0.25">
      <c r="A66" s="49">
        <f>'A) Base RI'!A68</f>
        <v>5497</v>
      </c>
      <c r="B66" s="294" t="str">
        <f>'A) Base RI'!B68</f>
        <v>Pompaples</v>
      </c>
      <c r="C66" s="95">
        <f>'B) D RI'!U68</f>
        <v>22161.340037381338</v>
      </c>
      <c r="D66" s="431">
        <f>'E) Fact soc'!G72/C66</f>
        <v>21.543599277906349</v>
      </c>
      <c r="E66" s="137">
        <f>'H) Péréquation directe'!I77/C66</f>
        <v>3.1561063939891763</v>
      </c>
      <c r="F66" s="110">
        <f>+'I) Dépenses thématiques'!O66/'J) Plafonnement effort'!C66</f>
        <v>-8.8505898306497901</v>
      </c>
      <c r="G66" s="137">
        <f t="shared" si="1"/>
        <v>15.849115841245736</v>
      </c>
      <c r="H66" s="432">
        <f>G66-'C) Prél. conj.'!I66</f>
        <v>9.7091191275777575</v>
      </c>
      <c r="I66" s="436">
        <f t="shared" si="2"/>
        <v>0</v>
      </c>
      <c r="J66" s="55">
        <f t="shared" si="3"/>
        <v>0</v>
      </c>
      <c r="K66" s="432">
        <f t="shared" si="4"/>
        <v>9.7091191275777575</v>
      </c>
    </row>
    <row r="67" spans="1:11" x14ac:dyDescent="0.25">
      <c r="A67" s="49">
        <f>'A) Base RI'!A69</f>
        <v>5498</v>
      </c>
      <c r="B67" s="294" t="str">
        <f>'A) Base RI'!B69</f>
        <v>La Sarraz</v>
      </c>
      <c r="C67" s="95">
        <f>'B) D RI'!U69</f>
        <v>77385.435956102505</v>
      </c>
      <c r="D67" s="431">
        <f>'E) Fact soc'!G73/C67</f>
        <v>17.922870144647035</v>
      </c>
      <c r="E67" s="137">
        <f>'H) Péréquation directe'!I78/C67</f>
        <v>2.7324873620784991</v>
      </c>
      <c r="F67" s="110">
        <f>+'I) Dépenses thématiques'!O67/'J) Plafonnement effort'!C67</f>
        <v>-8.5723179811199657</v>
      </c>
      <c r="G67" s="137">
        <f t="shared" si="1"/>
        <v>12.083039525605567</v>
      </c>
      <c r="H67" s="432">
        <f>G67-'C) Prél. conj.'!I67</f>
        <v>9.563771945196903</v>
      </c>
      <c r="I67" s="436">
        <f t="shared" si="2"/>
        <v>0</v>
      </c>
      <c r="J67" s="55">
        <f t="shared" si="3"/>
        <v>0</v>
      </c>
      <c r="K67" s="432">
        <f t="shared" si="4"/>
        <v>9.563771945196903</v>
      </c>
    </row>
    <row r="68" spans="1:11" x14ac:dyDescent="0.25">
      <c r="A68" s="49">
        <f>'A) Base RI'!A70</f>
        <v>5499</v>
      </c>
      <c r="B68" s="294" t="str">
        <f>'A) Base RI'!B70</f>
        <v>Senarclens</v>
      </c>
      <c r="C68" s="95">
        <f>'B) D RI'!U70</f>
        <v>23640.951925367579</v>
      </c>
      <c r="D68" s="431">
        <f>'E) Fact soc'!G74/C68</f>
        <v>18.383239293649847</v>
      </c>
      <c r="E68" s="137">
        <f>'H) Péréquation directe'!I79/C68</f>
        <v>17.704839278595394</v>
      </c>
      <c r="F68" s="110">
        <f>+'I) Dépenses thématiques'!O68/'J) Plafonnement effort'!C68</f>
        <v>0</v>
      </c>
      <c r="G68" s="137">
        <f t="shared" si="1"/>
        <v>36.088078572245237</v>
      </c>
      <c r="H68" s="432">
        <f>G68-'C) Prél. conj.'!I68</f>
        <v>34.131950699476384</v>
      </c>
      <c r="I68" s="436">
        <f t="shared" si="2"/>
        <v>0</v>
      </c>
      <c r="J68" s="55">
        <f t="shared" si="3"/>
        <v>0</v>
      </c>
      <c r="K68" s="432">
        <f t="shared" si="4"/>
        <v>34.131950699476384</v>
      </c>
    </row>
    <row r="69" spans="1:11" x14ac:dyDescent="0.25">
      <c r="A69" s="49">
        <f>'A) Base RI'!A71</f>
        <v>5500</v>
      </c>
      <c r="B69" s="294" t="str">
        <f>'A) Base RI'!B71</f>
        <v>Sévery</v>
      </c>
      <c r="C69" s="95">
        <f>'B) D RI'!U71</f>
        <v>6301.5037699957575</v>
      </c>
      <c r="D69" s="431">
        <f>'E) Fact soc'!G75/C69</f>
        <v>20.497970697897621</v>
      </c>
      <c r="E69" s="137">
        <f>'H) Péréquation directe'!I80/C69</f>
        <v>2.3916582047111117</v>
      </c>
      <c r="F69" s="110">
        <f>+'I) Dépenses thématiques'!O69/'J) Plafonnement effort'!C69</f>
        <v>-5.7172425168037941</v>
      </c>
      <c r="G69" s="137">
        <f t="shared" si="1"/>
        <v>17.172386385804941</v>
      </c>
      <c r="H69" s="432">
        <f>G69-'C) Prél. conj.'!I69</f>
        <v>12.078018252145693</v>
      </c>
      <c r="I69" s="436">
        <f t="shared" si="2"/>
        <v>0</v>
      </c>
      <c r="J69" s="55">
        <f t="shared" si="3"/>
        <v>0</v>
      </c>
      <c r="K69" s="432">
        <f t="shared" si="4"/>
        <v>12.078018252145693</v>
      </c>
    </row>
    <row r="70" spans="1:11" x14ac:dyDescent="0.25">
      <c r="A70" s="49">
        <f>'A) Base RI'!A72</f>
        <v>5501</v>
      </c>
      <c r="B70" s="294" t="str">
        <f>'A) Base RI'!B72</f>
        <v>Sullens</v>
      </c>
      <c r="C70" s="95">
        <f>'B) D RI'!U72</f>
        <v>37513.894014769903</v>
      </c>
      <c r="D70" s="431">
        <f>'E) Fact soc'!G76/C70</f>
        <v>17.79439102689939</v>
      </c>
      <c r="E70" s="137">
        <f>'H) Péréquation directe'!I81/C70</f>
        <v>11.982558003812731</v>
      </c>
      <c r="F70" s="110">
        <f>+'I) Dépenses thématiques'!O70/'J) Plafonnement effort'!C70</f>
        <v>-0.19320803061543079</v>
      </c>
      <c r="G70" s="137">
        <f t="shared" ref="G70:G133" si="5">SUM(D70:F70)</f>
        <v>29.58374100009669</v>
      </c>
      <c r="H70" s="432">
        <f>G70-'C) Prél. conj.'!I70</f>
        <v>27.192952537435676</v>
      </c>
      <c r="I70" s="436">
        <f t="shared" ref="I70:I133" si="6">IF(H70&gt;I$4,I$4-H70,0)</f>
        <v>0</v>
      </c>
      <c r="J70" s="55">
        <f t="shared" ref="J70:J133" si="7">I70*C70</f>
        <v>0</v>
      </c>
      <c r="K70" s="432">
        <f t="shared" ref="K70:K133" si="8">H70+I70</f>
        <v>27.192952537435676</v>
      </c>
    </row>
    <row r="71" spans="1:11" x14ac:dyDescent="0.25">
      <c r="A71" s="49">
        <f>'A) Base RI'!A73</f>
        <v>5503</v>
      </c>
      <c r="B71" s="294" t="str">
        <f>'A) Base RI'!B73</f>
        <v>Vufflens-la-Ville</v>
      </c>
      <c r="C71" s="95">
        <f>'B) D RI'!U73</f>
        <v>71529.073769442432</v>
      </c>
      <c r="D71" s="431">
        <f>'E) Fact soc'!G77/C71</f>
        <v>23.669972563361227</v>
      </c>
      <c r="E71" s="137">
        <f>'H) Péréquation directe'!I82/C71</f>
        <v>17.080047334368761</v>
      </c>
      <c r="F71" s="110">
        <f>+'I) Dépenses thématiques'!O71/'J) Plafonnement effort'!C71</f>
        <v>0</v>
      </c>
      <c r="G71" s="137">
        <f t="shared" si="5"/>
        <v>40.750019897729985</v>
      </c>
      <c r="H71" s="432">
        <f>G71-'C) Prél. conj.'!I71</f>
        <v>35.143890056142276</v>
      </c>
      <c r="I71" s="436">
        <f t="shared" si="6"/>
        <v>0</v>
      </c>
      <c r="J71" s="55">
        <f t="shared" si="7"/>
        <v>0</v>
      </c>
      <c r="K71" s="432">
        <f t="shared" si="8"/>
        <v>35.143890056142276</v>
      </c>
    </row>
    <row r="72" spans="1:11" x14ac:dyDescent="0.25">
      <c r="A72" s="49">
        <f>'A) Base RI'!A74</f>
        <v>5511</v>
      </c>
      <c r="B72" s="294" t="str">
        <f>'A) Base RI'!B74</f>
        <v>Assens</v>
      </c>
      <c r="C72" s="95">
        <f>'B) D RI'!U74</f>
        <v>42924.75672243804</v>
      </c>
      <c r="D72" s="431">
        <f>'E) Fact soc'!G78/C72</f>
        <v>16.935354402114964</v>
      </c>
      <c r="E72" s="137">
        <f>'H) Péréquation directe'!I83/C72</f>
        <v>14.316707621658274</v>
      </c>
      <c r="F72" s="110">
        <f>+'I) Dépenses thématiques'!O72/'J) Plafonnement effort'!C72</f>
        <v>-8.116052753601382</v>
      </c>
      <c r="G72" s="137">
        <f t="shared" si="5"/>
        <v>23.136009270171854</v>
      </c>
      <c r="H72" s="432">
        <f>G72-'C) Prél. conj.'!I72</f>
        <v>21.604257432295263</v>
      </c>
      <c r="I72" s="436">
        <f t="shared" si="6"/>
        <v>0</v>
      </c>
      <c r="J72" s="55">
        <f t="shared" si="7"/>
        <v>0</v>
      </c>
      <c r="K72" s="432">
        <f t="shared" si="8"/>
        <v>21.604257432295263</v>
      </c>
    </row>
    <row r="73" spans="1:11" x14ac:dyDescent="0.25">
      <c r="A73" s="49">
        <f>'A) Base RI'!A75</f>
        <v>5512</v>
      </c>
      <c r="B73" s="294" t="str">
        <f>'A) Base RI'!B75</f>
        <v>Bercher</v>
      </c>
      <c r="C73" s="95">
        <f>'B) D RI'!U75</f>
        <v>37044.132282785904</v>
      </c>
      <c r="D73" s="431">
        <f>'E) Fact soc'!G79/C73</f>
        <v>18.442726794239995</v>
      </c>
      <c r="E73" s="137">
        <f>'H) Péréquation directe'!I84/C73</f>
        <v>2.2657718837839935</v>
      </c>
      <c r="F73" s="110">
        <f>+'I) Dépenses thématiques'!O73/'J) Plafonnement effort'!C73</f>
        <v>-4.1603926715384389</v>
      </c>
      <c r="G73" s="137">
        <f t="shared" si="5"/>
        <v>16.548106006485551</v>
      </c>
      <c r="H73" s="432">
        <f>G73-'C) Prél. conj.'!I73</f>
        <v>13.508981776483926</v>
      </c>
      <c r="I73" s="436">
        <f t="shared" si="6"/>
        <v>0</v>
      </c>
      <c r="J73" s="55">
        <f t="shared" si="7"/>
        <v>0</v>
      </c>
      <c r="K73" s="432">
        <f t="shared" si="8"/>
        <v>13.508981776483926</v>
      </c>
    </row>
    <row r="74" spans="1:11" x14ac:dyDescent="0.25">
      <c r="A74" s="49">
        <f>'A) Base RI'!A76</f>
        <v>5513</v>
      </c>
      <c r="B74" s="294" t="str">
        <f>'A) Base RI'!B76</f>
        <v>Bioley-Orjulaz</v>
      </c>
      <c r="C74" s="95">
        <f>'B) D RI'!U76</f>
        <v>21181.93028195855</v>
      </c>
      <c r="D74" s="431">
        <f>'E) Fact soc'!G80/C74</f>
        <v>19.264128442262319</v>
      </c>
      <c r="E74" s="137">
        <f>'H) Péréquation directe'!I85/C74</f>
        <v>15.54961158833226</v>
      </c>
      <c r="F74" s="110">
        <f>+'I) Dépenses thématiques'!O74/'J) Plafonnement effort'!C74</f>
        <v>-0.37191614970186271</v>
      </c>
      <c r="G74" s="137">
        <f t="shared" si="5"/>
        <v>34.44182388089272</v>
      </c>
      <c r="H74" s="432">
        <f>G74-'C) Prél. conj.'!I74</f>
        <v>30.581298002868778</v>
      </c>
      <c r="I74" s="436">
        <f t="shared" si="6"/>
        <v>0</v>
      </c>
      <c r="J74" s="55">
        <f t="shared" si="7"/>
        <v>0</v>
      </c>
      <c r="K74" s="432">
        <f t="shared" si="8"/>
        <v>30.581298002868778</v>
      </c>
    </row>
    <row r="75" spans="1:11" x14ac:dyDescent="0.25">
      <c r="A75" s="49">
        <f>'A) Base RI'!A77</f>
        <v>5514</v>
      </c>
      <c r="B75" s="294" t="str">
        <f>'A) Base RI'!B77</f>
        <v>Bottens</v>
      </c>
      <c r="C75" s="95">
        <f>'B) D RI'!U77</f>
        <v>44638.492368569219</v>
      </c>
      <c r="D75" s="431">
        <f>'E) Fact soc'!G81/C75</f>
        <v>16.6282837104702</v>
      </c>
      <c r="E75" s="137">
        <f>'H) Péréquation directe'!I86/C75</f>
        <v>9.4063365428115464</v>
      </c>
      <c r="F75" s="110">
        <f>+'I) Dépenses thématiques'!O75/'J) Plafonnement effort'!C75</f>
        <v>0</v>
      </c>
      <c r="G75" s="137">
        <f t="shared" si="5"/>
        <v>26.034620253281744</v>
      </c>
      <c r="H75" s="432">
        <f>G75-'C) Prél. conj.'!I75</f>
        <v>24.809939107049917</v>
      </c>
      <c r="I75" s="436">
        <f t="shared" si="6"/>
        <v>0</v>
      </c>
      <c r="J75" s="55">
        <f t="shared" si="7"/>
        <v>0</v>
      </c>
      <c r="K75" s="432">
        <f t="shared" si="8"/>
        <v>24.809939107049917</v>
      </c>
    </row>
    <row r="76" spans="1:11" x14ac:dyDescent="0.25">
      <c r="A76" s="49">
        <f>'A) Base RI'!A78</f>
        <v>5515</v>
      </c>
      <c r="B76" s="294" t="str">
        <f>'A) Base RI'!B78</f>
        <v>Bretigny-sur-Morrens</v>
      </c>
      <c r="C76" s="95">
        <f>'B) D RI'!U78</f>
        <v>28831.158924958156</v>
      </c>
      <c r="D76" s="431">
        <f>'E) Fact soc'!G82/C76</f>
        <v>19.011582398512449</v>
      </c>
      <c r="E76" s="137">
        <f>'H) Péréquation directe'!I87/C76</f>
        <v>8.5264603761050974</v>
      </c>
      <c r="F76" s="110">
        <f>+'I) Dépenses thématiques'!O76/'J) Plafonnement effort'!C76</f>
        <v>-1.6713946555754779</v>
      </c>
      <c r="G76" s="137">
        <f t="shared" si="5"/>
        <v>25.866648119042065</v>
      </c>
      <c r="H76" s="432">
        <f>G76-'C) Prél. conj.'!I76</f>
        <v>22.258668284767992</v>
      </c>
      <c r="I76" s="436">
        <f t="shared" si="6"/>
        <v>0</v>
      </c>
      <c r="J76" s="55">
        <f t="shared" si="7"/>
        <v>0</v>
      </c>
      <c r="K76" s="432">
        <f t="shared" si="8"/>
        <v>22.258668284767992</v>
      </c>
    </row>
    <row r="77" spans="1:11" x14ac:dyDescent="0.25">
      <c r="A77" s="49">
        <f>'A) Base RI'!A79</f>
        <v>5516</v>
      </c>
      <c r="B77" s="294" t="str">
        <f>'A) Base RI'!B79</f>
        <v>Cugy</v>
      </c>
      <c r="C77" s="95">
        <f>'B) D RI'!U79</f>
        <v>111243.36559703569</v>
      </c>
      <c r="D77" s="431">
        <f>'E) Fact soc'!G83/C77</f>
        <v>17.644062241652534</v>
      </c>
      <c r="E77" s="137">
        <f>'H) Péréquation directe'!I88/C77</f>
        <v>11.147289066804142</v>
      </c>
      <c r="F77" s="110">
        <f>+'I) Dépenses thématiques'!O77/'J) Plafonnement effort'!C77</f>
        <v>-1.2270265034756358</v>
      </c>
      <c r="G77" s="137">
        <f t="shared" si="5"/>
        <v>27.564324804981041</v>
      </c>
      <c r="H77" s="432">
        <f>G77-'C) Prél. conj.'!I77</f>
        <v>25.323865127566883</v>
      </c>
      <c r="I77" s="436">
        <f t="shared" si="6"/>
        <v>0</v>
      </c>
      <c r="J77" s="55">
        <f t="shared" si="7"/>
        <v>0</v>
      </c>
      <c r="K77" s="432">
        <f t="shared" si="8"/>
        <v>25.323865127566883</v>
      </c>
    </row>
    <row r="78" spans="1:11" x14ac:dyDescent="0.25">
      <c r="A78" s="49">
        <f>'A) Base RI'!A80</f>
        <v>5518</v>
      </c>
      <c r="B78" s="294" t="str">
        <f>'A) Base RI'!B80</f>
        <v>Echallens</v>
      </c>
      <c r="C78" s="95">
        <f>'B) D RI'!U80</f>
        <v>180959.47694399237</v>
      </c>
      <c r="D78" s="431">
        <f>'E) Fact soc'!G84/C78</f>
        <v>17.173145974772808</v>
      </c>
      <c r="E78" s="137">
        <f>'H) Péréquation directe'!I89/C78</f>
        <v>-1.4467691151217805</v>
      </c>
      <c r="F78" s="110">
        <f>+'I) Dépenses thématiques'!O78/'J) Plafonnement effort'!C78</f>
        <v>-5.5708962902167896</v>
      </c>
      <c r="G78" s="137">
        <f t="shared" si="5"/>
        <v>10.155480569434239</v>
      </c>
      <c r="H78" s="432">
        <f>G78-'C) Prél. conj.'!I78</f>
        <v>8.3859371588998037</v>
      </c>
      <c r="I78" s="436">
        <f t="shared" si="6"/>
        <v>0</v>
      </c>
      <c r="J78" s="55">
        <f t="shared" si="7"/>
        <v>0</v>
      </c>
      <c r="K78" s="432">
        <f t="shared" si="8"/>
        <v>8.3859371588998037</v>
      </c>
    </row>
    <row r="79" spans="1:11" x14ac:dyDescent="0.25">
      <c r="A79" s="49">
        <f>'A) Base RI'!A81</f>
        <v>5520</v>
      </c>
      <c r="B79" s="294" t="str">
        <f>'A) Base RI'!B81</f>
        <v>Essertines-sur-Yverdon</v>
      </c>
      <c r="C79" s="95">
        <f>'B) D RI'!U81</f>
        <v>31792.947431853896</v>
      </c>
      <c r="D79" s="431">
        <f>'E) Fact soc'!G85/C79</f>
        <v>18.923365248709768</v>
      </c>
      <c r="E79" s="137">
        <f>'H) Péréquation directe'!I90/C79</f>
        <v>6.6875596146261227</v>
      </c>
      <c r="F79" s="110">
        <f>+'I) Dépenses thématiques'!O79/'J) Plafonnement effort'!C79</f>
        <v>-3.9561948025642306</v>
      </c>
      <c r="G79" s="137">
        <f t="shared" si="5"/>
        <v>21.654730060771659</v>
      </c>
      <c r="H79" s="432">
        <f>G79-'C) Prél. conj.'!I79</f>
        <v>18.134967376300263</v>
      </c>
      <c r="I79" s="436">
        <f t="shared" si="6"/>
        <v>0</v>
      </c>
      <c r="J79" s="55">
        <f t="shared" si="7"/>
        <v>0</v>
      </c>
      <c r="K79" s="432">
        <f t="shared" si="8"/>
        <v>18.134967376300263</v>
      </c>
    </row>
    <row r="80" spans="1:11" x14ac:dyDescent="0.25">
      <c r="A80" s="49">
        <f>'A) Base RI'!A82</f>
        <v>5521</v>
      </c>
      <c r="B80" s="294" t="str">
        <f>'A) Base RI'!B82</f>
        <v>Etagnières</v>
      </c>
      <c r="C80" s="95">
        <f>'B) D RI'!U82</f>
        <v>41863.452740254725</v>
      </c>
      <c r="D80" s="431">
        <f>'E) Fact soc'!G86/C80</f>
        <v>17.691535086055904</v>
      </c>
      <c r="E80" s="137">
        <f>'H) Péréquation directe'!I91/C80</f>
        <v>12.137453871176097</v>
      </c>
      <c r="F80" s="110">
        <f>+'I) Dépenses thématiques'!O80/'J) Plafonnement effort'!C80</f>
        <v>-0.55702672324467417</v>
      </c>
      <c r="G80" s="137">
        <f t="shared" si="5"/>
        <v>29.271962233987324</v>
      </c>
      <c r="H80" s="432">
        <f>G80-'C) Prél. conj.'!I80</f>
        <v>26.984029712169793</v>
      </c>
      <c r="I80" s="436">
        <f t="shared" si="6"/>
        <v>0</v>
      </c>
      <c r="J80" s="55">
        <f t="shared" si="7"/>
        <v>0</v>
      </c>
      <c r="K80" s="432">
        <f t="shared" si="8"/>
        <v>26.984029712169793</v>
      </c>
    </row>
    <row r="81" spans="1:11" x14ac:dyDescent="0.25">
      <c r="A81" s="49">
        <f>'A) Base RI'!A83</f>
        <v>5522</v>
      </c>
      <c r="B81" s="294" t="str">
        <f>'A) Base RI'!B83</f>
        <v>Fey</v>
      </c>
      <c r="C81" s="95">
        <f>'B) D RI'!U83</f>
        <v>21530.578579692767</v>
      </c>
      <c r="D81" s="431">
        <f>'E) Fact soc'!G87/C81</f>
        <v>18.237283032887937</v>
      </c>
      <c r="E81" s="137">
        <f>'H) Péréquation directe'!I92/C81</f>
        <v>4.2122476894928642</v>
      </c>
      <c r="F81" s="110">
        <f>+'I) Dépenses thématiques'!O81/'J) Plafonnement effort'!C81</f>
        <v>-1.7088090007309578</v>
      </c>
      <c r="G81" s="137">
        <f t="shared" si="5"/>
        <v>20.740721721649841</v>
      </c>
      <c r="H81" s="432">
        <f>G81-'C) Prél. conj.'!I81</f>
        <v>17.90704125300028</v>
      </c>
      <c r="I81" s="436">
        <f t="shared" si="6"/>
        <v>0</v>
      </c>
      <c r="J81" s="55">
        <f t="shared" si="7"/>
        <v>0</v>
      </c>
      <c r="K81" s="432">
        <f t="shared" si="8"/>
        <v>17.90704125300028</v>
      </c>
    </row>
    <row r="82" spans="1:11" x14ac:dyDescent="0.25">
      <c r="A82" s="49">
        <f>'A) Base RI'!A84</f>
        <v>5523</v>
      </c>
      <c r="B82" s="294" t="str">
        <f>'A) Base RI'!B84</f>
        <v>Froideville</v>
      </c>
      <c r="C82" s="95">
        <f>'B) D RI'!U84</f>
        <v>82933.673531693348</v>
      </c>
      <c r="D82" s="431">
        <f>'E) Fact soc'!G88/C82</f>
        <v>17.339671631993337</v>
      </c>
      <c r="E82" s="137">
        <f>'H) Péréquation directe'!I93/C82</f>
        <v>3.1216960798631384</v>
      </c>
      <c r="F82" s="110">
        <f>+'I) Dépenses thématiques'!O82/'J) Plafonnement effort'!C82</f>
        <v>-0.94904213207205801</v>
      </c>
      <c r="G82" s="137">
        <f t="shared" si="5"/>
        <v>19.512325579784417</v>
      </c>
      <c r="H82" s="432">
        <f>G82-'C) Prél. conj.'!I82</f>
        <v>17.576256512029452</v>
      </c>
      <c r="I82" s="436">
        <f t="shared" si="6"/>
        <v>0</v>
      </c>
      <c r="J82" s="55">
        <f t="shared" si="7"/>
        <v>0</v>
      </c>
      <c r="K82" s="432">
        <f t="shared" si="8"/>
        <v>17.576256512029452</v>
      </c>
    </row>
    <row r="83" spans="1:11" x14ac:dyDescent="0.25">
      <c r="A83" s="49">
        <f>'A) Base RI'!A85</f>
        <v>5527</v>
      </c>
      <c r="B83" s="294" t="str">
        <f>'A) Base RI'!B85</f>
        <v>Morrens</v>
      </c>
      <c r="C83" s="95">
        <f>'B) D RI'!U85</f>
        <v>37846.307885294293</v>
      </c>
      <c r="D83" s="431">
        <f>'E) Fact soc'!G89/C83</f>
        <v>18.968204834263766</v>
      </c>
      <c r="E83" s="137">
        <f>'H) Péréquation directe'!I94/C83</f>
        <v>10.270386651310135</v>
      </c>
      <c r="F83" s="110">
        <f>+'I) Dépenses thématiques'!O83/'J) Plafonnement effort'!C83</f>
        <v>-0.76701012634889942</v>
      </c>
      <c r="G83" s="137">
        <f t="shared" si="5"/>
        <v>28.471581359224999</v>
      </c>
      <c r="H83" s="432">
        <f>G83-'C) Prél. conj.'!I83</f>
        <v>24.906979089199606</v>
      </c>
      <c r="I83" s="436">
        <f t="shared" si="6"/>
        <v>0</v>
      </c>
      <c r="J83" s="55">
        <f t="shared" si="7"/>
        <v>0</v>
      </c>
      <c r="K83" s="432">
        <f t="shared" si="8"/>
        <v>24.906979089199606</v>
      </c>
    </row>
    <row r="84" spans="1:11" x14ac:dyDescent="0.25">
      <c r="A84" s="49">
        <f>'A) Base RI'!A86</f>
        <v>5529</v>
      </c>
      <c r="B84" s="294" t="str">
        <f>'A) Base RI'!B86</f>
        <v>Oulens-sous-Echallens</v>
      </c>
      <c r="C84" s="95">
        <f>'B) D RI'!U86</f>
        <v>21232.684624593807</v>
      </c>
      <c r="D84" s="431">
        <f>'E) Fact soc'!G90/C84</f>
        <v>16.837404061235006</v>
      </c>
      <c r="E84" s="137">
        <f>'H) Péréquation directe'!I95/C84</f>
        <v>10.87776395971243</v>
      </c>
      <c r="F84" s="110">
        <f>+'I) Dépenses thématiques'!O84/'J) Plafonnement effort'!C84</f>
        <v>-6.1001406471842134</v>
      </c>
      <c r="G84" s="137">
        <f t="shared" si="5"/>
        <v>21.615027373763226</v>
      </c>
      <c r="H84" s="432">
        <f>G84-'C) Prél. conj.'!I84</f>
        <v>20.181225876766593</v>
      </c>
      <c r="I84" s="436">
        <f t="shared" si="6"/>
        <v>0</v>
      </c>
      <c r="J84" s="55">
        <f t="shared" si="7"/>
        <v>0</v>
      </c>
      <c r="K84" s="432">
        <f t="shared" si="8"/>
        <v>20.181225876766593</v>
      </c>
    </row>
    <row r="85" spans="1:11" x14ac:dyDescent="0.25">
      <c r="A85" s="49">
        <f>'A) Base RI'!A87</f>
        <v>5530</v>
      </c>
      <c r="B85" s="294" t="str">
        <f>'A) Base RI'!B87</f>
        <v>Pailly</v>
      </c>
      <c r="C85" s="95">
        <f>'B) D RI'!U87</f>
        <v>16822.836054480296</v>
      </c>
      <c r="D85" s="431">
        <f>'E) Fact soc'!G91/C85</f>
        <v>20.992976418652056</v>
      </c>
      <c r="E85" s="137">
        <f>'H) Péréquation directe'!I96/C85</f>
        <v>4.3004224454181799</v>
      </c>
      <c r="F85" s="110">
        <f>+'I) Dépenses thématiques'!O85/'J) Plafonnement effort'!C85</f>
        <v>-13.782093073396563</v>
      </c>
      <c r="G85" s="137">
        <f t="shared" si="5"/>
        <v>11.511305790673671</v>
      </c>
      <c r="H85" s="432">
        <f>G85-'C) Prél. conj.'!I85</f>
        <v>5.9219319362599876</v>
      </c>
      <c r="I85" s="436">
        <f t="shared" si="6"/>
        <v>0</v>
      </c>
      <c r="J85" s="55">
        <f t="shared" si="7"/>
        <v>0</v>
      </c>
      <c r="K85" s="432">
        <f t="shared" si="8"/>
        <v>5.9219319362599876</v>
      </c>
    </row>
    <row r="86" spans="1:11" x14ac:dyDescent="0.25">
      <c r="A86" s="49">
        <f>'A) Base RI'!A88</f>
        <v>5531</v>
      </c>
      <c r="B86" s="294" t="str">
        <f>'A) Base RI'!B88</f>
        <v>Penthéréaz</v>
      </c>
      <c r="C86" s="95">
        <f>'B) D RI'!U88</f>
        <v>14989.425098501475</v>
      </c>
      <c r="D86" s="431">
        <f>'E) Fact soc'!G92/C86</f>
        <v>17.582479324713002</v>
      </c>
      <c r="E86" s="137">
        <f>'H) Péréquation directe'!I97/C86</f>
        <v>10.509714521890526</v>
      </c>
      <c r="F86" s="110">
        <f>+'I) Dépenses thématiques'!O86/'J) Plafonnement effort'!C86</f>
        <v>-3.1937227981337952</v>
      </c>
      <c r="G86" s="137">
        <f t="shared" si="5"/>
        <v>24.898471048469734</v>
      </c>
      <c r="H86" s="432">
        <f>G86-'C) Prél. conj.'!I86</f>
        <v>22.719594287995104</v>
      </c>
      <c r="I86" s="436">
        <f t="shared" si="6"/>
        <v>0</v>
      </c>
      <c r="J86" s="55">
        <f t="shared" si="7"/>
        <v>0</v>
      </c>
      <c r="K86" s="432">
        <f t="shared" si="8"/>
        <v>22.719594287995104</v>
      </c>
    </row>
    <row r="87" spans="1:11" x14ac:dyDescent="0.25">
      <c r="A87" s="49">
        <f>'A) Base RI'!A89</f>
        <v>5533</v>
      </c>
      <c r="B87" s="294" t="str">
        <f>'A) Base RI'!B89</f>
        <v>Poliez-Pittet</v>
      </c>
      <c r="C87" s="95">
        <f>'B) D RI'!U89</f>
        <v>25275.822973621725</v>
      </c>
      <c r="D87" s="431">
        <f>'E) Fact soc'!G93/C87</f>
        <v>16.77891980064561</v>
      </c>
      <c r="E87" s="137">
        <f>'H) Péréquation directe'!I98/C87</f>
        <v>6.0735641111199588</v>
      </c>
      <c r="F87" s="110">
        <f>+'I) Dépenses thématiques'!O87/'J) Plafonnement effort'!C87</f>
        <v>-1.2097923003354929</v>
      </c>
      <c r="G87" s="137">
        <f t="shared" si="5"/>
        <v>21.642691611430074</v>
      </c>
      <c r="H87" s="432">
        <f>G87-'C) Prél. conj.'!I87</f>
        <v>20.267374375022836</v>
      </c>
      <c r="I87" s="436">
        <f t="shared" si="6"/>
        <v>0</v>
      </c>
      <c r="J87" s="55">
        <f t="shared" si="7"/>
        <v>0</v>
      </c>
      <c r="K87" s="432">
        <f t="shared" si="8"/>
        <v>20.267374375022836</v>
      </c>
    </row>
    <row r="88" spans="1:11" x14ac:dyDescent="0.25">
      <c r="A88" s="49">
        <f>'A) Base RI'!A90</f>
        <v>5534</v>
      </c>
      <c r="B88" s="294" t="str">
        <f>'A) Base RI'!B90</f>
        <v>Rueyres</v>
      </c>
      <c r="C88" s="95">
        <f>'B) D RI'!U90</f>
        <v>8313.1321594227738</v>
      </c>
      <c r="D88" s="431">
        <f>'E) Fact soc'!G94/C88</f>
        <v>16.9036773568501</v>
      </c>
      <c r="E88" s="137">
        <f>'H) Péréquation directe'!I99/C88</f>
        <v>8.5059325515179811</v>
      </c>
      <c r="F88" s="110">
        <f>+'I) Dépenses thématiques'!O88/'J) Plafonnement effort'!C88</f>
        <v>-2.7636164044088742</v>
      </c>
      <c r="G88" s="137">
        <f t="shared" si="5"/>
        <v>22.645993503959208</v>
      </c>
      <c r="H88" s="432">
        <f>G88-'C) Prél. conj.'!I88</f>
        <v>21.14591871134748</v>
      </c>
      <c r="I88" s="436">
        <f t="shared" si="6"/>
        <v>0</v>
      </c>
      <c r="J88" s="55">
        <f t="shared" si="7"/>
        <v>0</v>
      </c>
      <c r="K88" s="432">
        <f t="shared" si="8"/>
        <v>21.14591871134748</v>
      </c>
    </row>
    <row r="89" spans="1:11" x14ac:dyDescent="0.25">
      <c r="A89" s="49">
        <f>'A) Base RI'!A91</f>
        <v>5535</v>
      </c>
      <c r="B89" s="294" t="str">
        <f>'A) Base RI'!B91</f>
        <v>Saint-Barthélemy</v>
      </c>
      <c r="C89" s="95">
        <f>'B) D RI'!U91</f>
        <v>21802.428816169639</v>
      </c>
      <c r="D89" s="431">
        <f>'E) Fact soc'!G95/C89</f>
        <v>19.394444856793847</v>
      </c>
      <c r="E89" s="137">
        <f>'H) Péréquation directe'!I100/C89</f>
        <v>1.6913281039971226</v>
      </c>
      <c r="F89" s="110">
        <f>+'I) Dépenses thématiques'!O89/'J) Plafonnement effort'!C89</f>
        <v>-7.2132443774958399E-3</v>
      </c>
      <c r="G89" s="137">
        <f t="shared" si="5"/>
        <v>21.078559716413473</v>
      </c>
      <c r="H89" s="432">
        <f>G89-'C) Prél. conj.'!I89</f>
        <v>17.087717423857999</v>
      </c>
      <c r="I89" s="436">
        <f t="shared" si="6"/>
        <v>0</v>
      </c>
      <c r="J89" s="55">
        <f t="shared" si="7"/>
        <v>0</v>
      </c>
      <c r="K89" s="432">
        <f t="shared" si="8"/>
        <v>17.087717423857999</v>
      </c>
    </row>
    <row r="90" spans="1:11" x14ac:dyDescent="0.25">
      <c r="A90" s="49">
        <f>'A) Base RI'!A92</f>
        <v>5537</v>
      </c>
      <c r="B90" s="294" t="str">
        <f>'A) Base RI'!B92</f>
        <v>Villars-le-Terroir</v>
      </c>
      <c r="C90" s="95">
        <f>'B) D RI'!U92</f>
        <v>37312.302103659451</v>
      </c>
      <c r="D90" s="431">
        <f>'E) Fact soc'!G96/C90</f>
        <v>17.015235232545439</v>
      </c>
      <c r="E90" s="137">
        <f>'H) Péréquation directe'!I101/C90</f>
        <v>5.250621584192471</v>
      </c>
      <c r="F90" s="110">
        <f>+'I) Dépenses thématiques'!O90/'J) Plafonnement effort'!C90</f>
        <v>-0.59087499558141365</v>
      </c>
      <c r="G90" s="137">
        <f t="shared" si="5"/>
        <v>21.674981821156496</v>
      </c>
      <c r="H90" s="432">
        <f>G90-'C) Prél. conj.'!I90</f>
        <v>20.06334915284943</v>
      </c>
      <c r="I90" s="436">
        <f t="shared" si="6"/>
        <v>0</v>
      </c>
      <c r="J90" s="55">
        <f t="shared" si="7"/>
        <v>0</v>
      </c>
      <c r="K90" s="432">
        <f t="shared" si="8"/>
        <v>20.06334915284943</v>
      </c>
    </row>
    <row r="91" spans="1:11" x14ac:dyDescent="0.25">
      <c r="A91" s="49">
        <f>'A) Base RI'!A93</f>
        <v>5539</v>
      </c>
      <c r="B91" s="294" t="str">
        <f>'A) Base RI'!B93</f>
        <v>Vuarrens</v>
      </c>
      <c r="C91" s="95">
        <f>'B) D RI'!U93</f>
        <v>28863.357859136209</v>
      </c>
      <c r="D91" s="431">
        <f>'E) Fact soc'!G97/C91</f>
        <v>18.368191799406482</v>
      </c>
      <c r="E91" s="137">
        <f>'H) Péréquation directe'!I102/C91</f>
        <v>3.5396853917351936</v>
      </c>
      <c r="F91" s="110">
        <f>+'I) Dépenses thématiques'!O91/'J) Plafonnement effort'!C91</f>
        <v>-2.7436133426233074</v>
      </c>
      <c r="G91" s="137">
        <f t="shared" si="5"/>
        <v>19.164263848518367</v>
      </c>
      <c r="H91" s="432">
        <f>G91-'C) Prél. conj.'!I91</f>
        <v>16.199674613350261</v>
      </c>
      <c r="I91" s="436">
        <f t="shared" si="6"/>
        <v>0</v>
      </c>
      <c r="J91" s="55">
        <f t="shared" si="7"/>
        <v>0</v>
      </c>
      <c r="K91" s="432">
        <f t="shared" si="8"/>
        <v>16.199674613350261</v>
      </c>
    </row>
    <row r="92" spans="1:11" x14ac:dyDescent="0.25">
      <c r="A92" s="49">
        <f>'A) Base RI'!A94</f>
        <v>5540</v>
      </c>
      <c r="B92" s="294" t="str">
        <f>'A) Base RI'!B94</f>
        <v>Montilliez</v>
      </c>
      <c r="C92" s="95">
        <f>'B) D RI'!U94</f>
        <v>59091.740495657374</v>
      </c>
      <c r="D92" s="431">
        <f>'E) Fact soc'!G98/C92</f>
        <v>17.097790604060236</v>
      </c>
      <c r="E92" s="137">
        <f>'H) Péréquation directe'!I103/C92</f>
        <v>5.9047293221670758</v>
      </c>
      <c r="F92" s="110">
        <f>+'I) Dépenses thématiques'!O92/'J) Plafonnement effort'!C92</f>
        <v>-10.963933077325107</v>
      </c>
      <c r="G92" s="137">
        <f t="shared" si="5"/>
        <v>12.038586848902204</v>
      </c>
      <c r="H92" s="432">
        <f>G92-'C) Prél. conj.'!I92</f>
        <v>10.34439880908034</v>
      </c>
      <c r="I92" s="436">
        <f t="shared" si="6"/>
        <v>0</v>
      </c>
      <c r="J92" s="55">
        <f t="shared" si="7"/>
        <v>0</v>
      </c>
      <c r="K92" s="432">
        <f t="shared" si="8"/>
        <v>10.34439880908034</v>
      </c>
    </row>
    <row r="93" spans="1:11" x14ac:dyDescent="0.25">
      <c r="A93" s="49">
        <f>'A) Base RI'!A95</f>
        <v>5541</v>
      </c>
      <c r="B93" s="294" t="str">
        <f>'A) Base RI'!B95</f>
        <v>Goumoëns</v>
      </c>
      <c r="C93" s="95">
        <f>'B) D RI'!U95</f>
        <v>35230.967112736034</v>
      </c>
      <c r="D93" s="431">
        <f>'E) Fact soc'!G99/C93</f>
        <v>17.309365178848179</v>
      </c>
      <c r="E93" s="137">
        <f>'H) Péréquation directe'!I104/C93</f>
        <v>5.5669950835979867</v>
      </c>
      <c r="F93" s="110">
        <f>+'I) Dépenses thématiques'!O93/'J) Plafonnement effort'!C93</f>
        <v>-2.2544759728024237</v>
      </c>
      <c r="G93" s="137">
        <f t="shared" si="5"/>
        <v>20.621884289643742</v>
      </c>
      <c r="H93" s="432">
        <f>G93-'C) Prél. conj.'!I93</f>
        <v>18.716121675033932</v>
      </c>
      <c r="I93" s="436">
        <f t="shared" si="6"/>
        <v>0</v>
      </c>
      <c r="J93" s="55">
        <f t="shared" si="7"/>
        <v>0</v>
      </c>
      <c r="K93" s="432">
        <f t="shared" si="8"/>
        <v>18.716121675033932</v>
      </c>
    </row>
    <row r="94" spans="1:11" x14ac:dyDescent="0.25">
      <c r="A94" s="49">
        <f>'A) Base RI'!A96</f>
        <v>5551</v>
      </c>
      <c r="B94" s="294" t="str">
        <f>'A) Base RI'!B96</f>
        <v>Bonvillars</v>
      </c>
      <c r="C94" s="95">
        <f>'B) D RI'!U96</f>
        <v>21415.305138743261</v>
      </c>
      <c r="D94" s="431">
        <f>'E) Fact soc'!G100/C94</f>
        <v>17.410355198467798</v>
      </c>
      <c r="E94" s="137">
        <f>'H) Péréquation directe'!I105/C94</f>
        <v>16.651723363862345</v>
      </c>
      <c r="F94" s="110">
        <f>+'I) Dépenses thématiques'!O94/'J) Plafonnement effort'!C94</f>
        <v>-2.8533388452385768</v>
      </c>
      <c r="G94" s="137">
        <f t="shared" si="5"/>
        <v>31.208739717091568</v>
      </c>
      <c r="H94" s="432">
        <f>G94-'C) Prél. conj.'!I94</f>
        <v>29.201987082862143</v>
      </c>
      <c r="I94" s="436">
        <f t="shared" si="6"/>
        <v>0</v>
      </c>
      <c r="J94" s="55">
        <f t="shared" si="7"/>
        <v>0</v>
      </c>
      <c r="K94" s="432">
        <f t="shared" si="8"/>
        <v>29.201987082862143</v>
      </c>
    </row>
    <row r="95" spans="1:11" x14ac:dyDescent="0.25">
      <c r="A95" s="49">
        <f>'A) Base RI'!A97</f>
        <v>5552</v>
      </c>
      <c r="B95" s="294" t="str">
        <f>'A) Base RI'!B97</f>
        <v>Bullet</v>
      </c>
      <c r="C95" s="95">
        <f>'B) D RI'!U97</f>
        <v>17732.087898586105</v>
      </c>
      <c r="D95" s="431">
        <f>'E) Fact soc'!G101/C95</f>
        <v>18.229717023325605</v>
      </c>
      <c r="E95" s="137">
        <f>'H) Péréquation directe'!I106/C95</f>
        <v>1.7734175509659273</v>
      </c>
      <c r="F95" s="110">
        <f>+'I) Dépenses thématiques'!O95/'J) Plafonnement effort'!C95</f>
        <v>-11.933932499585163</v>
      </c>
      <c r="G95" s="137">
        <f t="shared" si="5"/>
        <v>8.0692020747063697</v>
      </c>
      <c r="H95" s="432">
        <f>G95-'C) Prél. conj.'!I95</f>
        <v>5.2430876156191335</v>
      </c>
      <c r="I95" s="436">
        <f t="shared" si="6"/>
        <v>0</v>
      </c>
      <c r="J95" s="55">
        <f t="shared" si="7"/>
        <v>0</v>
      </c>
      <c r="K95" s="432">
        <f t="shared" si="8"/>
        <v>5.2430876156191335</v>
      </c>
    </row>
    <row r="96" spans="1:11" x14ac:dyDescent="0.25">
      <c r="A96" s="49">
        <f>'A) Base RI'!A98</f>
        <v>5553</v>
      </c>
      <c r="B96" s="294" t="str">
        <f>'A) Base RI'!B98</f>
        <v>Champagne</v>
      </c>
      <c r="C96" s="95">
        <f>'B) D RI'!U98</f>
        <v>38083.02347761167</v>
      </c>
      <c r="D96" s="431">
        <f>'E) Fact soc'!G102/C96</f>
        <v>18.848869457953725</v>
      </c>
      <c r="E96" s="137">
        <f>'H) Péréquation directe'!I107/C96</f>
        <v>13.044624201580689</v>
      </c>
      <c r="F96" s="110">
        <f>+'I) Dépenses thématiques'!O96/'J) Plafonnement effort'!C96</f>
        <v>-7.8248787102970496</v>
      </c>
      <c r="G96" s="137">
        <f t="shared" si="5"/>
        <v>24.068614949237364</v>
      </c>
      <c r="H96" s="432">
        <f>G96-'C) Prél. conj.'!I96</f>
        <v>20.623348055522012</v>
      </c>
      <c r="I96" s="436">
        <f t="shared" si="6"/>
        <v>0</v>
      </c>
      <c r="J96" s="55">
        <f t="shared" si="7"/>
        <v>0</v>
      </c>
      <c r="K96" s="432">
        <f t="shared" si="8"/>
        <v>20.623348055522012</v>
      </c>
    </row>
    <row r="97" spans="1:11" x14ac:dyDescent="0.25">
      <c r="A97" s="49">
        <f>'A) Base RI'!A99</f>
        <v>5554</v>
      </c>
      <c r="B97" s="294" t="str">
        <f>'A) Base RI'!B99</f>
        <v>Concise</v>
      </c>
      <c r="C97" s="95">
        <f>'B) D RI'!U99</f>
        <v>29757.199499444905</v>
      </c>
      <c r="D97" s="431">
        <f>'E) Fact soc'!G103/C97</f>
        <v>20.142156842594783</v>
      </c>
      <c r="E97" s="137">
        <f>'H) Péréquation directe'!I108/C97</f>
        <v>4.9493642014529895</v>
      </c>
      <c r="F97" s="110">
        <f>+'I) Dépenses thématiques'!O97/'J) Plafonnement effort'!C97</f>
        <v>-4.5131930494563992</v>
      </c>
      <c r="G97" s="137">
        <f t="shared" si="5"/>
        <v>20.578327994591376</v>
      </c>
      <c r="H97" s="432">
        <f>G97-'C) Prél. conj.'!I97</f>
        <v>15.839773716234962</v>
      </c>
      <c r="I97" s="436">
        <f t="shared" si="6"/>
        <v>0</v>
      </c>
      <c r="J97" s="55">
        <f t="shared" si="7"/>
        <v>0</v>
      </c>
      <c r="K97" s="432">
        <f t="shared" si="8"/>
        <v>15.839773716234962</v>
      </c>
    </row>
    <row r="98" spans="1:11" x14ac:dyDescent="0.25">
      <c r="A98" s="49">
        <f>'A) Base RI'!A100</f>
        <v>5555</v>
      </c>
      <c r="B98" s="294" t="str">
        <f>'A) Base RI'!B100</f>
        <v>Corcelles-près-Concise</v>
      </c>
      <c r="C98" s="95">
        <f>'B) D RI'!U100</f>
        <v>13026.26930420642</v>
      </c>
      <c r="D98" s="431">
        <f>'E) Fact soc'!G104/C98</f>
        <v>18.967261422804253</v>
      </c>
      <c r="E98" s="137">
        <f>'H) Péréquation directe'!I109/C98</f>
        <v>8.8232189645852515</v>
      </c>
      <c r="F98" s="110">
        <f>+'I) Dépenses thématiques'!O98/'J) Plafonnement effort'!C98</f>
        <v>-12.053203806224044</v>
      </c>
      <c r="G98" s="137">
        <f t="shared" si="5"/>
        <v>15.73727658116546</v>
      </c>
      <c r="H98" s="432">
        <f>G98-'C) Prél. conj.'!I98</f>
        <v>12.17361772259958</v>
      </c>
      <c r="I98" s="436">
        <f t="shared" si="6"/>
        <v>0</v>
      </c>
      <c r="J98" s="55">
        <f t="shared" si="7"/>
        <v>0</v>
      </c>
      <c r="K98" s="432">
        <f t="shared" si="8"/>
        <v>12.17361772259958</v>
      </c>
    </row>
    <row r="99" spans="1:11" x14ac:dyDescent="0.25">
      <c r="A99" s="49">
        <f>'A) Base RI'!A101</f>
        <v>5556</v>
      </c>
      <c r="B99" s="294" t="str">
        <f>'A) Base RI'!B101</f>
        <v>Fiez</v>
      </c>
      <c r="C99" s="95">
        <f>'B) D RI'!U101</f>
        <v>12681.485348367609</v>
      </c>
      <c r="D99" s="431">
        <f>'E) Fact soc'!G105/C99</f>
        <v>19.200160986016424</v>
      </c>
      <c r="E99" s="137">
        <f>'H) Péréquation directe'!I110/C99</f>
        <v>4.9002322135510461</v>
      </c>
      <c r="F99" s="110">
        <f>+'I) Dépenses thématiques'!O99/'J) Plafonnement effort'!C99</f>
        <v>-2.7167953974557966</v>
      </c>
      <c r="G99" s="137">
        <f t="shared" si="5"/>
        <v>21.383597802111673</v>
      </c>
      <c r="H99" s="432">
        <f>G99-'C) Prél. conj.'!I99</f>
        <v>17.587039380333621</v>
      </c>
      <c r="I99" s="436">
        <f t="shared" si="6"/>
        <v>0</v>
      </c>
      <c r="J99" s="55">
        <f t="shared" si="7"/>
        <v>0</v>
      </c>
      <c r="K99" s="432">
        <f t="shared" si="8"/>
        <v>17.587039380333621</v>
      </c>
    </row>
    <row r="100" spans="1:11" x14ac:dyDescent="0.25">
      <c r="A100" s="49">
        <f>'A) Base RI'!A102</f>
        <v>5557</v>
      </c>
      <c r="B100" s="294" t="str">
        <f>'A) Base RI'!B102</f>
        <v>Fontaines-sur-Grandson</v>
      </c>
      <c r="C100" s="95">
        <f>'B) D RI'!U102</f>
        <v>5466.9806268353996</v>
      </c>
      <c r="D100" s="431">
        <f>'E) Fact soc'!G106/C100</f>
        <v>19.323439941164423</v>
      </c>
      <c r="E100" s="137">
        <f>'H) Péréquation directe'!I111/C100</f>
        <v>0.39535760907893724</v>
      </c>
      <c r="F100" s="110">
        <f>+'I) Dépenses thématiques'!O100/'J) Plafonnement effort'!C100</f>
        <v>-10.706592083439007</v>
      </c>
      <c r="G100" s="137">
        <f t="shared" si="5"/>
        <v>9.0122054668043514</v>
      </c>
      <c r="H100" s="432">
        <f>G100-'C) Prél. conj.'!I100</f>
        <v>5.0923680898783026</v>
      </c>
      <c r="I100" s="436">
        <f t="shared" si="6"/>
        <v>0</v>
      </c>
      <c r="J100" s="55">
        <f t="shared" si="7"/>
        <v>0</v>
      </c>
      <c r="K100" s="432">
        <f t="shared" si="8"/>
        <v>5.0923680898783026</v>
      </c>
    </row>
    <row r="101" spans="1:11" x14ac:dyDescent="0.25">
      <c r="A101" s="49">
        <f>'A) Base RI'!A103</f>
        <v>5559</v>
      </c>
      <c r="B101" s="294" t="str">
        <f>'A) Base RI'!B103</f>
        <v>Giez</v>
      </c>
      <c r="C101" s="95">
        <f>'B) D RI'!U103</f>
        <v>19176.421195753639</v>
      </c>
      <c r="D101" s="431">
        <f>'E) Fact soc'!G107/C101</f>
        <v>21.947758245702271</v>
      </c>
      <c r="E101" s="137">
        <f>'H) Péréquation directe'!I112/C101</f>
        <v>17.599623845703601</v>
      </c>
      <c r="F101" s="110">
        <f>+'I) Dépenses thématiques'!O101/'J) Plafonnement effort'!C101</f>
        <v>-0.7971055063750605</v>
      </c>
      <c r="G101" s="137">
        <f t="shared" si="5"/>
        <v>38.750276585030811</v>
      </c>
      <c r="H101" s="432">
        <f>G101-'C) Prél. conj.'!I101</f>
        <v>32.693730693886209</v>
      </c>
      <c r="I101" s="436">
        <f t="shared" si="6"/>
        <v>0</v>
      </c>
      <c r="J101" s="55">
        <f t="shared" si="7"/>
        <v>0</v>
      </c>
      <c r="K101" s="432">
        <f t="shared" si="8"/>
        <v>32.693730693886209</v>
      </c>
    </row>
    <row r="102" spans="1:11" x14ac:dyDescent="0.25">
      <c r="A102" s="49">
        <f>'A) Base RI'!A104</f>
        <v>5560</v>
      </c>
      <c r="B102" s="294" t="str">
        <f>'A) Base RI'!B104</f>
        <v>Grandevent</v>
      </c>
      <c r="C102" s="95">
        <f>'B) D RI'!U104</f>
        <v>7435.5518015193766</v>
      </c>
      <c r="D102" s="431">
        <f>'E) Fact soc'!G108/C102</f>
        <v>18.318850225557959</v>
      </c>
      <c r="E102" s="137">
        <f>'H) Péréquation directe'!I113/C102</f>
        <v>8.291074932144765</v>
      </c>
      <c r="F102" s="110">
        <f>+'I) Dépenses thématiques'!O102/'J) Plafonnement effort'!C102</f>
        <v>-3.8322436093043972</v>
      </c>
      <c r="G102" s="137">
        <f t="shared" si="5"/>
        <v>22.777681548398327</v>
      </c>
      <c r="H102" s="432">
        <f>G102-'C) Prél. conj.'!I102</f>
        <v>19.86243388707874</v>
      </c>
      <c r="I102" s="436">
        <f t="shared" si="6"/>
        <v>0</v>
      </c>
      <c r="J102" s="55">
        <f t="shared" si="7"/>
        <v>0</v>
      </c>
      <c r="K102" s="432">
        <f t="shared" si="8"/>
        <v>19.86243388707874</v>
      </c>
    </row>
    <row r="103" spans="1:11" x14ac:dyDescent="0.25">
      <c r="A103" s="49">
        <f>'A) Base RI'!A105</f>
        <v>5561</v>
      </c>
      <c r="B103" s="294" t="str">
        <f>'A) Base RI'!B105</f>
        <v>Grandson</v>
      </c>
      <c r="C103" s="95">
        <f>'B) D RI'!U105</f>
        <v>121785.01104961828</v>
      </c>
      <c r="D103" s="431">
        <f>'E) Fact soc'!G109/C103</f>
        <v>19.379878879578229</v>
      </c>
      <c r="E103" s="137">
        <f>'H) Péréquation directe'!I114/C103</f>
        <v>7.5571694621570256</v>
      </c>
      <c r="F103" s="110">
        <f>+'I) Dépenses thématiques'!O103/'J) Plafonnement effort'!C103</f>
        <v>-6.5783976411467933</v>
      </c>
      <c r="G103" s="137">
        <f t="shared" si="5"/>
        <v>20.358650700588463</v>
      </c>
      <c r="H103" s="432">
        <f>G103-'C) Prél. conj.'!I103</f>
        <v>16.382374385248607</v>
      </c>
      <c r="I103" s="436">
        <f t="shared" si="6"/>
        <v>0</v>
      </c>
      <c r="J103" s="55">
        <f t="shared" si="7"/>
        <v>0</v>
      </c>
      <c r="K103" s="432">
        <f t="shared" si="8"/>
        <v>16.382374385248607</v>
      </c>
    </row>
    <row r="104" spans="1:11" x14ac:dyDescent="0.25">
      <c r="A104" s="49">
        <f>'A) Base RI'!A106</f>
        <v>5562</v>
      </c>
      <c r="B104" s="294" t="str">
        <f>'A) Base RI'!B106</f>
        <v>Mauborget</v>
      </c>
      <c r="C104" s="95">
        <f>'B) D RI'!U106</f>
        <v>5293.9932786811205</v>
      </c>
      <c r="D104" s="431">
        <f>'E) Fact soc'!G110/C104</f>
        <v>18.632811424182176</v>
      </c>
      <c r="E104" s="137">
        <f>'H) Péréquation directe'!I115/C104</f>
        <v>16.761810700833635</v>
      </c>
      <c r="F104" s="110">
        <f>+'I) Dépenses thématiques'!O104/'J) Plafonnement effort'!C104</f>
        <v>-2.9576929110842096</v>
      </c>
      <c r="G104" s="137">
        <f t="shared" si="5"/>
        <v>32.436929213931606</v>
      </c>
      <c r="H104" s="432">
        <f>G104-'C) Prél. conj.'!I104</f>
        <v>29.207720353987806</v>
      </c>
      <c r="I104" s="436">
        <f t="shared" si="6"/>
        <v>0</v>
      </c>
      <c r="J104" s="55">
        <f t="shared" si="7"/>
        <v>0</v>
      </c>
      <c r="K104" s="432">
        <f t="shared" si="8"/>
        <v>29.207720353987806</v>
      </c>
    </row>
    <row r="105" spans="1:11" x14ac:dyDescent="0.25">
      <c r="A105" s="49">
        <f>'A) Base RI'!A107</f>
        <v>5563</v>
      </c>
      <c r="B105" s="294" t="str">
        <f>'A) Base RI'!B107</f>
        <v>Mutrux</v>
      </c>
      <c r="C105" s="95">
        <f>'B) D RI'!U107</f>
        <v>3292.4675996165679</v>
      </c>
      <c r="D105" s="431">
        <f>'E) Fact soc'!G111/C105</f>
        <v>17.056511768457657</v>
      </c>
      <c r="E105" s="137">
        <f>'H) Péréquation directe'!I116/C105</f>
        <v>-13.916038601917569</v>
      </c>
      <c r="F105" s="110">
        <f>+'I) Dépenses thématiques'!O105/'J) Plafonnement effort'!C105</f>
        <v>-9.2053412191161819</v>
      </c>
      <c r="G105" s="137">
        <f t="shared" si="5"/>
        <v>-6.0648680525760934</v>
      </c>
      <c r="H105" s="432">
        <f>G105-'C) Prél. conj.'!I105</f>
        <v>-7.7177772567953777</v>
      </c>
      <c r="I105" s="436">
        <f t="shared" si="6"/>
        <v>0</v>
      </c>
      <c r="J105" s="55">
        <f t="shared" si="7"/>
        <v>0</v>
      </c>
      <c r="K105" s="432">
        <f t="shared" si="8"/>
        <v>-7.7177772567953777</v>
      </c>
    </row>
    <row r="106" spans="1:11" x14ac:dyDescent="0.25">
      <c r="A106" s="49">
        <f>'A) Base RI'!A108</f>
        <v>5564</v>
      </c>
      <c r="B106" s="294" t="str">
        <f>'A) Base RI'!B108</f>
        <v>Novalles</v>
      </c>
      <c r="C106" s="95">
        <f>'B) D RI'!U108</f>
        <v>2878.9025109575691</v>
      </c>
      <c r="D106" s="431">
        <f>'E) Fact soc'!G112/C106</f>
        <v>20.160067900553411</v>
      </c>
      <c r="E106" s="137">
        <f>'H) Péréquation directe'!I117/C106</f>
        <v>2.7502220404267614</v>
      </c>
      <c r="F106" s="110">
        <f>+'I) Dépenses thématiques'!O106/'J) Plafonnement effort'!C106</f>
        <v>-4.1619183175916303</v>
      </c>
      <c r="G106" s="137">
        <f t="shared" si="5"/>
        <v>18.74837162338854</v>
      </c>
      <c r="H106" s="432">
        <f>G106-'C) Prél. conj.'!I106</f>
        <v>13.991906287073501</v>
      </c>
      <c r="I106" s="436">
        <f t="shared" si="6"/>
        <v>0</v>
      </c>
      <c r="J106" s="55">
        <f t="shared" si="7"/>
        <v>0</v>
      </c>
      <c r="K106" s="432">
        <f t="shared" si="8"/>
        <v>13.991906287073501</v>
      </c>
    </row>
    <row r="107" spans="1:11" x14ac:dyDescent="0.25">
      <c r="A107" s="49">
        <f>'A) Base RI'!A109</f>
        <v>5565</v>
      </c>
      <c r="B107" s="294" t="str">
        <f>'A) Base RI'!B109</f>
        <v>Onnens</v>
      </c>
      <c r="C107" s="95">
        <f>'B) D RI'!U109</f>
        <v>22496.162634074011</v>
      </c>
      <c r="D107" s="431">
        <f>'E) Fact soc'!G113/C107</f>
        <v>17.467071249518082</v>
      </c>
      <c r="E107" s="137">
        <f>'H) Péréquation directe'!I118/C107</f>
        <v>17.540360677768568</v>
      </c>
      <c r="F107" s="110">
        <f>+'I) Dépenses thématiques'!O107/'J) Plafonnement effort'!C107</f>
        <v>-3.7313547603998667</v>
      </c>
      <c r="G107" s="137">
        <f t="shared" si="5"/>
        <v>31.276077166886779</v>
      </c>
      <c r="H107" s="432">
        <f>G107-'C) Prél. conj.'!I107</f>
        <v>29.41627686758466</v>
      </c>
      <c r="I107" s="436">
        <f t="shared" si="6"/>
        <v>0</v>
      </c>
      <c r="J107" s="55">
        <f t="shared" si="7"/>
        <v>0</v>
      </c>
      <c r="K107" s="432">
        <f t="shared" si="8"/>
        <v>29.41627686758466</v>
      </c>
    </row>
    <row r="108" spans="1:11" x14ac:dyDescent="0.25">
      <c r="A108" s="49">
        <f>'A) Base RI'!A110</f>
        <v>5566</v>
      </c>
      <c r="B108" s="294" t="str">
        <f>'A) Base RI'!B110</f>
        <v>Provence</v>
      </c>
      <c r="C108" s="95">
        <f>'B) D RI'!U110</f>
        <v>8235.6819296483191</v>
      </c>
      <c r="D108" s="431">
        <f>'E) Fact soc'!G114/C108</f>
        <v>20.947735447227185</v>
      </c>
      <c r="E108" s="137">
        <f>'H) Péréquation directe'!I119/C108</f>
        <v>-12.249609533071657</v>
      </c>
      <c r="F108" s="110">
        <f>+'I) Dépenses thématiques'!O108/'J) Plafonnement effort'!C108</f>
        <v>-15.072915787821719</v>
      </c>
      <c r="G108" s="137">
        <f t="shared" si="5"/>
        <v>-6.3747898736661917</v>
      </c>
      <c r="H108" s="432">
        <f>G108-'C) Prél. conj.'!I108</f>
        <v>-11.918922756655004</v>
      </c>
      <c r="I108" s="436">
        <f t="shared" si="6"/>
        <v>0</v>
      </c>
      <c r="J108" s="55">
        <f t="shared" si="7"/>
        <v>0</v>
      </c>
      <c r="K108" s="432">
        <f t="shared" si="8"/>
        <v>-11.918922756655004</v>
      </c>
    </row>
    <row r="109" spans="1:11" x14ac:dyDescent="0.25">
      <c r="A109" s="49">
        <f>'A) Base RI'!A111</f>
        <v>5568</v>
      </c>
      <c r="B109" s="294" t="str">
        <f>'A) Base RI'!B111</f>
        <v>Sainte-Croix</v>
      </c>
      <c r="C109" s="95">
        <f>'B) D RI'!U111</f>
        <v>101939.03540611925</v>
      </c>
      <c r="D109" s="431">
        <f>'E) Fact soc'!G115/C109</f>
        <v>23.308218217994401</v>
      </c>
      <c r="E109" s="137">
        <f>'H) Péréquation directe'!I120/C109</f>
        <v>-18.869585629708922</v>
      </c>
      <c r="F109" s="110">
        <f>+'I) Dépenses thématiques'!O109/'J) Plafonnement effort'!C109</f>
        <v>-10.555844762652422</v>
      </c>
      <c r="G109" s="137">
        <f t="shared" si="5"/>
        <v>-6.1172121743669425</v>
      </c>
      <c r="H109" s="432">
        <f>G109-'C) Prél. conj.'!I109</f>
        <v>-14.021827828122968</v>
      </c>
      <c r="I109" s="436">
        <f t="shared" si="6"/>
        <v>0</v>
      </c>
      <c r="J109" s="55">
        <f t="shared" si="7"/>
        <v>0</v>
      </c>
      <c r="K109" s="432">
        <f t="shared" si="8"/>
        <v>-14.021827828122968</v>
      </c>
    </row>
    <row r="110" spans="1:11" x14ac:dyDescent="0.25">
      <c r="A110" s="49">
        <f>'A) Base RI'!A112</f>
        <v>5571</v>
      </c>
      <c r="B110" s="294" t="str">
        <f>'A) Base RI'!B112</f>
        <v>Tévenon</v>
      </c>
      <c r="C110" s="95">
        <f>'B) D RI'!U112</f>
        <v>22492.192645834311</v>
      </c>
      <c r="D110" s="431">
        <f>'E) Fact soc'!G116/C110</f>
        <v>19.168112380300339</v>
      </c>
      <c r="E110" s="137">
        <f>'H) Péréquation directe'!I121/C110</f>
        <v>-0.43261649569685662</v>
      </c>
      <c r="F110" s="110">
        <f>+'I) Dépenses thématiques'!O110/'J) Plafonnement effort'!C110</f>
        <v>-5.2424994907209506</v>
      </c>
      <c r="G110" s="137">
        <f t="shared" si="5"/>
        <v>13.492996393882533</v>
      </c>
      <c r="H110" s="432">
        <f>G110-'C) Prél. conj.'!I110</f>
        <v>9.7284865778205685</v>
      </c>
      <c r="I110" s="436">
        <f t="shared" si="6"/>
        <v>0</v>
      </c>
      <c r="J110" s="55">
        <f t="shared" si="7"/>
        <v>0</v>
      </c>
      <c r="K110" s="432">
        <f t="shared" si="8"/>
        <v>9.7284865778205685</v>
      </c>
    </row>
    <row r="111" spans="1:11" x14ac:dyDescent="0.25">
      <c r="A111" s="49">
        <f>'A) Base RI'!A113</f>
        <v>5581</v>
      </c>
      <c r="B111" s="294" t="str">
        <f>'A) Base RI'!B113</f>
        <v>Belmont-sur-Lausanne</v>
      </c>
      <c r="C111" s="95">
        <f>'B) D RI'!U113</f>
        <v>185422.93708910214</v>
      </c>
      <c r="D111" s="431">
        <f>'E) Fact soc'!G117/C111</f>
        <v>20.280333628033468</v>
      </c>
      <c r="E111" s="137">
        <f>'H) Péréquation directe'!I122/C111</f>
        <v>13.865820141335879</v>
      </c>
      <c r="F111" s="110">
        <f>+'I) Dépenses thématiques'!O111/'J) Plafonnement effort'!C111</f>
        <v>-4.2141339900804091</v>
      </c>
      <c r="G111" s="137">
        <f t="shared" si="5"/>
        <v>29.93201977928894</v>
      </c>
      <c r="H111" s="432">
        <f>G111-'C) Prél. conj.'!I111</f>
        <v>26.414738043607002</v>
      </c>
      <c r="I111" s="436">
        <f t="shared" si="6"/>
        <v>0</v>
      </c>
      <c r="J111" s="55">
        <f t="shared" si="7"/>
        <v>0</v>
      </c>
      <c r="K111" s="432">
        <f t="shared" si="8"/>
        <v>26.414738043607002</v>
      </c>
    </row>
    <row r="112" spans="1:11" x14ac:dyDescent="0.25">
      <c r="A112" s="49">
        <f>'A) Base RI'!A114</f>
        <v>5582</v>
      </c>
      <c r="B112" s="294" t="str">
        <f>'A) Base RI'!B114</f>
        <v>Cheseaux-sur-Lausanne</v>
      </c>
      <c r="C112" s="95">
        <f>'B) D RI'!U114</f>
        <v>172785.13258345879</v>
      </c>
      <c r="D112" s="431">
        <f>'E) Fact soc'!G118/C112</f>
        <v>17.763605499114941</v>
      </c>
      <c r="E112" s="137">
        <f>'H) Péréquation directe'!I123/C112</f>
        <v>8.8770444926818239</v>
      </c>
      <c r="F112" s="110">
        <f>+'I) Dépenses thématiques'!O112/'J) Plafonnement effort'!C112</f>
        <v>-1.5607093628261017</v>
      </c>
      <c r="G112" s="137">
        <f t="shared" si="5"/>
        <v>25.079940628970661</v>
      </c>
      <c r="H112" s="432">
        <f>G112-'C) Prél. conj.'!I112</f>
        <v>22.719937694094092</v>
      </c>
      <c r="I112" s="436">
        <f t="shared" si="6"/>
        <v>0</v>
      </c>
      <c r="J112" s="55">
        <f t="shared" si="7"/>
        <v>0</v>
      </c>
      <c r="K112" s="432">
        <f t="shared" si="8"/>
        <v>22.719937694094092</v>
      </c>
    </row>
    <row r="113" spans="1:11" x14ac:dyDescent="0.25">
      <c r="A113" s="49">
        <f>'A) Base RI'!A115</f>
        <v>5583</v>
      </c>
      <c r="B113" s="294" t="str">
        <f>'A) Base RI'!B115</f>
        <v>Crissier</v>
      </c>
      <c r="C113" s="95">
        <f>'B) D RI'!U115</f>
        <v>311434.56630958844</v>
      </c>
      <c r="D113" s="431">
        <f>'E) Fact soc'!G119/C113</f>
        <v>22.215360825815406</v>
      </c>
      <c r="E113" s="137">
        <f>'H) Péréquation directe'!I124/C113</f>
        <v>6.5226035299222058</v>
      </c>
      <c r="F113" s="110">
        <f>+'I) Dépenses thématiques'!O113/'J) Plafonnement effort'!C113</f>
        <v>-7.4361182013744562</v>
      </c>
      <c r="G113" s="137">
        <f t="shared" si="5"/>
        <v>21.301846154363155</v>
      </c>
      <c r="H113" s="432">
        <f>G113-'C) Prél. conj.'!I113</f>
        <v>14.49008789278612</v>
      </c>
      <c r="I113" s="436">
        <f t="shared" si="6"/>
        <v>0</v>
      </c>
      <c r="J113" s="55">
        <f t="shared" si="7"/>
        <v>0</v>
      </c>
      <c r="K113" s="432">
        <f t="shared" si="8"/>
        <v>14.49008789278612</v>
      </c>
    </row>
    <row r="114" spans="1:11" x14ac:dyDescent="0.25">
      <c r="A114" s="49">
        <f>'A) Base RI'!A116</f>
        <v>5584</v>
      </c>
      <c r="B114" s="294" t="str">
        <f>'A) Base RI'!B116</f>
        <v>Epalinges</v>
      </c>
      <c r="C114" s="95">
        <f>'B) D RI'!U116</f>
        <v>462898.41144046158</v>
      </c>
      <c r="D114" s="431">
        <f>'E) Fact soc'!G120/C114</f>
        <v>24.575957126615613</v>
      </c>
      <c r="E114" s="137">
        <f>'H) Péréquation directe'!I125/C114</f>
        <v>10.019750500436412</v>
      </c>
      <c r="F114" s="110">
        <f>+'I) Dépenses thématiques'!O114/'J) Plafonnement effort'!C114</f>
        <v>-7.3507886431649156</v>
      </c>
      <c r="G114" s="137">
        <f t="shared" si="5"/>
        <v>27.244918983887107</v>
      </c>
      <c r="H114" s="432">
        <f>G114-'C) Prél. conj.'!I114</f>
        <v>18.970797815310519</v>
      </c>
      <c r="I114" s="436">
        <f t="shared" si="6"/>
        <v>0</v>
      </c>
      <c r="J114" s="55">
        <f t="shared" si="7"/>
        <v>0</v>
      </c>
      <c r="K114" s="432">
        <f t="shared" si="8"/>
        <v>18.970797815310519</v>
      </c>
    </row>
    <row r="115" spans="1:11" x14ac:dyDescent="0.25">
      <c r="A115" s="49">
        <f>'A) Base RI'!A117</f>
        <v>5585</v>
      </c>
      <c r="B115" s="294" t="str">
        <f>'A) Base RI'!B117</f>
        <v>Jouxtens-Mézery</v>
      </c>
      <c r="C115" s="95">
        <f>'B) D RI'!U117</f>
        <v>219524.13851096807</v>
      </c>
      <c r="D115" s="431">
        <f>'E) Fact soc'!G121/C115</f>
        <v>32.869304875898031</v>
      </c>
      <c r="E115" s="137">
        <f>'H) Péréquation directe'!I126/C115</f>
        <v>18.963484171532794</v>
      </c>
      <c r="F115" s="110">
        <f>+'I) Dépenses thématiques'!O115/'J) Plafonnement effort'!C115</f>
        <v>0</v>
      </c>
      <c r="G115" s="137">
        <f t="shared" si="5"/>
        <v>51.832789047430822</v>
      </c>
      <c r="H115" s="432">
        <f>G115-'C) Prél. conj.'!I115</f>
        <v>50.725155182429454</v>
      </c>
      <c r="I115" s="436">
        <f t="shared" si="6"/>
        <v>-2.7251551824294538</v>
      </c>
      <c r="J115" s="55">
        <f t="shared" si="7"/>
        <v>-598237.34373152582</v>
      </c>
      <c r="K115" s="432">
        <f t="shared" si="8"/>
        <v>48</v>
      </c>
    </row>
    <row r="116" spans="1:11" x14ac:dyDescent="0.25">
      <c r="A116" s="49">
        <f>'A) Base RI'!A118</f>
        <v>5586</v>
      </c>
      <c r="B116" s="294" t="str">
        <f>'A) Base RI'!B118</f>
        <v>Lausanne</v>
      </c>
      <c r="C116" s="95">
        <f>'B) D RI'!U118</f>
        <v>5631743.9365920834</v>
      </c>
      <c r="D116" s="431">
        <f>'E) Fact soc'!G122/C116</f>
        <v>19.436827474805757</v>
      </c>
      <c r="E116" s="137">
        <f>'H) Péréquation directe'!I127/C116</f>
        <v>-7.4629135698641864</v>
      </c>
      <c r="F116" s="110">
        <f>+'I) Dépenses thématiques'!O116/'J) Plafonnement effort'!C116</f>
        <v>-9.4940371164212944</v>
      </c>
      <c r="G116" s="137">
        <f t="shared" si="5"/>
        <v>2.4798767885202757</v>
      </c>
      <c r="H116" s="432">
        <f>G116-'C) Prél. conj.'!I116</f>
        <v>-1.5533481220471055</v>
      </c>
      <c r="I116" s="436">
        <f t="shared" si="6"/>
        <v>0</v>
      </c>
      <c r="J116" s="55">
        <f t="shared" si="7"/>
        <v>0</v>
      </c>
      <c r="K116" s="432">
        <f t="shared" si="8"/>
        <v>-1.5533481220471055</v>
      </c>
    </row>
    <row r="117" spans="1:11" x14ac:dyDescent="0.25">
      <c r="A117" s="49">
        <f>'A) Base RI'!A119</f>
        <v>5587</v>
      </c>
      <c r="B117" s="294" t="str">
        <f>'A) Base RI'!B119</f>
        <v>Le Mont-sur-Lausanne</v>
      </c>
      <c r="C117" s="95">
        <f>'B) D RI'!U119</f>
        <v>419159.15757031104</v>
      </c>
      <c r="D117" s="431">
        <f>'E) Fact soc'!G123/C117</f>
        <v>19.107396621744929</v>
      </c>
      <c r="E117" s="137">
        <f>'H) Péréquation directe'!I128/C117</f>
        <v>10.905067491750033</v>
      </c>
      <c r="F117" s="110">
        <f>+'I) Dépenses thématiques'!O117/'J) Plafonnement effort'!C117</f>
        <v>-5.7274595792628871</v>
      </c>
      <c r="G117" s="137">
        <f t="shared" si="5"/>
        <v>24.285004534232076</v>
      </c>
      <c r="H117" s="432">
        <f>G117-'C) Prél. conj.'!I117</f>
        <v>21.92055366372055</v>
      </c>
      <c r="I117" s="436">
        <f t="shared" si="6"/>
        <v>0</v>
      </c>
      <c r="J117" s="55">
        <f t="shared" si="7"/>
        <v>0</v>
      </c>
      <c r="K117" s="432">
        <f t="shared" si="8"/>
        <v>21.92055366372055</v>
      </c>
    </row>
    <row r="118" spans="1:11" x14ac:dyDescent="0.25">
      <c r="A118" s="49">
        <f>'A) Base RI'!A120</f>
        <v>5588</v>
      </c>
      <c r="B118" s="294" t="str">
        <f>'A) Base RI'!B120</f>
        <v>Paudex</v>
      </c>
      <c r="C118" s="95">
        <f>'B) D RI'!U120</f>
        <v>128424.0019189813</v>
      </c>
      <c r="D118" s="431">
        <f>'E) Fact soc'!G124/C118</f>
        <v>26.663385557371814</v>
      </c>
      <c r="E118" s="137">
        <f>'H) Péréquation directe'!I129/C118</f>
        <v>17.929791733458224</v>
      </c>
      <c r="F118" s="110">
        <f>+'I) Dépenses thématiques'!O118/'J) Plafonnement effort'!C118</f>
        <v>0</v>
      </c>
      <c r="G118" s="137">
        <f t="shared" si="5"/>
        <v>44.593177290830042</v>
      </c>
      <c r="H118" s="432">
        <f>G118-'C) Prél. conj.'!I118</f>
        <v>42.729191459341799</v>
      </c>
      <c r="I118" s="436">
        <f t="shared" si="6"/>
        <v>0</v>
      </c>
      <c r="J118" s="55">
        <f t="shared" si="7"/>
        <v>0</v>
      </c>
      <c r="K118" s="432">
        <f t="shared" si="8"/>
        <v>42.729191459341799</v>
      </c>
    </row>
    <row r="119" spans="1:11" x14ac:dyDescent="0.25">
      <c r="A119" s="49">
        <f>'A) Base RI'!A121</f>
        <v>5589</v>
      </c>
      <c r="B119" s="294" t="str">
        <f>'A) Base RI'!B121</f>
        <v>Prilly</v>
      </c>
      <c r="C119" s="95">
        <f>'B) D RI'!U121</f>
        <v>381105.28464677284</v>
      </c>
      <c r="D119" s="431">
        <f>'E) Fact soc'!G125/C119</f>
        <v>18.655045472327402</v>
      </c>
      <c r="E119" s="137">
        <f>'H) Péréquation directe'!I130/C119</f>
        <v>-8.3330676094002296</v>
      </c>
      <c r="F119" s="110">
        <f>+'I) Dépenses thématiques'!O119/'J) Plafonnement effort'!C119</f>
        <v>-7.0097743750480808</v>
      </c>
      <c r="G119" s="137">
        <f t="shared" si="5"/>
        <v>3.3122034878790911</v>
      </c>
      <c r="H119" s="432">
        <f>G119-'C) Prél. conj.'!I119</f>
        <v>6.076057979006233E-2</v>
      </c>
      <c r="I119" s="436">
        <f t="shared" si="6"/>
        <v>0</v>
      </c>
      <c r="J119" s="55">
        <f t="shared" si="7"/>
        <v>0</v>
      </c>
      <c r="K119" s="432">
        <f t="shared" si="8"/>
        <v>6.076057979006233E-2</v>
      </c>
    </row>
    <row r="120" spans="1:11" x14ac:dyDescent="0.25">
      <c r="A120" s="49">
        <f>'A) Base RI'!A122</f>
        <v>5590</v>
      </c>
      <c r="B120" s="294" t="str">
        <f>'A) Base RI'!B122</f>
        <v>Pully</v>
      </c>
      <c r="C120" s="95">
        <f>'B) D RI'!U122</f>
        <v>1400746.467371441</v>
      </c>
      <c r="D120" s="431">
        <f>'E) Fact soc'!G126/C120</f>
        <v>27.941476111737558</v>
      </c>
      <c r="E120" s="137">
        <f>'H) Péréquation directe'!I131/C120</f>
        <v>10.812959398445489</v>
      </c>
      <c r="F120" s="110">
        <f>+'I) Dépenses thématiques'!O120/'J) Plafonnement effort'!C120</f>
        <v>-1.5920558885376506</v>
      </c>
      <c r="G120" s="137">
        <f t="shared" si="5"/>
        <v>37.162379621645393</v>
      </c>
      <c r="H120" s="432">
        <f>G120-'C) Prél. conj.'!I120</f>
        <v>32.201779533151701</v>
      </c>
      <c r="I120" s="436">
        <f t="shared" si="6"/>
        <v>0</v>
      </c>
      <c r="J120" s="55">
        <f t="shared" si="7"/>
        <v>0</v>
      </c>
      <c r="K120" s="432">
        <f t="shared" si="8"/>
        <v>32.201779533151701</v>
      </c>
    </row>
    <row r="121" spans="1:11" x14ac:dyDescent="0.25">
      <c r="A121" s="49">
        <f>'A) Base RI'!A123</f>
        <v>5591</v>
      </c>
      <c r="B121" s="294" t="str">
        <f>'A) Base RI'!B123</f>
        <v>Renens</v>
      </c>
      <c r="C121" s="95">
        <f>'B) D RI'!U123</f>
        <v>542865.69746271567</v>
      </c>
      <c r="D121" s="431">
        <f>'E) Fact soc'!G127/C121</f>
        <v>20.907725478921552</v>
      </c>
      <c r="E121" s="137">
        <f>'H) Péréquation directe'!I132/C121</f>
        <v>-27.158354877826536</v>
      </c>
      <c r="F121" s="110">
        <f>+'I) Dépenses thématiques'!O121/'J) Plafonnement effort'!C121</f>
        <v>-10.911434039132795</v>
      </c>
      <c r="G121" s="137">
        <f t="shared" si="5"/>
        <v>-17.162063438037777</v>
      </c>
      <c r="H121" s="432">
        <f>G121-'C) Prél. conj.'!I121</f>
        <v>-22.666186352720956</v>
      </c>
      <c r="I121" s="436">
        <f t="shared" si="6"/>
        <v>0</v>
      </c>
      <c r="J121" s="55">
        <f t="shared" si="7"/>
        <v>0</v>
      </c>
      <c r="K121" s="432">
        <f t="shared" si="8"/>
        <v>-22.666186352720956</v>
      </c>
    </row>
    <row r="122" spans="1:11" x14ac:dyDescent="0.25">
      <c r="A122" s="49">
        <f>'A) Base RI'!A124</f>
        <v>5592</v>
      </c>
      <c r="B122" s="294" t="str">
        <f>'A) Base RI'!B124</f>
        <v>Romanel-sur-Lausanne</v>
      </c>
      <c r="C122" s="95">
        <f>'B) D RI'!U124</f>
        <v>113665.67141569764</v>
      </c>
      <c r="D122" s="431">
        <f>'E) Fact soc'!G128/C122</f>
        <v>17.648044591655697</v>
      </c>
      <c r="E122" s="137">
        <f>'H) Péréquation directe'!I133/C122</f>
        <v>5.7080228415268239</v>
      </c>
      <c r="F122" s="110">
        <f>+'I) Dépenses thématiques'!O122/'J) Plafonnement effort'!C122</f>
        <v>-2.0843766225791671</v>
      </c>
      <c r="G122" s="137">
        <f t="shared" si="5"/>
        <v>21.271690810603353</v>
      </c>
      <c r="H122" s="432">
        <f>G122-'C) Prél. conj.'!I122</f>
        <v>19.027248783186028</v>
      </c>
      <c r="I122" s="436">
        <f t="shared" si="6"/>
        <v>0</v>
      </c>
      <c r="J122" s="55">
        <f t="shared" si="7"/>
        <v>0</v>
      </c>
      <c r="K122" s="432">
        <f t="shared" si="8"/>
        <v>19.027248783186028</v>
      </c>
    </row>
    <row r="123" spans="1:11" x14ac:dyDescent="0.25">
      <c r="A123" s="49">
        <f>'A) Base RI'!A125</f>
        <v>5601</v>
      </c>
      <c r="B123" s="294" t="str">
        <f>'A) Base RI'!B125</f>
        <v>Chexbres</v>
      </c>
      <c r="C123" s="95">
        <f>'B) D RI'!U125</f>
        <v>102425.76498358055</v>
      </c>
      <c r="D123" s="431">
        <f>'E) Fact soc'!G129/C123</f>
        <v>19.273330483843072</v>
      </c>
      <c r="E123" s="137">
        <f>'H) Péréquation directe'!I134/C123</f>
        <v>14.837218502362742</v>
      </c>
      <c r="F123" s="110">
        <f>+'I) Dépenses thématiques'!O123/'J) Plafonnement effort'!C123</f>
        <v>-2.2359675041572262</v>
      </c>
      <c r="G123" s="137">
        <f t="shared" si="5"/>
        <v>31.874581482048587</v>
      </c>
      <c r="H123" s="432">
        <f>G123-'C) Prél. conj.'!I123</f>
        <v>28.288685588970527</v>
      </c>
      <c r="I123" s="436">
        <f t="shared" si="6"/>
        <v>0</v>
      </c>
      <c r="J123" s="55">
        <f t="shared" si="7"/>
        <v>0</v>
      </c>
      <c r="K123" s="432">
        <f t="shared" si="8"/>
        <v>28.288685588970527</v>
      </c>
    </row>
    <row r="124" spans="1:11" x14ac:dyDescent="0.25">
      <c r="A124" s="49">
        <f>'A) Base RI'!A126</f>
        <v>5604</v>
      </c>
      <c r="B124" s="294" t="str">
        <f>'A) Base RI'!B126</f>
        <v>Forel (Lavaux)</v>
      </c>
      <c r="C124" s="95">
        <f>'B) D RI'!U126</f>
        <v>73155.644895461912</v>
      </c>
      <c r="D124" s="431">
        <f>'E) Fact soc'!G130/C124</f>
        <v>18.135064302912699</v>
      </c>
      <c r="E124" s="137">
        <f>'H) Péréquation directe'!I135/C124</f>
        <v>8.0317964335131826</v>
      </c>
      <c r="F124" s="110">
        <f>+'I) Dépenses thématiques'!O124/'J) Plafonnement effort'!C124</f>
        <v>-4.4135954846827454</v>
      </c>
      <c r="G124" s="137">
        <f t="shared" si="5"/>
        <v>21.753265251743137</v>
      </c>
      <c r="H124" s="432">
        <f>G124-'C) Prél. conj.'!I124</f>
        <v>19.021803513068811</v>
      </c>
      <c r="I124" s="436">
        <f t="shared" si="6"/>
        <v>0</v>
      </c>
      <c r="J124" s="55">
        <f t="shared" si="7"/>
        <v>0</v>
      </c>
      <c r="K124" s="432">
        <f t="shared" si="8"/>
        <v>19.021803513068811</v>
      </c>
    </row>
    <row r="125" spans="1:11" x14ac:dyDescent="0.25">
      <c r="A125" s="49">
        <f>'A) Base RI'!A127</f>
        <v>5606</v>
      </c>
      <c r="B125" s="294" t="str">
        <f>'A) Base RI'!B127</f>
        <v>Lutry</v>
      </c>
      <c r="C125" s="95">
        <f>'B) D RI'!U127</f>
        <v>811441.75973886927</v>
      </c>
      <c r="D125" s="431">
        <f>'E) Fact soc'!G131/C125</f>
        <v>27.444894085865652</v>
      </c>
      <c r="E125" s="137">
        <f>'H) Péréquation directe'!I136/C125</f>
        <v>13.736261742283061</v>
      </c>
      <c r="F125" s="110">
        <f>+'I) Dépenses thématiques'!O125/'J) Plafonnement effort'!C125</f>
        <v>-2.6121521211210581</v>
      </c>
      <c r="G125" s="137">
        <f t="shared" si="5"/>
        <v>38.569003707027655</v>
      </c>
      <c r="H125" s="432">
        <f>G125-'C) Prél. conj.'!I125</f>
        <v>33.907261493738901</v>
      </c>
      <c r="I125" s="436">
        <f t="shared" si="6"/>
        <v>0</v>
      </c>
      <c r="J125" s="55">
        <f t="shared" si="7"/>
        <v>0</v>
      </c>
      <c r="K125" s="432">
        <f t="shared" si="8"/>
        <v>33.907261493738901</v>
      </c>
    </row>
    <row r="126" spans="1:11" x14ac:dyDescent="0.25">
      <c r="A126" s="49">
        <f>'A) Base RI'!A128</f>
        <v>5607</v>
      </c>
      <c r="B126" s="294" t="str">
        <f>'A) Base RI'!B128</f>
        <v>Puidoux</v>
      </c>
      <c r="C126" s="95">
        <f>'B) D RI'!U128</f>
        <v>106681.90706629901</v>
      </c>
      <c r="D126" s="431">
        <f>'E) Fact soc'!G132/C126</f>
        <v>19.386780140319004</v>
      </c>
      <c r="E126" s="137">
        <f>'H) Péréquation directe'!I137/C126</f>
        <v>8.8564112724494866</v>
      </c>
      <c r="F126" s="110">
        <f>+'I) Dépenses thématiques'!O126/'J) Plafonnement effort'!C126</f>
        <v>-7.3052344886751497</v>
      </c>
      <c r="G126" s="137">
        <f t="shared" si="5"/>
        <v>20.937956924093339</v>
      </c>
      <c r="H126" s="432">
        <f>G126-'C) Prél. conj.'!I126</f>
        <v>16.954779348012707</v>
      </c>
      <c r="I126" s="436">
        <f t="shared" si="6"/>
        <v>0</v>
      </c>
      <c r="J126" s="55">
        <f t="shared" si="7"/>
        <v>0</v>
      </c>
      <c r="K126" s="432">
        <f t="shared" si="8"/>
        <v>16.954779348012707</v>
      </c>
    </row>
    <row r="127" spans="1:11" x14ac:dyDescent="0.25">
      <c r="A127" s="49">
        <f>'A) Base RI'!A129</f>
        <v>5609</v>
      </c>
      <c r="B127" s="294" t="str">
        <f>'A) Base RI'!B129</f>
        <v>Rivaz</v>
      </c>
      <c r="C127" s="95">
        <f>'B) D RI'!U129</f>
        <v>13473.763444719882</v>
      </c>
      <c r="D127" s="431">
        <f>'E) Fact soc'!G133/C127</f>
        <v>16.130199853864717</v>
      </c>
      <c r="E127" s="137">
        <f>'H) Péréquation directe'!I138/C127</f>
        <v>13.901840942249429</v>
      </c>
      <c r="F127" s="110">
        <f>+'I) Dépenses thématiques'!O127/'J) Plafonnement effort'!C127</f>
        <v>-2.1963736605790758</v>
      </c>
      <c r="G127" s="137">
        <f t="shared" si="5"/>
        <v>27.835667135535068</v>
      </c>
      <c r="H127" s="432">
        <f>G127-'C) Prél. conj.'!I127</f>
        <v>27.109069845908724</v>
      </c>
      <c r="I127" s="436">
        <f t="shared" si="6"/>
        <v>0</v>
      </c>
      <c r="J127" s="55">
        <f t="shared" si="7"/>
        <v>0</v>
      </c>
      <c r="K127" s="432">
        <f t="shared" si="8"/>
        <v>27.109069845908724</v>
      </c>
    </row>
    <row r="128" spans="1:11" x14ac:dyDescent="0.25">
      <c r="A128" s="49">
        <f>'A) Base RI'!A130</f>
        <v>5610</v>
      </c>
      <c r="B128" s="294" t="str">
        <f>'A) Base RI'!B130</f>
        <v>St-Saphorin (Lavaux)</v>
      </c>
      <c r="C128" s="95">
        <f>'B) D RI'!U130</f>
        <v>21538.059608526812</v>
      </c>
      <c r="D128" s="431">
        <f>'E) Fact soc'!G134/C128</f>
        <v>19.055848315613655</v>
      </c>
      <c r="E128" s="137">
        <f>'H) Péréquation directe'!I139/C128</f>
        <v>18.015555945953789</v>
      </c>
      <c r="F128" s="110">
        <f>+'I) Dépenses thématiques'!O128/'J) Plafonnement effort'!C128</f>
        <v>-1.1353326216222126</v>
      </c>
      <c r="G128" s="137">
        <f t="shared" si="5"/>
        <v>35.936071639945233</v>
      </c>
      <c r="H128" s="432">
        <f>G128-'C) Prél. conj.'!I128</f>
        <v>35.055707979307329</v>
      </c>
      <c r="I128" s="436">
        <f t="shared" si="6"/>
        <v>0</v>
      </c>
      <c r="J128" s="55">
        <f t="shared" si="7"/>
        <v>0</v>
      </c>
      <c r="K128" s="432">
        <f t="shared" si="8"/>
        <v>35.055707979307329</v>
      </c>
    </row>
    <row r="129" spans="1:11" x14ac:dyDescent="0.25">
      <c r="A129" s="49">
        <f>'A) Base RI'!A131</f>
        <v>5611</v>
      </c>
      <c r="B129" s="294" t="str">
        <f>'A) Base RI'!B131</f>
        <v>Savigny</v>
      </c>
      <c r="C129" s="95">
        <f>'B) D RI'!U131</f>
        <v>135057.67308998347</v>
      </c>
      <c r="D129" s="431">
        <f>'E) Fact soc'!G135/C129</f>
        <v>21.632889510708029</v>
      </c>
      <c r="E129" s="137">
        <f>'H) Péréquation directe'!I140/C129</f>
        <v>10.73811152501982</v>
      </c>
      <c r="F129" s="110">
        <f>+'I) Dépenses thématiques'!O129/'J) Plafonnement effort'!C129</f>
        <v>-3.2289950640521594</v>
      </c>
      <c r="G129" s="137">
        <f t="shared" si="5"/>
        <v>29.14200597167569</v>
      </c>
      <c r="H129" s="432">
        <f>G129-'C) Prél. conj.'!I129</f>
        <v>22.912719025206037</v>
      </c>
      <c r="I129" s="436">
        <f t="shared" si="6"/>
        <v>0</v>
      </c>
      <c r="J129" s="55">
        <f t="shared" si="7"/>
        <v>0</v>
      </c>
      <c r="K129" s="432">
        <f t="shared" si="8"/>
        <v>22.912719025206037</v>
      </c>
    </row>
    <row r="130" spans="1:11" x14ac:dyDescent="0.25">
      <c r="A130" s="49">
        <f>'A) Base RI'!A132</f>
        <v>5613</v>
      </c>
      <c r="B130" s="294" t="str">
        <f>'A) Base RI'!B132</f>
        <v>Bourg-en-Lavaux</v>
      </c>
      <c r="C130" s="95">
        <f>'B) D RI'!U132</f>
        <v>293013.05852938921</v>
      </c>
      <c r="D130" s="431">
        <f>'E) Fact soc'!G136/C130</f>
        <v>21.400423957597273</v>
      </c>
      <c r="E130" s="137">
        <f>'H) Péréquation directe'!I141/C130</f>
        <v>13.309640114577579</v>
      </c>
      <c r="F130" s="110">
        <f>+'I) Dépenses thématiques'!O130/'J) Plafonnement effort'!C130</f>
        <v>-0.2701654026106301</v>
      </c>
      <c r="G130" s="137">
        <f t="shared" si="5"/>
        <v>34.439898669564222</v>
      </c>
      <c r="H130" s="432">
        <f>G130-'C) Prél. conj.'!I130</f>
        <v>30.716231384986308</v>
      </c>
      <c r="I130" s="436">
        <f t="shared" si="6"/>
        <v>0</v>
      </c>
      <c r="J130" s="55">
        <f t="shared" si="7"/>
        <v>0</v>
      </c>
      <c r="K130" s="432">
        <f t="shared" si="8"/>
        <v>30.716231384986308</v>
      </c>
    </row>
    <row r="131" spans="1:11" x14ac:dyDescent="0.25">
      <c r="A131" s="49">
        <f>'A) Base RI'!A133</f>
        <v>5621</v>
      </c>
      <c r="B131" s="294" t="str">
        <f>'A) Base RI'!B133</f>
        <v>Aclens</v>
      </c>
      <c r="C131" s="95">
        <f>'B) D RI'!U133</f>
        <v>33712.724093262899</v>
      </c>
      <c r="D131" s="431">
        <f>'E) Fact soc'!G137/C131</f>
        <v>27.322359680196769</v>
      </c>
      <c r="E131" s="137">
        <f>'H) Péréquation directe'!I142/C131</f>
        <v>18.300835040012306</v>
      </c>
      <c r="F131" s="110">
        <f>+'I) Dépenses thématiques'!O131/'J) Plafonnement effort'!C131</f>
        <v>-1.7745946085861408</v>
      </c>
      <c r="G131" s="137">
        <f t="shared" si="5"/>
        <v>43.848600111622929</v>
      </c>
      <c r="H131" s="432">
        <f>G131-'C) Prél. conj.'!I131</f>
        <v>36.416651589549339</v>
      </c>
      <c r="I131" s="436">
        <f t="shared" si="6"/>
        <v>0</v>
      </c>
      <c r="J131" s="55">
        <f t="shared" si="7"/>
        <v>0</v>
      </c>
      <c r="K131" s="432">
        <f t="shared" si="8"/>
        <v>36.416651589549339</v>
      </c>
    </row>
    <row r="132" spans="1:11" x14ac:dyDescent="0.25">
      <c r="A132" s="49">
        <f>'A) Base RI'!A134</f>
        <v>5622</v>
      </c>
      <c r="B132" s="294" t="str">
        <f>'A) Base RI'!B134</f>
        <v>Bremblens</v>
      </c>
      <c r="C132" s="95">
        <f>'B) D RI'!U134</f>
        <v>25760.394087687673</v>
      </c>
      <c r="D132" s="431">
        <f>'E) Fact soc'!G138/C132</f>
        <v>21.163556601186471</v>
      </c>
      <c r="E132" s="137">
        <f>'H) Péréquation directe'!I143/C132</f>
        <v>17.626066146016093</v>
      </c>
      <c r="F132" s="110">
        <f>+'I) Dépenses thématiques'!O132/'J) Plafonnement effort'!C132</f>
        <v>-0.20712087339568439</v>
      </c>
      <c r="G132" s="137">
        <f t="shared" si="5"/>
        <v>38.582501873806883</v>
      </c>
      <c r="H132" s="432">
        <f>G132-'C) Prél. conj.'!I132</f>
        <v>33.43544979266764</v>
      </c>
      <c r="I132" s="436">
        <f t="shared" si="6"/>
        <v>0</v>
      </c>
      <c r="J132" s="55">
        <f t="shared" si="7"/>
        <v>0</v>
      </c>
      <c r="K132" s="432">
        <f t="shared" si="8"/>
        <v>33.43544979266764</v>
      </c>
    </row>
    <row r="133" spans="1:11" x14ac:dyDescent="0.25">
      <c r="A133" s="49">
        <f>'A) Base RI'!A135</f>
        <v>5623</v>
      </c>
      <c r="B133" s="294" t="str">
        <f>'A) Base RI'!B135</f>
        <v>Buchillon</v>
      </c>
      <c r="C133" s="95">
        <f>'B) D RI'!U135</f>
        <v>119048.13355212047</v>
      </c>
      <c r="D133" s="431">
        <f>'E) Fact soc'!G139/C133</f>
        <v>35.762795628246508</v>
      </c>
      <c r="E133" s="137">
        <f>'H) Péréquation directe'!I144/C133</f>
        <v>19.600701350863311</v>
      </c>
      <c r="F133" s="110">
        <f>+'I) Dépenses thématiques'!O133/'J) Plafonnement effort'!C133</f>
        <v>0</v>
      </c>
      <c r="G133" s="137">
        <f t="shared" si="5"/>
        <v>55.363496979109819</v>
      </c>
      <c r="H133" s="432">
        <f>G133-'C) Prél. conj.'!I133</f>
        <v>54.221947078703344</v>
      </c>
      <c r="I133" s="436">
        <f t="shared" si="6"/>
        <v>-6.2219470787033444</v>
      </c>
      <c r="J133" s="55">
        <f t="shared" si="7"/>
        <v>-740711.18677970162</v>
      </c>
      <c r="K133" s="432">
        <f t="shared" si="8"/>
        <v>48</v>
      </c>
    </row>
    <row r="134" spans="1:11" x14ac:dyDescent="0.25">
      <c r="A134" s="49">
        <f>'A) Base RI'!A136</f>
        <v>5624</v>
      </c>
      <c r="B134" s="294" t="str">
        <f>'A) Base RI'!B136</f>
        <v>Bussigny</v>
      </c>
      <c r="C134" s="95">
        <f>'B) D RI'!U136</f>
        <v>356482.21982509014</v>
      </c>
      <c r="D134" s="431">
        <f>'E) Fact soc'!G140/C134</f>
        <v>19.99688117376737</v>
      </c>
      <c r="E134" s="137">
        <f>'H) Péréquation directe'!I145/C134</f>
        <v>7.2475886294380603</v>
      </c>
      <c r="F134" s="110">
        <f>+'I) Dépenses thématiques'!O134/'J) Plafonnement effort'!C134</f>
        <v>-3.7170561926967252</v>
      </c>
      <c r="G134" s="137">
        <f t="shared" ref="G134:G197" si="9">SUM(D134:F134)</f>
        <v>23.527413610508706</v>
      </c>
      <c r="H134" s="432">
        <f>G134-'C) Prél. conj.'!I134</f>
        <v>18.934135000979708</v>
      </c>
      <c r="I134" s="436">
        <f t="shared" ref="I134:I197" si="10">IF(H134&gt;I$4,I$4-H134,0)</f>
        <v>0</v>
      </c>
      <c r="J134" s="55">
        <f t="shared" ref="J134:J197" si="11">I134*C134</f>
        <v>0</v>
      </c>
      <c r="K134" s="432">
        <f t="shared" ref="K134:K197" si="12">H134+I134</f>
        <v>18.934135000979708</v>
      </c>
    </row>
    <row r="135" spans="1:11" x14ac:dyDescent="0.25">
      <c r="A135" s="49">
        <f>'A) Base RI'!A137</f>
        <v>5625</v>
      </c>
      <c r="B135" s="294" t="str">
        <f>'A) Base RI'!B137</f>
        <v>Bussy-Chardonney</v>
      </c>
      <c r="C135" s="95">
        <f>'B) D RI'!U137</f>
        <v>13370.312366998642</v>
      </c>
      <c r="D135" s="431">
        <f>'E) Fact soc'!G141/C135</f>
        <v>20.326107229308828</v>
      </c>
      <c r="E135" s="137">
        <f>'H) Péréquation directe'!I146/C135</f>
        <v>10.466737677355757</v>
      </c>
      <c r="F135" s="110">
        <f>+'I) Dépenses thématiques'!O135/'J) Plafonnement effort'!C135</f>
        <v>-5.1172774672091874</v>
      </c>
      <c r="G135" s="137">
        <f t="shared" si="9"/>
        <v>25.675567439455396</v>
      </c>
      <c r="H135" s="432">
        <f>G135-'C) Prél. conj.'!I135</f>
        <v>20.75306277438494</v>
      </c>
      <c r="I135" s="436">
        <f t="shared" si="10"/>
        <v>0</v>
      </c>
      <c r="J135" s="55">
        <f t="shared" si="11"/>
        <v>0</v>
      </c>
      <c r="K135" s="432">
        <f t="shared" si="12"/>
        <v>20.75306277438494</v>
      </c>
    </row>
    <row r="136" spans="1:11" x14ac:dyDescent="0.25">
      <c r="A136" s="49">
        <f>'A) Base RI'!A138</f>
        <v>5627</v>
      </c>
      <c r="B136" s="294" t="str">
        <f>'A) Base RI'!B138</f>
        <v>Chavannes-près-Renens</v>
      </c>
      <c r="C136" s="95">
        <f>'B) D RI'!U138</f>
        <v>173390.58290122479</v>
      </c>
      <c r="D136" s="431">
        <f>'E) Fact soc'!G142/C136</f>
        <v>19.124841423949491</v>
      </c>
      <c r="E136" s="137">
        <f>'H) Péréquation directe'!I147/C136</f>
        <v>-24.5548356615881</v>
      </c>
      <c r="F136" s="110">
        <f>+'I) Dépenses thématiques'!O136/'J) Plafonnement effort'!C136</f>
        <v>-8.1671227811295619</v>
      </c>
      <c r="G136" s="137">
        <f t="shared" si="9"/>
        <v>-13.597117018768172</v>
      </c>
      <c r="H136" s="432">
        <f>G136-'C) Prél. conj.'!I136</f>
        <v>-17.318355878479291</v>
      </c>
      <c r="I136" s="436">
        <f t="shared" si="10"/>
        <v>0</v>
      </c>
      <c r="J136" s="55">
        <f t="shared" si="11"/>
        <v>0</v>
      </c>
      <c r="K136" s="432">
        <f t="shared" si="12"/>
        <v>-17.318355878479291</v>
      </c>
    </row>
    <row r="137" spans="1:11" x14ac:dyDescent="0.25">
      <c r="A137" s="49">
        <f>'A) Base RI'!A139</f>
        <v>5628</v>
      </c>
      <c r="B137" s="294" t="str">
        <f>'A) Base RI'!B139</f>
        <v>Chigny</v>
      </c>
      <c r="C137" s="95">
        <f>'B) D RI'!U139</f>
        <v>21894.357951349266</v>
      </c>
      <c r="D137" s="431">
        <f>'E) Fact soc'!G143/C137</f>
        <v>21.221570970535893</v>
      </c>
      <c r="E137" s="137">
        <f>'H) Péréquation directe'!I148/C137</f>
        <v>18.240662465179906</v>
      </c>
      <c r="F137" s="110">
        <f>+'I) Dépenses thématiques'!O137/'J) Plafonnement effort'!C137</f>
        <v>0</v>
      </c>
      <c r="G137" s="137">
        <f t="shared" si="9"/>
        <v>39.462233435715802</v>
      </c>
      <c r="H137" s="432">
        <f>G137-'C) Prél. conj.'!I137</f>
        <v>37.702533969505801</v>
      </c>
      <c r="I137" s="436">
        <f t="shared" si="10"/>
        <v>0</v>
      </c>
      <c r="J137" s="55">
        <f t="shared" si="11"/>
        <v>0</v>
      </c>
      <c r="K137" s="432">
        <f t="shared" si="12"/>
        <v>37.702533969505801</v>
      </c>
    </row>
    <row r="138" spans="1:11" x14ac:dyDescent="0.25">
      <c r="A138" s="49">
        <f>'A) Base RI'!A140</f>
        <v>5629</v>
      </c>
      <c r="B138" s="294" t="str">
        <f>'A) Base RI'!B140</f>
        <v>Clarmont</v>
      </c>
      <c r="C138" s="95">
        <f>'B) D RI'!U140</f>
        <v>6916.2311229358211</v>
      </c>
      <c r="D138" s="431">
        <f>'E) Fact soc'!G144/C138</f>
        <v>19.738615299797907</v>
      </c>
      <c r="E138" s="137">
        <f>'H) Péréquation directe'!I149/C138</f>
        <v>11.67566118596114</v>
      </c>
      <c r="F138" s="110">
        <f>+'I) Dépenses thématiques'!O138/'J) Plafonnement effort'!C138</f>
        <v>-6.0589651195687013</v>
      </c>
      <c r="G138" s="137">
        <f t="shared" si="9"/>
        <v>25.355311366190346</v>
      </c>
      <c r="H138" s="432">
        <f>G138-'C) Prél. conj.'!I138</f>
        <v>21.020298630630812</v>
      </c>
      <c r="I138" s="436">
        <f t="shared" si="10"/>
        <v>0</v>
      </c>
      <c r="J138" s="55">
        <f t="shared" si="11"/>
        <v>0</v>
      </c>
      <c r="K138" s="432">
        <f t="shared" si="12"/>
        <v>21.020298630630812</v>
      </c>
    </row>
    <row r="139" spans="1:11" x14ac:dyDescent="0.25">
      <c r="A139" s="49">
        <f>'A) Base RI'!A141</f>
        <v>5631</v>
      </c>
      <c r="B139" s="294" t="str">
        <f>'A) Base RI'!B141</f>
        <v>Denens</v>
      </c>
      <c r="C139" s="95">
        <f>'B) D RI'!U141</f>
        <v>43815.97689546422</v>
      </c>
      <c r="D139" s="431">
        <f>'E) Fact soc'!G145/C139</f>
        <v>21.7999270089968</v>
      </c>
      <c r="E139" s="137">
        <f>'H) Péréquation directe'!I150/C139</f>
        <v>18.153583754616431</v>
      </c>
      <c r="F139" s="110">
        <f>+'I) Dépenses thématiques'!O139/'J) Plafonnement effort'!C139</f>
        <v>0</v>
      </c>
      <c r="G139" s="137">
        <f t="shared" si="9"/>
        <v>39.953510763613231</v>
      </c>
      <c r="H139" s="432">
        <f>G139-'C) Prél. conj.'!I139</f>
        <v>37.438921159395015</v>
      </c>
      <c r="I139" s="436">
        <f t="shared" si="10"/>
        <v>0</v>
      </c>
      <c r="J139" s="55">
        <f t="shared" si="11"/>
        <v>0</v>
      </c>
      <c r="K139" s="432">
        <f t="shared" si="12"/>
        <v>37.438921159395015</v>
      </c>
    </row>
    <row r="140" spans="1:11" x14ac:dyDescent="0.25">
      <c r="A140" s="49">
        <f>'A) Base RI'!A142</f>
        <v>5632</v>
      </c>
      <c r="B140" s="294" t="str">
        <f>'A) Base RI'!B142</f>
        <v>Denges</v>
      </c>
      <c r="C140" s="95">
        <f>'B) D RI'!U142</f>
        <v>67687.396226466764</v>
      </c>
      <c r="D140" s="431">
        <f>'E) Fact soc'!G146/C140</f>
        <v>19.193953564616809</v>
      </c>
      <c r="E140" s="137">
        <f>'H) Péréquation directe'!I151/C140</f>
        <v>14.274607479956897</v>
      </c>
      <c r="F140" s="110">
        <f>+'I) Dépenses thématiques'!O140/'J) Plafonnement effort'!C140</f>
        <v>-1.4118908068937854</v>
      </c>
      <c r="G140" s="137">
        <f t="shared" si="9"/>
        <v>32.056670237679917</v>
      </c>
      <c r="H140" s="432">
        <f>G140-'C) Prél. conj.'!I140</f>
        <v>28.266319237301481</v>
      </c>
      <c r="I140" s="436">
        <f t="shared" si="10"/>
        <v>0</v>
      </c>
      <c r="J140" s="55">
        <f t="shared" si="11"/>
        <v>0</v>
      </c>
      <c r="K140" s="432">
        <f t="shared" si="12"/>
        <v>28.266319237301481</v>
      </c>
    </row>
    <row r="141" spans="1:11" x14ac:dyDescent="0.25">
      <c r="A141" s="49">
        <f>'A) Base RI'!A143</f>
        <v>5633</v>
      </c>
      <c r="B141" s="294" t="str">
        <f>'A) Base RI'!B143</f>
        <v>Echandens</v>
      </c>
      <c r="C141" s="95">
        <f>'B) D RI'!U143</f>
        <v>137438.92097427152</v>
      </c>
      <c r="D141" s="431">
        <f>'E) Fact soc'!G147/C141</f>
        <v>17.981543491751719</v>
      </c>
      <c r="E141" s="137">
        <f>'H) Péréquation directe'!I152/C141</f>
        <v>14.822673257101737</v>
      </c>
      <c r="F141" s="110">
        <f>+'I) Dépenses thématiques'!O141/'J) Plafonnement effort'!C141</f>
        <v>-3.9303337276450323</v>
      </c>
      <c r="G141" s="137">
        <f t="shared" si="9"/>
        <v>28.873883021208425</v>
      </c>
      <c r="H141" s="432">
        <f>G141-'C) Prél. conj.'!I141</f>
        <v>27.416591639842778</v>
      </c>
      <c r="I141" s="436">
        <f t="shared" si="10"/>
        <v>0</v>
      </c>
      <c r="J141" s="55">
        <f t="shared" si="11"/>
        <v>0</v>
      </c>
      <c r="K141" s="432">
        <f t="shared" si="12"/>
        <v>27.416591639842778</v>
      </c>
    </row>
    <row r="142" spans="1:11" x14ac:dyDescent="0.25">
      <c r="A142" s="49">
        <f>'A) Base RI'!A144</f>
        <v>5634</v>
      </c>
      <c r="B142" s="294" t="str">
        <f>'A) Base RI'!B144</f>
        <v>Echichens</v>
      </c>
      <c r="C142" s="95">
        <f>'B) D RI'!U144</f>
        <v>172707.41089939879</v>
      </c>
      <c r="D142" s="431">
        <f>'E) Fact soc'!G148/C142</f>
        <v>21.47539501123115</v>
      </c>
      <c r="E142" s="137">
        <f>'H) Péréquation directe'!I153/C142</f>
        <v>15.365844544812518</v>
      </c>
      <c r="F142" s="110">
        <f>+'I) Dépenses thématiques'!O142/'J) Plafonnement effort'!C142</f>
        <v>0</v>
      </c>
      <c r="G142" s="137">
        <f t="shared" si="9"/>
        <v>36.841239556043668</v>
      </c>
      <c r="H142" s="432">
        <f>G142-'C) Prél. conj.'!I142</f>
        <v>33.943965041914858</v>
      </c>
      <c r="I142" s="436">
        <f t="shared" si="10"/>
        <v>0</v>
      </c>
      <c r="J142" s="55">
        <f t="shared" si="11"/>
        <v>0</v>
      </c>
      <c r="K142" s="432">
        <f t="shared" si="12"/>
        <v>33.943965041914858</v>
      </c>
    </row>
    <row r="143" spans="1:11" x14ac:dyDescent="0.25">
      <c r="A143" s="49">
        <f>'A) Base RI'!A145</f>
        <v>5635</v>
      </c>
      <c r="B143" s="294" t="str">
        <f>'A) Base RI'!B145</f>
        <v>Ecublens</v>
      </c>
      <c r="C143" s="95">
        <f>'B) D RI'!U145</f>
        <v>425804.36099449953</v>
      </c>
      <c r="D143" s="431">
        <f>'E) Fact soc'!G149/C143</f>
        <v>18.630238775269916</v>
      </c>
      <c r="E143" s="137">
        <f>'H) Péréquation directe'!I154/C143</f>
        <v>-3.7135073503010139</v>
      </c>
      <c r="F143" s="110">
        <f>+'I) Dépenses thématiques'!O143/'J) Plafonnement effort'!C143</f>
        <v>-7.1981655088233012</v>
      </c>
      <c r="G143" s="137">
        <f t="shared" si="9"/>
        <v>7.7185659161456002</v>
      </c>
      <c r="H143" s="432">
        <f>G143-'C) Prél. conj.'!I143</f>
        <v>4.491929705114055</v>
      </c>
      <c r="I143" s="436">
        <f t="shared" si="10"/>
        <v>0</v>
      </c>
      <c r="J143" s="55">
        <f t="shared" si="11"/>
        <v>0</v>
      </c>
      <c r="K143" s="432">
        <f t="shared" si="12"/>
        <v>4.491929705114055</v>
      </c>
    </row>
    <row r="144" spans="1:11" x14ac:dyDescent="0.25">
      <c r="A144" s="49">
        <f>'A) Base RI'!A146</f>
        <v>5636</v>
      </c>
      <c r="B144" s="294" t="str">
        <f>'A) Base RI'!B146</f>
        <v>Etoy</v>
      </c>
      <c r="C144" s="95">
        <f>'B) D RI'!U146</f>
        <v>163508.07491244882</v>
      </c>
      <c r="D144" s="431">
        <f>'E) Fact soc'!G150/C144</f>
        <v>24.591781179638375</v>
      </c>
      <c r="E144" s="137">
        <f>'H) Péréquation directe'!I155/C144</f>
        <v>15.445114785891651</v>
      </c>
      <c r="F144" s="110">
        <f>+'I) Dépenses thématiques'!O144/'J) Plafonnement effort'!C144</f>
        <v>0</v>
      </c>
      <c r="G144" s="137">
        <f t="shared" si="9"/>
        <v>40.036895965530022</v>
      </c>
      <c r="H144" s="432">
        <f>G144-'C) Prél. conj.'!I144</f>
        <v>33.603014118634732</v>
      </c>
      <c r="I144" s="436">
        <f t="shared" si="10"/>
        <v>0</v>
      </c>
      <c r="J144" s="55">
        <f t="shared" si="11"/>
        <v>0</v>
      </c>
      <c r="K144" s="432">
        <f t="shared" si="12"/>
        <v>33.603014118634732</v>
      </c>
    </row>
    <row r="145" spans="1:11" x14ac:dyDescent="0.25">
      <c r="A145" s="49">
        <f>'A) Base RI'!A147</f>
        <v>5637</v>
      </c>
      <c r="B145" s="294" t="str">
        <f>'A) Base RI'!B147</f>
        <v>Lavigny</v>
      </c>
      <c r="C145" s="95">
        <f>'B) D RI'!U147</f>
        <v>35527.670702114687</v>
      </c>
      <c r="D145" s="431">
        <f>'E) Fact soc'!G151/C145</f>
        <v>19.234274750464735</v>
      </c>
      <c r="E145" s="137">
        <f>'H) Péréquation directe'!I156/C145</f>
        <v>11.023223057055315</v>
      </c>
      <c r="F145" s="110">
        <f>+'I) Dépenses thématiques'!O145/'J) Plafonnement effort'!C145</f>
        <v>-6.0554500339893993</v>
      </c>
      <c r="G145" s="137">
        <f t="shared" si="9"/>
        <v>24.202047773530651</v>
      </c>
      <c r="H145" s="432">
        <f>G145-'C) Prél. conj.'!I145</f>
        <v>20.371375587304286</v>
      </c>
      <c r="I145" s="436">
        <f t="shared" si="10"/>
        <v>0</v>
      </c>
      <c r="J145" s="55">
        <f t="shared" si="11"/>
        <v>0</v>
      </c>
      <c r="K145" s="432">
        <f t="shared" si="12"/>
        <v>20.371375587304286</v>
      </c>
    </row>
    <row r="146" spans="1:11" x14ac:dyDescent="0.25">
      <c r="A146" s="49">
        <f>'A) Base RI'!A148</f>
        <v>5638</v>
      </c>
      <c r="B146" s="294" t="str">
        <f>'A) Base RI'!B148</f>
        <v>Lonay</v>
      </c>
      <c r="C146" s="95">
        <f>'B) D RI'!U148</f>
        <v>156801.12521319877</v>
      </c>
      <c r="D146" s="431">
        <f>'E) Fact soc'!G152/C146</f>
        <v>26.800458831459721</v>
      </c>
      <c r="E146" s="137">
        <f>'H) Péréquation directe'!I157/C146</f>
        <v>15.933924814493693</v>
      </c>
      <c r="F146" s="110">
        <f>+'I) Dépenses thématiques'!O146/'J) Plafonnement effort'!C146</f>
        <v>-2.4708139750252385</v>
      </c>
      <c r="G146" s="137">
        <f t="shared" si="9"/>
        <v>40.263569670928177</v>
      </c>
      <c r="H146" s="432">
        <f>G146-'C) Prél. conj.'!I146</f>
        <v>32.320345007798274</v>
      </c>
      <c r="I146" s="436">
        <f t="shared" si="10"/>
        <v>0</v>
      </c>
      <c r="J146" s="55">
        <f t="shared" si="11"/>
        <v>0</v>
      </c>
      <c r="K146" s="432">
        <f t="shared" si="12"/>
        <v>32.320345007798274</v>
      </c>
    </row>
    <row r="147" spans="1:11" x14ac:dyDescent="0.25">
      <c r="A147" s="49">
        <f>'A) Base RI'!A149</f>
        <v>5639</v>
      </c>
      <c r="B147" s="294" t="str">
        <f>'A) Base RI'!B149</f>
        <v>Lully</v>
      </c>
      <c r="C147" s="95">
        <f>'B) D RI'!U149</f>
        <v>44733.650298121938</v>
      </c>
      <c r="D147" s="431">
        <f>'E) Fact soc'!G153/C147</f>
        <v>20.558883188749817</v>
      </c>
      <c r="E147" s="137">
        <f>'H) Péréquation directe'!I158/C147</f>
        <v>18.077222181094108</v>
      </c>
      <c r="F147" s="110">
        <f>+'I) Dépenses thématiques'!O147/'J) Plafonnement effort'!C147</f>
        <v>0</v>
      </c>
      <c r="G147" s="137">
        <f t="shared" si="9"/>
        <v>38.636105369843925</v>
      </c>
      <c r="H147" s="432">
        <f>G147-'C) Prél. conj.'!I147</f>
        <v>36.328415760075281</v>
      </c>
      <c r="I147" s="436">
        <f t="shared" si="10"/>
        <v>0</v>
      </c>
      <c r="J147" s="55">
        <f t="shared" si="11"/>
        <v>0</v>
      </c>
      <c r="K147" s="432">
        <f t="shared" si="12"/>
        <v>36.328415760075281</v>
      </c>
    </row>
    <row r="148" spans="1:11" x14ac:dyDescent="0.25">
      <c r="A148" s="49">
        <f>'A) Base RI'!A150</f>
        <v>5640</v>
      </c>
      <c r="B148" s="294" t="str">
        <f>'A) Base RI'!B150</f>
        <v>Lussy-sur-Morges</v>
      </c>
      <c r="C148" s="95">
        <f>'B) D RI'!U150</f>
        <v>53214.189880771395</v>
      </c>
      <c r="D148" s="431">
        <f>'E) Fact soc'!G154/C148</f>
        <v>27.013012191180238</v>
      </c>
      <c r="E148" s="137">
        <f>'H) Péréquation directe'!I159/C148</f>
        <v>18.670373991298586</v>
      </c>
      <c r="F148" s="110">
        <f>+'I) Dépenses thématiques'!O148/'J) Plafonnement effort'!C148</f>
        <v>0</v>
      </c>
      <c r="G148" s="137">
        <f t="shared" si="9"/>
        <v>45.683386182478827</v>
      </c>
      <c r="H148" s="432">
        <f>G148-'C) Prél. conj.'!I148</f>
        <v>42.5227262085726</v>
      </c>
      <c r="I148" s="436">
        <f t="shared" si="10"/>
        <v>0</v>
      </c>
      <c r="J148" s="55">
        <f t="shared" si="11"/>
        <v>0</v>
      </c>
      <c r="K148" s="432">
        <f t="shared" si="12"/>
        <v>42.5227262085726</v>
      </c>
    </row>
    <row r="149" spans="1:11" x14ac:dyDescent="0.25">
      <c r="A149" s="49">
        <f>'A) Base RI'!A151</f>
        <v>5642</v>
      </c>
      <c r="B149" s="294" t="str">
        <f>'A) Base RI'!B151</f>
        <v>Morges</v>
      </c>
      <c r="C149" s="95">
        <f>'B) D RI'!U151</f>
        <v>729290.95553024486</v>
      </c>
      <c r="D149" s="431">
        <f>'E) Fact soc'!G155/C149</f>
        <v>20.944136596545793</v>
      </c>
      <c r="E149" s="137">
        <f>'H) Péréquation directe'!I160/C149</f>
        <v>5.8497945389203068</v>
      </c>
      <c r="F149" s="110">
        <f>+'I) Dépenses thématiques'!O149/'J) Plafonnement effort'!C149</f>
        <v>-2.1184616079009837</v>
      </c>
      <c r="G149" s="137">
        <f t="shared" si="9"/>
        <v>24.675469527565117</v>
      </c>
      <c r="H149" s="432">
        <f>G149-'C) Prél. conj.'!I149</f>
        <v>19.593531938876211</v>
      </c>
      <c r="I149" s="436">
        <f t="shared" si="10"/>
        <v>0</v>
      </c>
      <c r="J149" s="55">
        <f t="shared" si="11"/>
        <v>0</v>
      </c>
      <c r="K149" s="432">
        <f t="shared" si="12"/>
        <v>19.593531938876211</v>
      </c>
    </row>
    <row r="150" spans="1:11" x14ac:dyDescent="0.25">
      <c r="A150" s="49">
        <f>'A) Base RI'!A152</f>
        <v>5643</v>
      </c>
      <c r="B150" s="294" t="str">
        <f>'A) Base RI'!B152</f>
        <v>Préverenges</v>
      </c>
      <c r="C150" s="95">
        <f>'B) D RI'!U152</f>
        <v>256716.54312991558</v>
      </c>
      <c r="D150" s="431">
        <f>'E) Fact soc'!G156/C150</f>
        <v>17.409237083847422</v>
      </c>
      <c r="E150" s="137">
        <f>'H) Péréquation directe'!I161/C150</f>
        <v>12.484868203649025</v>
      </c>
      <c r="F150" s="110">
        <f>+'I) Dépenses thématiques'!O150/'J) Plafonnement effort'!C150</f>
        <v>0</v>
      </c>
      <c r="G150" s="137">
        <f t="shared" si="9"/>
        <v>29.894105287496448</v>
      </c>
      <c r="H150" s="432">
        <f>G150-'C) Prél. conj.'!I150</f>
        <v>28.847380398933211</v>
      </c>
      <c r="I150" s="436">
        <f t="shared" si="10"/>
        <v>0</v>
      </c>
      <c r="J150" s="55">
        <f t="shared" si="11"/>
        <v>0</v>
      </c>
      <c r="K150" s="432">
        <f t="shared" si="12"/>
        <v>28.847380398933211</v>
      </c>
    </row>
    <row r="151" spans="1:11" x14ac:dyDescent="0.25">
      <c r="A151" s="49">
        <f>'A) Base RI'!A153</f>
        <v>5644</v>
      </c>
      <c r="B151" s="294" t="str">
        <f>'A) Base RI'!B153</f>
        <v>Reverolle</v>
      </c>
      <c r="C151" s="95">
        <f>'B) D RI'!U153</f>
        <v>13425.23260136249</v>
      </c>
      <c r="D151" s="431">
        <f>'E) Fact soc'!G157/C151</f>
        <v>18.619283907116458</v>
      </c>
      <c r="E151" s="137">
        <f>'H) Péréquation directe'!I162/C151</f>
        <v>8.9409511499154632</v>
      </c>
      <c r="F151" s="110">
        <f>+'I) Dépenses thématiques'!O151/'J) Plafonnement effort'!C151</f>
        <v>-4.2382886873568468</v>
      </c>
      <c r="G151" s="137">
        <f t="shared" si="9"/>
        <v>23.321946369675075</v>
      </c>
      <c r="H151" s="432">
        <f>G151-'C) Prél. conj.'!I151</f>
        <v>20.10626502679699</v>
      </c>
      <c r="I151" s="436">
        <f t="shared" si="10"/>
        <v>0</v>
      </c>
      <c r="J151" s="55">
        <f t="shared" si="11"/>
        <v>0</v>
      </c>
      <c r="K151" s="432">
        <f t="shared" si="12"/>
        <v>20.10626502679699</v>
      </c>
    </row>
    <row r="152" spans="1:11" x14ac:dyDescent="0.25">
      <c r="A152" s="49">
        <f>'A) Base RI'!A154</f>
        <v>5645</v>
      </c>
      <c r="B152" s="294" t="str">
        <f>'A) Base RI'!B154</f>
        <v>Romanel-sur-Morges</v>
      </c>
      <c r="C152" s="95">
        <f>'B) D RI'!U154</f>
        <v>24229.852670127519</v>
      </c>
      <c r="D152" s="431">
        <f>'E) Fact soc'!G158/C152</f>
        <v>20.165854053709882</v>
      </c>
      <c r="E152" s="137">
        <f>'H) Péréquation directe'!I163/C152</f>
        <v>17.922101046312722</v>
      </c>
      <c r="F152" s="110">
        <f>+'I) Dépenses thématiques'!O152/'J) Plafonnement effort'!C152</f>
        <v>-0.16509121294379725</v>
      </c>
      <c r="G152" s="137">
        <f t="shared" si="9"/>
        <v>37.922863887078805</v>
      </c>
      <c r="H152" s="432">
        <f>G152-'C) Prél. conj.'!I152</f>
        <v>34.870827789014868</v>
      </c>
      <c r="I152" s="436">
        <f t="shared" si="10"/>
        <v>0</v>
      </c>
      <c r="J152" s="55">
        <f t="shared" si="11"/>
        <v>0</v>
      </c>
      <c r="K152" s="432">
        <f t="shared" si="12"/>
        <v>34.870827789014868</v>
      </c>
    </row>
    <row r="153" spans="1:11" x14ac:dyDescent="0.25">
      <c r="A153" s="49">
        <f>'A) Base RI'!A155</f>
        <v>5646</v>
      </c>
      <c r="B153" s="294" t="str">
        <f>'A) Base RI'!B155</f>
        <v>Saint-Prex</v>
      </c>
      <c r="C153" s="95">
        <f>'B) D RI'!U155</f>
        <v>461684.29365699238</v>
      </c>
      <c r="D153" s="431">
        <f>'E) Fact soc'!G159/C153</f>
        <v>24.99366318358382</v>
      </c>
      <c r="E153" s="137">
        <f>'H) Péréquation directe'!I164/C153</f>
        <v>15.445546054163948</v>
      </c>
      <c r="F153" s="110">
        <f>+'I) Dépenses thématiques'!O153/'J) Plafonnement effort'!C153</f>
        <v>0</v>
      </c>
      <c r="G153" s="137">
        <f t="shared" si="9"/>
        <v>40.439209237747768</v>
      </c>
      <c r="H153" s="432">
        <f>G153-'C) Prél. conj.'!I153</f>
        <v>38.583446724768407</v>
      </c>
      <c r="I153" s="436">
        <f t="shared" si="10"/>
        <v>0</v>
      </c>
      <c r="J153" s="55">
        <f t="shared" si="11"/>
        <v>0</v>
      </c>
      <c r="K153" s="432">
        <f t="shared" si="12"/>
        <v>38.583446724768407</v>
      </c>
    </row>
    <row r="154" spans="1:11" x14ac:dyDescent="0.25">
      <c r="A154" s="49">
        <f>'A) Base RI'!A156</f>
        <v>5648</v>
      </c>
      <c r="B154" s="294" t="str">
        <f>'A) Base RI'!B156</f>
        <v>Saint-Sulpice</v>
      </c>
      <c r="C154" s="95">
        <f>'B) D RI'!U156</f>
        <v>359984.01578722027</v>
      </c>
      <c r="D154" s="431">
        <f>'E) Fact soc'!G160/C154</f>
        <v>25.897162946069724</v>
      </c>
      <c r="E154" s="137">
        <f>'H) Péréquation directe'!I165/C154</f>
        <v>15.677222632195598</v>
      </c>
      <c r="F154" s="110">
        <f>+'I) Dépenses thématiques'!O154/'J) Plafonnement effort'!C154</f>
        <v>-1.8492194858163228E-2</v>
      </c>
      <c r="G154" s="137">
        <f t="shared" si="9"/>
        <v>41.55589338340716</v>
      </c>
      <c r="H154" s="432">
        <f>G154-'C) Prél. conj.'!I154</f>
        <v>38.033514765492384</v>
      </c>
      <c r="I154" s="436">
        <f t="shared" si="10"/>
        <v>0</v>
      </c>
      <c r="J154" s="55">
        <f t="shared" si="11"/>
        <v>0</v>
      </c>
      <c r="K154" s="432">
        <f t="shared" si="12"/>
        <v>38.033514765492384</v>
      </c>
    </row>
    <row r="155" spans="1:11" x14ac:dyDescent="0.25">
      <c r="A155" s="49">
        <f>'A) Base RI'!A157</f>
        <v>5649</v>
      </c>
      <c r="B155" s="294" t="str">
        <f>'A) Base RI'!B157</f>
        <v>Tolochenaz</v>
      </c>
      <c r="C155" s="95">
        <f>'B) D RI'!U157</f>
        <v>113998.65852486389</v>
      </c>
      <c r="D155" s="431">
        <f>'E) Fact soc'!G161/C155</f>
        <v>20.474381296257995</v>
      </c>
      <c r="E155" s="137">
        <f>'H) Péréquation directe'!I166/C155</f>
        <v>16.325485182726371</v>
      </c>
      <c r="F155" s="110">
        <f>+'I) Dépenses thématiques'!O155/'J) Plafonnement effort'!C155</f>
        <v>-0.56663434893705911</v>
      </c>
      <c r="G155" s="137">
        <f t="shared" si="9"/>
        <v>36.233232130047313</v>
      </c>
      <c r="H155" s="432">
        <f>G155-'C) Prél. conj.'!I155</f>
        <v>34.852919133068667</v>
      </c>
      <c r="I155" s="436">
        <f t="shared" si="10"/>
        <v>0</v>
      </c>
      <c r="J155" s="55">
        <f t="shared" si="11"/>
        <v>0</v>
      </c>
      <c r="K155" s="432">
        <f t="shared" si="12"/>
        <v>34.852919133068667</v>
      </c>
    </row>
    <row r="156" spans="1:11" x14ac:dyDescent="0.25">
      <c r="A156" s="49">
        <f>'A) Base RI'!A158</f>
        <v>5650</v>
      </c>
      <c r="B156" s="294" t="str">
        <f>'A) Base RI'!B158</f>
        <v>Vaux-sur-Morges</v>
      </c>
      <c r="C156" s="95">
        <f>'B) D RI'!U158</f>
        <v>185104.32562171915</v>
      </c>
      <c r="D156" s="431">
        <f>'E) Fact soc'!G162/C156</f>
        <v>46.583216495308015</v>
      </c>
      <c r="E156" s="137">
        <f>'H) Péréquation directe'!I167/C156</f>
        <v>20.15838253416932</v>
      </c>
      <c r="F156" s="110">
        <f>+'I) Dépenses thématiques'!O156/'J) Plafonnement effort'!C156</f>
        <v>0</v>
      </c>
      <c r="G156" s="137">
        <f t="shared" si="9"/>
        <v>66.741599029477328</v>
      </c>
      <c r="H156" s="432">
        <f>G156-'C) Prél. conj.'!I156</f>
        <v>66.741599029477328</v>
      </c>
      <c r="I156" s="436">
        <f t="shared" si="10"/>
        <v>-18.741599029477328</v>
      </c>
      <c r="J156" s="55">
        <f t="shared" si="11"/>
        <v>-3469151.0494240671</v>
      </c>
      <c r="K156" s="432">
        <f t="shared" si="12"/>
        <v>48</v>
      </c>
    </row>
    <row r="157" spans="1:11" x14ac:dyDescent="0.25">
      <c r="A157" s="49">
        <f>'A) Base RI'!A159</f>
        <v>5651</v>
      </c>
      <c r="B157" s="294" t="str">
        <f>'A) Base RI'!B159</f>
        <v>Villars-Sainte-Croix</v>
      </c>
      <c r="C157" s="95">
        <f>'B) D RI'!U159</f>
        <v>50327.012990433635</v>
      </c>
      <c r="D157" s="431">
        <f>'E) Fact soc'!G163/C157</f>
        <v>19.660780473093435</v>
      </c>
      <c r="E157" s="137">
        <f>'H) Péréquation directe'!I168/C157</f>
        <v>17.89306144269916</v>
      </c>
      <c r="F157" s="110">
        <f>+'I) Dépenses thématiques'!O157/'J) Plafonnement effort'!C157</f>
        <v>0</v>
      </c>
      <c r="G157" s="137">
        <f t="shared" si="9"/>
        <v>37.553841915792596</v>
      </c>
      <c r="H157" s="432">
        <f>G157-'C) Prél. conj.'!I157</f>
        <v>34.975492888309773</v>
      </c>
      <c r="I157" s="436">
        <f t="shared" si="10"/>
        <v>0</v>
      </c>
      <c r="J157" s="55">
        <f t="shared" si="11"/>
        <v>0</v>
      </c>
      <c r="K157" s="432">
        <f t="shared" si="12"/>
        <v>34.975492888309773</v>
      </c>
    </row>
    <row r="158" spans="1:11" x14ac:dyDescent="0.25">
      <c r="A158" s="49">
        <f>'A) Base RI'!A160</f>
        <v>5652</v>
      </c>
      <c r="B158" s="294" t="str">
        <f>'A) Base RI'!B160</f>
        <v>Villars-sous-Yens</v>
      </c>
      <c r="C158" s="95">
        <f>'B) D RI'!U160</f>
        <v>29665.347417842095</v>
      </c>
      <c r="D158" s="431">
        <f>'E) Fact soc'!G164/C158</f>
        <v>17.709198337010697</v>
      </c>
      <c r="E158" s="137">
        <f>'H) Péréquation directe'!I169/C158</f>
        <v>17.723177481788124</v>
      </c>
      <c r="F158" s="110">
        <f>+'I) Dépenses thématiques'!O158/'J) Plafonnement effort'!C158</f>
        <v>0</v>
      </c>
      <c r="G158" s="137">
        <f t="shared" si="9"/>
        <v>35.432375818798818</v>
      </c>
      <c r="H158" s="432">
        <f>G158-'C) Prél. conj.'!I158</f>
        <v>34.362409755266064</v>
      </c>
      <c r="I158" s="436">
        <f t="shared" si="10"/>
        <v>0</v>
      </c>
      <c r="J158" s="55">
        <f t="shared" si="11"/>
        <v>0</v>
      </c>
      <c r="K158" s="432">
        <f t="shared" si="12"/>
        <v>34.362409755266064</v>
      </c>
    </row>
    <row r="159" spans="1:11" x14ac:dyDescent="0.25">
      <c r="A159" s="49">
        <f>'A) Base RI'!A161</f>
        <v>5653</v>
      </c>
      <c r="B159" s="294" t="str">
        <f>'A) Base RI'!B161</f>
        <v>Vufflens-le-Château</v>
      </c>
      <c r="C159" s="95">
        <f>'B) D RI'!U161</f>
        <v>61628.734956407359</v>
      </c>
      <c r="D159" s="431">
        <f>'E) Fact soc'!G165/C159</f>
        <v>22.915319307192629</v>
      </c>
      <c r="E159" s="137">
        <f>'H) Péréquation directe'!I170/C159</f>
        <v>18.4872683551324</v>
      </c>
      <c r="F159" s="110">
        <f>+'I) Dépenses thématiques'!O159/'J) Plafonnement effort'!C159</f>
        <v>0</v>
      </c>
      <c r="G159" s="137">
        <f t="shared" si="9"/>
        <v>41.402587662325033</v>
      </c>
      <c r="H159" s="432">
        <f>G159-'C) Prél. conj.'!I159</f>
        <v>39.232418826398032</v>
      </c>
      <c r="I159" s="436">
        <f t="shared" si="10"/>
        <v>0</v>
      </c>
      <c r="J159" s="55">
        <f t="shared" si="11"/>
        <v>0</v>
      </c>
      <c r="K159" s="432">
        <f t="shared" si="12"/>
        <v>39.232418826398032</v>
      </c>
    </row>
    <row r="160" spans="1:11" x14ac:dyDescent="0.25">
      <c r="A160" s="49">
        <f>'A) Base RI'!A162</f>
        <v>5654</v>
      </c>
      <c r="B160" s="294" t="str">
        <f>'A) Base RI'!B162</f>
        <v>Vullierens</v>
      </c>
      <c r="C160" s="95">
        <f>'B) D RI'!U162</f>
        <v>19147.575291748301</v>
      </c>
      <c r="D160" s="431">
        <f>'E) Fact soc'!G166/C160</f>
        <v>18.374547925895488</v>
      </c>
      <c r="E160" s="137">
        <f>'H) Péréquation directe'!I171/C160</f>
        <v>12.683108600401537</v>
      </c>
      <c r="F160" s="110">
        <f>+'I) Dépenses thématiques'!O160/'J) Plafonnement effort'!C160</f>
        <v>0</v>
      </c>
      <c r="G160" s="137">
        <f t="shared" si="9"/>
        <v>31.057656526297023</v>
      </c>
      <c r="H160" s="432">
        <f>G160-'C) Prél. conj.'!I160</f>
        <v>28.086711164639908</v>
      </c>
      <c r="I160" s="436">
        <f t="shared" si="10"/>
        <v>0</v>
      </c>
      <c r="J160" s="55">
        <f t="shared" si="11"/>
        <v>0</v>
      </c>
      <c r="K160" s="432">
        <f t="shared" si="12"/>
        <v>28.086711164639908</v>
      </c>
    </row>
    <row r="161" spans="1:11" x14ac:dyDescent="0.25">
      <c r="A161" s="49">
        <f>'A) Base RI'!A163</f>
        <v>5655</v>
      </c>
      <c r="B161" s="294" t="str">
        <f>'A) Base RI'!B163</f>
        <v>Yens</v>
      </c>
      <c r="C161" s="95">
        <f>'B) D RI'!U163</f>
        <v>86097.458084051032</v>
      </c>
      <c r="D161" s="431">
        <f>'E) Fact soc'!G167/C161</f>
        <v>21.629937446352997</v>
      </c>
      <c r="E161" s="137">
        <f>'H) Péréquation directe'!I172/C161</f>
        <v>17.089929851721276</v>
      </c>
      <c r="F161" s="110">
        <f>+'I) Dépenses thématiques'!O161/'J) Plafonnement effort'!C161</f>
        <v>0</v>
      </c>
      <c r="G161" s="137">
        <f t="shared" si="9"/>
        <v>38.719867298074277</v>
      </c>
      <c r="H161" s="432">
        <f>G161-'C) Prél. conj.'!I161</f>
        <v>37.013988886929788</v>
      </c>
      <c r="I161" s="436">
        <f t="shared" si="10"/>
        <v>0</v>
      </c>
      <c r="J161" s="55">
        <f t="shared" si="11"/>
        <v>0</v>
      </c>
      <c r="K161" s="432">
        <f t="shared" si="12"/>
        <v>37.013988886929788</v>
      </c>
    </row>
    <row r="162" spans="1:11" x14ac:dyDescent="0.25">
      <c r="A162" s="49">
        <f>'A) Base RI'!A164</f>
        <v>5661</v>
      </c>
      <c r="B162" s="294" t="str">
        <f>'A) Base RI'!B164</f>
        <v>Boulens</v>
      </c>
      <c r="C162" s="95">
        <f>'B) D RI'!U164</f>
        <v>10242.097149449037</v>
      </c>
      <c r="D162" s="431">
        <f>'E) Fact soc'!G168/C162</f>
        <v>16.845158896360669</v>
      </c>
      <c r="E162" s="137">
        <f>'H) Péréquation directe'!I173/C162</f>
        <v>-1.2898138775686316</v>
      </c>
      <c r="F162" s="110">
        <f>+'I) Dépenses thématiques'!O162/'J) Plafonnement effort'!C162</f>
        <v>-1.4391007417844242</v>
      </c>
      <c r="G162" s="137">
        <f t="shared" si="9"/>
        <v>14.116244277007613</v>
      </c>
      <c r="H162" s="432">
        <f>G162-'C) Prél. conj.'!I162</f>
        <v>12.674687944885315</v>
      </c>
      <c r="I162" s="436">
        <f t="shared" si="10"/>
        <v>0</v>
      </c>
      <c r="J162" s="55">
        <f t="shared" si="11"/>
        <v>0</v>
      </c>
      <c r="K162" s="432">
        <f t="shared" si="12"/>
        <v>12.674687944885315</v>
      </c>
    </row>
    <row r="163" spans="1:11" x14ac:dyDescent="0.25">
      <c r="A163" s="49">
        <f>'A) Base RI'!A165</f>
        <v>5663</v>
      </c>
      <c r="B163" s="294" t="str">
        <f>'A) Base RI'!B165</f>
        <v>Bussy-sur-Moudon</v>
      </c>
      <c r="C163" s="95">
        <f>'B) D RI'!U165</f>
        <v>5275.6077688756623</v>
      </c>
      <c r="D163" s="431">
        <f>'E) Fact soc'!G169/C163</f>
        <v>16.778610016990299</v>
      </c>
      <c r="E163" s="137">
        <f>'H) Péréquation directe'!I174/C163</f>
        <v>-5.6078224790369129</v>
      </c>
      <c r="F163" s="110">
        <f>+'I) Dépenses thématiques'!O163/'J) Plafonnement effort'!C163</f>
        <v>-13.202611586435289</v>
      </c>
      <c r="G163" s="137">
        <f t="shared" si="9"/>
        <v>-2.0318240484819015</v>
      </c>
      <c r="H163" s="432">
        <f>G163-'C) Prél. conj.'!I163</f>
        <v>-3.4068315012338282</v>
      </c>
      <c r="I163" s="436">
        <f t="shared" si="10"/>
        <v>0</v>
      </c>
      <c r="J163" s="55">
        <f t="shared" si="11"/>
        <v>0</v>
      </c>
      <c r="K163" s="432">
        <f t="shared" si="12"/>
        <v>-3.4068315012338282</v>
      </c>
    </row>
    <row r="164" spans="1:11" x14ac:dyDescent="0.25">
      <c r="A164" s="49">
        <f>'A) Base RI'!A166</f>
        <v>5665</v>
      </c>
      <c r="B164" s="294" t="str">
        <f>'A) Base RI'!B166</f>
        <v>Chavannes-sur-Moudon</v>
      </c>
      <c r="C164" s="95">
        <f>'B) D RI'!U166</f>
        <v>4607.2565465259731</v>
      </c>
      <c r="D164" s="431">
        <f>'E) Fact soc'!G170/C164</f>
        <v>17.489876663137377</v>
      </c>
      <c r="E164" s="137">
        <f>'H) Péréquation directe'!I175/C164</f>
        <v>-8.9136577116305755</v>
      </c>
      <c r="F164" s="110">
        <f>+'I) Dépenses thématiques'!O164/'J) Plafonnement effort'!C164</f>
        <v>-2.22567911691339</v>
      </c>
      <c r="G164" s="137">
        <f t="shared" si="9"/>
        <v>6.3505398345934108</v>
      </c>
      <c r="H164" s="432">
        <f>G164-'C) Prél. conj.'!I164</f>
        <v>4.2642657356944094</v>
      </c>
      <c r="I164" s="436">
        <f t="shared" si="10"/>
        <v>0</v>
      </c>
      <c r="J164" s="55">
        <f t="shared" si="11"/>
        <v>0</v>
      </c>
      <c r="K164" s="432">
        <f t="shared" si="12"/>
        <v>4.2642657356944094</v>
      </c>
    </row>
    <row r="165" spans="1:11" x14ac:dyDescent="0.25">
      <c r="A165" s="49">
        <f>'A) Base RI'!A167</f>
        <v>5669</v>
      </c>
      <c r="B165" s="294" t="str">
        <f>'A) Base RI'!B167</f>
        <v>Curtilles</v>
      </c>
      <c r="C165" s="95">
        <f>'B) D RI'!U167</f>
        <v>7730.4977240355793</v>
      </c>
      <c r="D165" s="431">
        <f>'E) Fact soc'!G171/C165</f>
        <v>16.841559782107783</v>
      </c>
      <c r="E165" s="137">
        <f>'H) Péréquation directe'!I176/C165</f>
        <v>-3.0014206964252383</v>
      </c>
      <c r="F165" s="110">
        <f>+'I) Dépenses thématiques'!O165/'J) Plafonnement effort'!C165</f>
        <v>-2.4668528575036128</v>
      </c>
      <c r="G165" s="137">
        <f t="shared" si="9"/>
        <v>11.373286228178932</v>
      </c>
      <c r="H165" s="432">
        <f>G165-'C) Prél. conj.'!I165</f>
        <v>9.9353290103095233</v>
      </c>
      <c r="I165" s="436">
        <f t="shared" si="10"/>
        <v>0</v>
      </c>
      <c r="J165" s="55">
        <f t="shared" si="11"/>
        <v>0</v>
      </c>
      <c r="K165" s="432">
        <f t="shared" si="12"/>
        <v>9.9353290103095233</v>
      </c>
    </row>
    <row r="166" spans="1:11" x14ac:dyDescent="0.25">
      <c r="A166" s="49">
        <f>'A) Base RI'!A168</f>
        <v>5671</v>
      </c>
      <c r="B166" s="294" t="str">
        <f>'A) Base RI'!B168</f>
        <v>Dompierre</v>
      </c>
      <c r="C166" s="95">
        <f>'B) D RI'!U168</f>
        <v>6107.4315082005251</v>
      </c>
      <c r="D166" s="431">
        <f>'E) Fact soc'!G172/C166</f>
        <v>18.22702759599623</v>
      </c>
      <c r="E166" s="137">
        <f>'H) Péréquation directe'!I177/C166</f>
        <v>-3.7961954306953305</v>
      </c>
      <c r="F166" s="110">
        <f>+'I) Dépenses thématiques'!O166/'J) Plafonnement effort'!C166</f>
        <v>-11.401279004884735</v>
      </c>
      <c r="G166" s="137">
        <f t="shared" si="9"/>
        <v>3.0295531604161638</v>
      </c>
      <c r="H166" s="432">
        <f>G166-'C) Prél. conj.'!I166</f>
        <v>0.20612812865830765</v>
      </c>
      <c r="I166" s="436">
        <f t="shared" si="10"/>
        <v>0</v>
      </c>
      <c r="J166" s="55">
        <f t="shared" si="11"/>
        <v>0</v>
      </c>
      <c r="K166" s="432">
        <f t="shared" si="12"/>
        <v>0.20612812865830765</v>
      </c>
    </row>
    <row r="167" spans="1:11" x14ac:dyDescent="0.25">
      <c r="A167" s="49">
        <f>'A) Base RI'!A169</f>
        <v>5673</v>
      </c>
      <c r="B167" s="294" t="str">
        <f>'A) Base RI'!B169</f>
        <v>Hermenches</v>
      </c>
      <c r="C167" s="95">
        <f>'B) D RI'!U169</f>
        <v>9275.5467189326828</v>
      </c>
      <c r="D167" s="431">
        <f>'E) Fact soc'!G173/C167</f>
        <v>16.793521173961413</v>
      </c>
      <c r="E167" s="137">
        <f>'H) Péréquation directe'!I178/C167</f>
        <v>-1.5965402999249465</v>
      </c>
      <c r="F167" s="110">
        <f>+'I) Dépenses thématiques'!O167/'J) Plafonnement effort'!C167</f>
        <v>-19.895296731315888</v>
      </c>
      <c r="G167" s="137">
        <f t="shared" si="9"/>
        <v>-4.6983158572794217</v>
      </c>
      <c r="H167" s="432">
        <f>G167-'C) Prél. conj.'!I167</f>
        <v>-6.0882344670024597</v>
      </c>
      <c r="I167" s="436">
        <f t="shared" si="10"/>
        <v>0</v>
      </c>
      <c r="J167" s="55">
        <f t="shared" si="11"/>
        <v>0</v>
      </c>
      <c r="K167" s="432">
        <f t="shared" si="12"/>
        <v>-6.0882344670024597</v>
      </c>
    </row>
    <row r="168" spans="1:11" x14ac:dyDescent="0.25">
      <c r="A168" s="49">
        <f>'A) Base RI'!A170</f>
        <v>5674</v>
      </c>
      <c r="B168" s="294" t="str">
        <f>'A) Base RI'!B170</f>
        <v>Lovatens</v>
      </c>
      <c r="C168" s="95">
        <f>'B) D RI'!U170</f>
        <v>3271.992985930126</v>
      </c>
      <c r="D168" s="431">
        <f>'E) Fact soc'!G174/C168</f>
        <v>19.548583943574872</v>
      </c>
      <c r="E168" s="137">
        <f>'H) Péréquation directe'!I179/C168</f>
        <v>-7.6604041222596955</v>
      </c>
      <c r="F168" s="110">
        <f>+'I) Dépenses thématiques'!O168/'J) Plafonnement effort'!C168</f>
        <v>-5.6478837534353339</v>
      </c>
      <c r="G168" s="137">
        <f t="shared" si="9"/>
        <v>6.2402960678798429</v>
      </c>
      <c r="H168" s="432">
        <f>G168-'C) Prél. conj.'!I168</f>
        <v>2.0953146885433451</v>
      </c>
      <c r="I168" s="436">
        <f t="shared" si="10"/>
        <v>0</v>
      </c>
      <c r="J168" s="55">
        <f t="shared" si="11"/>
        <v>0</v>
      </c>
      <c r="K168" s="432">
        <f t="shared" si="12"/>
        <v>2.0953146885433451</v>
      </c>
    </row>
    <row r="169" spans="1:11" x14ac:dyDescent="0.25">
      <c r="A169" s="49">
        <f>'A) Base RI'!A171</f>
        <v>5675</v>
      </c>
      <c r="B169" s="294" t="str">
        <f>'A) Base RI'!B171</f>
        <v>Lucens</v>
      </c>
      <c r="C169" s="95">
        <f>'B) D RI'!U171</f>
        <v>90143.04189619486</v>
      </c>
      <c r="D169" s="431">
        <f>'E) Fact soc'!G175/C169</f>
        <v>19.232710255073581</v>
      </c>
      <c r="E169" s="137">
        <f>'H) Péréquation directe'!I180/C169</f>
        <v>-16.102607665831673</v>
      </c>
      <c r="F169" s="110">
        <f>+'I) Dépenses thématiques'!O169/'J) Plafonnement effort'!C169</f>
        <v>-5.2161425730546016</v>
      </c>
      <c r="G169" s="137">
        <f t="shared" si="9"/>
        <v>-2.086039983812694</v>
      </c>
      <c r="H169" s="432">
        <f>G169-'C) Prél. conj.'!I169</f>
        <v>-5.9151476746479004</v>
      </c>
      <c r="I169" s="436">
        <f t="shared" si="10"/>
        <v>0</v>
      </c>
      <c r="J169" s="55">
        <f t="shared" si="11"/>
        <v>0</v>
      </c>
      <c r="K169" s="432">
        <f t="shared" si="12"/>
        <v>-5.9151476746479004</v>
      </c>
    </row>
    <row r="170" spans="1:11" x14ac:dyDescent="0.25">
      <c r="A170" s="49">
        <f>'A) Base RI'!A172</f>
        <v>5678</v>
      </c>
      <c r="B170" s="294" t="str">
        <f>'A) Base RI'!B172</f>
        <v>Moudon</v>
      </c>
      <c r="C170" s="95">
        <f>'B) D RI'!U172</f>
        <v>115752.26296280598</v>
      </c>
      <c r="D170" s="431">
        <f>'E) Fact soc'!G176/C170</f>
        <v>18.99307204297769</v>
      </c>
      <c r="E170" s="137">
        <f>'H) Péréquation directe'!I181/C170</f>
        <v>-32.11827913112888</v>
      </c>
      <c r="F170" s="110">
        <f>+'I) Dépenses thématiques'!O170/'J) Plafonnement effort'!C170</f>
        <v>-11.293278522807999</v>
      </c>
      <c r="G170" s="137">
        <f t="shared" si="9"/>
        <v>-24.418485610959188</v>
      </c>
      <c r="H170" s="432">
        <f>G170-'C) Prél. conj.'!I170</f>
        <v>-28.007955089698509</v>
      </c>
      <c r="I170" s="436">
        <f t="shared" si="10"/>
        <v>0</v>
      </c>
      <c r="J170" s="55">
        <f t="shared" si="11"/>
        <v>0</v>
      </c>
      <c r="K170" s="432">
        <f t="shared" si="12"/>
        <v>-28.007955089698509</v>
      </c>
    </row>
    <row r="171" spans="1:11" x14ac:dyDescent="0.25">
      <c r="A171" s="49">
        <f>'A) Base RI'!A173</f>
        <v>5680</v>
      </c>
      <c r="B171" s="294" t="str">
        <f>'A) Base RI'!B173</f>
        <v>Ogens</v>
      </c>
      <c r="C171" s="95">
        <f>'B) D RI'!U173</f>
        <v>6425.0974128432881</v>
      </c>
      <c r="D171" s="431">
        <f>'E) Fact soc'!G177/C171</f>
        <v>19.905238592695184</v>
      </c>
      <c r="E171" s="137">
        <f>'H) Péréquation directe'!I182/C171</f>
        <v>-11.801869526206257</v>
      </c>
      <c r="F171" s="110">
        <f>+'I) Dépenses thématiques'!O171/'J) Plafonnement effort'!C171</f>
        <v>-2.4081737409054425</v>
      </c>
      <c r="G171" s="137">
        <f t="shared" si="9"/>
        <v>5.6951953255834846</v>
      </c>
      <c r="H171" s="432">
        <f>G171-'C) Prél. conj.'!I171</f>
        <v>1.1935592971266731</v>
      </c>
      <c r="I171" s="436">
        <f t="shared" si="10"/>
        <v>0</v>
      </c>
      <c r="J171" s="55">
        <f t="shared" si="11"/>
        <v>0</v>
      </c>
      <c r="K171" s="432">
        <f t="shared" si="12"/>
        <v>1.1935592971266731</v>
      </c>
    </row>
    <row r="172" spans="1:11" x14ac:dyDescent="0.25">
      <c r="A172" s="49">
        <f>'A) Base RI'!A174</f>
        <v>5683</v>
      </c>
      <c r="B172" s="294" t="str">
        <f>'A) Base RI'!B174</f>
        <v>Prévonloup</v>
      </c>
      <c r="C172" s="95">
        <f>'B) D RI'!U174</f>
        <v>3739.7592858383009</v>
      </c>
      <c r="D172" s="431">
        <f>'E) Fact soc'!G178/C172</f>
        <v>19.202175925308495</v>
      </c>
      <c r="E172" s="137">
        <f>'H) Péréquation directe'!I183/C172</f>
        <v>-12.11002923909543</v>
      </c>
      <c r="F172" s="110">
        <f>+'I) Dépenses thématiques'!O172/'J) Plafonnement effort'!C172</f>
        <v>-4.2112602606849672</v>
      </c>
      <c r="G172" s="137">
        <f t="shared" si="9"/>
        <v>2.8808864255280975</v>
      </c>
      <c r="H172" s="432">
        <f>G172-'C) Prél. conj.'!I172</f>
        <v>-0.91768693554202629</v>
      </c>
      <c r="I172" s="436">
        <f t="shared" si="10"/>
        <v>0</v>
      </c>
      <c r="J172" s="55">
        <f t="shared" si="11"/>
        <v>0</v>
      </c>
      <c r="K172" s="432">
        <f t="shared" si="12"/>
        <v>-0.91768693554202629</v>
      </c>
    </row>
    <row r="173" spans="1:11" x14ac:dyDescent="0.25">
      <c r="A173" s="49">
        <f>'A) Base RI'!A175</f>
        <v>5684</v>
      </c>
      <c r="B173" s="294" t="str">
        <f>'A) Base RI'!B175</f>
        <v>Rossenges</v>
      </c>
      <c r="C173" s="95">
        <f>'B) D RI'!U175</f>
        <v>1960.0054491323369</v>
      </c>
      <c r="D173" s="431">
        <f>'E) Fact soc'!G179/C173</f>
        <v>18.444869619204365</v>
      </c>
      <c r="E173" s="137">
        <f>'H) Péréquation directe'!I184/C173</f>
        <v>5.2584266870447331</v>
      </c>
      <c r="F173" s="110">
        <f>+'I) Dépenses thématiques'!O173/'J) Plafonnement effort'!C173</f>
        <v>0</v>
      </c>
      <c r="G173" s="137">
        <f t="shared" si="9"/>
        <v>23.703296306249097</v>
      </c>
      <c r="H173" s="432">
        <f>G173-'C) Prél. conj.'!I173</f>
        <v>20.662029251283105</v>
      </c>
      <c r="I173" s="436">
        <f t="shared" si="10"/>
        <v>0</v>
      </c>
      <c r="J173" s="55">
        <f t="shared" si="11"/>
        <v>0</v>
      </c>
      <c r="K173" s="432">
        <f t="shared" si="12"/>
        <v>20.662029251283105</v>
      </c>
    </row>
    <row r="174" spans="1:11" x14ac:dyDescent="0.25">
      <c r="A174" s="49">
        <f>'A) Base RI'!A176</f>
        <v>5688</v>
      </c>
      <c r="B174" s="294" t="str">
        <f>'A) Base RI'!B176</f>
        <v>Syens</v>
      </c>
      <c r="C174" s="95">
        <f>'B) D RI'!U176</f>
        <v>3766.5702445621059</v>
      </c>
      <c r="D174" s="431">
        <f>'E) Fact soc'!G180/C174</f>
        <v>20.101875489202062</v>
      </c>
      <c r="E174" s="137">
        <f>'H) Péréquation directe'!I185/C174</f>
        <v>-5.266365243829835</v>
      </c>
      <c r="F174" s="110">
        <f>+'I) Dépenses thématiques'!O174/'J) Plafonnement effort'!C174</f>
        <v>-9.481025785811136</v>
      </c>
      <c r="G174" s="137">
        <f t="shared" si="9"/>
        <v>5.3544844595610908</v>
      </c>
      <c r="H174" s="432">
        <f>G174-'C) Prél. conj.'!I174</f>
        <v>0.65621153459740267</v>
      </c>
      <c r="I174" s="436">
        <f t="shared" si="10"/>
        <v>0</v>
      </c>
      <c r="J174" s="55">
        <f t="shared" si="11"/>
        <v>0</v>
      </c>
      <c r="K174" s="432">
        <f t="shared" si="12"/>
        <v>0.65621153459740267</v>
      </c>
    </row>
    <row r="175" spans="1:11" x14ac:dyDescent="0.25">
      <c r="A175" s="49">
        <f>'A) Base RI'!A177</f>
        <v>5690</v>
      </c>
      <c r="B175" s="294" t="str">
        <f>'A) Base RI'!B177</f>
        <v>Villars-le-Comte</v>
      </c>
      <c r="C175" s="95">
        <f>'B) D RI'!U177</f>
        <v>4066.8729144140357</v>
      </c>
      <c r="D175" s="431">
        <f>'E) Fact soc'!G181/C175</f>
        <v>16.660938386529921</v>
      </c>
      <c r="E175" s="137">
        <f>'H) Péréquation directe'!I186/C175</f>
        <v>7.3656895860692497</v>
      </c>
      <c r="F175" s="110">
        <f>+'I) Dépenses thématiques'!O175/'J) Plafonnement effort'!C175</f>
        <v>0</v>
      </c>
      <c r="G175" s="137">
        <f t="shared" si="9"/>
        <v>24.026627972599172</v>
      </c>
      <c r="H175" s="432">
        <f>G175-'C) Prél. conj.'!I175</f>
        <v>22.769292150307624</v>
      </c>
      <c r="I175" s="436">
        <f t="shared" si="10"/>
        <v>0</v>
      </c>
      <c r="J175" s="55">
        <f t="shared" si="11"/>
        <v>0</v>
      </c>
      <c r="K175" s="432">
        <f t="shared" si="12"/>
        <v>22.769292150307624</v>
      </c>
    </row>
    <row r="176" spans="1:11" x14ac:dyDescent="0.25">
      <c r="A176" s="49">
        <f>'A) Base RI'!A178</f>
        <v>5692</v>
      </c>
      <c r="B176" s="294" t="str">
        <f>'A) Base RI'!B178</f>
        <v>Vucherens</v>
      </c>
      <c r="C176" s="95">
        <f>'B) D RI'!U178</f>
        <v>16181.962340912567</v>
      </c>
      <c r="D176" s="431">
        <f>'E) Fact soc'!G182/C176</f>
        <v>20.277430493042729</v>
      </c>
      <c r="E176" s="137">
        <f>'H) Péréquation directe'!I187/C176</f>
        <v>0.98104345731269416</v>
      </c>
      <c r="F176" s="110">
        <f>+'I) Dépenses thématiques'!O176/'J) Plafonnement effort'!C176</f>
        <v>-4.8191266064630938</v>
      </c>
      <c r="G176" s="137">
        <f t="shared" si="9"/>
        <v>16.439347343892329</v>
      </c>
      <c r="H176" s="432">
        <f>G176-'C) Prél. conj.'!I176</f>
        <v>11.565519415087973</v>
      </c>
      <c r="I176" s="436">
        <f t="shared" si="10"/>
        <v>0</v>
      </c>
      <c r="J176" s="55">
        <f t="shared" si="11"/>
        <v>0</v>
      </c>
      <c r="K176" s="432">
        <f t="shared" si="12"/>
        <v>11.565519415087973</v>
      </c>
    </row>
    <row r="177" spans="1:11" x14ac:dyDescent="0.25">
      <c r="A177" s="49">
        <f>'A) Base RI'!A179</f>
        <v>5693</v>
      </c>
      <c r="B177" s="294" t="str">
        <f>'A) Base RI'!B179</f>
        <v>Montanaire</v>
      </c>
      <c r="C177" s="95">
        <f>'B) D RI'!U179</f>
        <v>69189.830336889005</v>
      </c>
      <c r="D177" s="431">
        <f>'E) Fact soc'!G183/C177</f>
        <v>17.85817831869651</v>
      </c>
      <c r="E177" s="137">
        <f>'H) Péréquation directe'!I188/C177</f>
        <v>-5.2813544190283075</v>
      </c>
      <c r="F177" s="110">
        <f>+'I) Dépenses thématiques'!O177/'J) Plafonnement effort'!C177</f>
        <v>-8.9487345996252916</v>
      </c>
      <c r="G177" s="137">
        <f t="shared" si="9"/>
        <v>3.6280893000429106</v>
      </c>
      <c r="H177" s="432">
        <f>G177-'C) Prél. conj.'!I177</f>
        <v>1.1735135455847709</v>
      </c>
      <c r="I177" s="436">
        <f t="shared" si="10"/>
        <v>0</v>
      </c>
      <c r="J177" s="55">
        <f t="shared" si="11"/>
        <v>0</v>
      </c>
      <c r="K177" s="432">
        <f t="shared" si="12"/>
        <v>1.1735135455847709</v>
      </c>
    </row>
    <row r="178" spans="1:11" x14ac:dyDescent="0.25">
      <c r="A178" s="49">
        <f>'A) Base RI'!A180</f>
        <v>5701</v>
      </c>
      <c r="B178" s="294" t="str">
        <f>'A) Base RI'!B180</f>
        <v>Arnex-sur-Nyon</v>
      </c>
      <c r="C178" s="95">
        <f>'B) D RI'!U180</f>
        <v>13494.151628023246</v>
      </c>
      <c r="D178" s="431">
        <f>'E) Fact soc'!G184/C178</f>
        <v>24.463269924627902</v>
      </c>
      <c r="E178" s="137">
        <f>'H) Péréquation directe'!I189/C178</f>
        <v>18.107832820202017</v>
      </c>
      <c r="F178" s="110">
        <f>+'I) Dépenses thématiques'!O178/'J) Plafonnement effort'!C178</f>
        <v>0</v>
      </c>
      <c r="G178" s="137">
        <f t="shared" si="9"/>
        <v>42.571102744829915</v>
      </c>
      <c r="H178" s="432">
        <f>G178-'C) Prél. conj.'!I178</f>
        <v>37.025296527224612</v>
      </c>
      <c r="I178" s="436">
        <f t="shared" si="10"/>
        <v>0</v>
      </c>
      <c r="J178" s="55">
        <f t="shared" si="11"/>
        <v>0</v>
      </c>
      <c r="K178" s="432">
        <f t="shared" si="12"/>
        <v>37.025296527224612</v>
      </c>
    </row>
    <row r="179" spans="1:11" x14ac:dyDescent="0.25">
      <c r="A179" s="49">
        <f>'A) Base RI'!A181</f>
        <v>5702</v>
      </c>
      <c r="B179" s="294" t="str">
        <f>'A) Base RI'!B181</f>
        <v>Arzier-Le Muids</v>
      </c>
      <c r="C179" s="95">
        <f>'B) D RI'!U181</f>
        <v>176187.34911477199</v>
      </c>
      <c r="D179" s="431">
        <f>'E) Fact soc'!G185/C179</f>
        <v>24.381168921725514</v>
      </c>
      <c r="E179" s="137">
        <f>'H) Péréquation directe'!I190/C179</f>
        <v>16.206017564708823</v>
      </c>
      <c r="F179" s="110">
        <f>+'I) Dépenses thématiques'!O179/'J) Plafonnement effort'!C179</f>
        <v>-1.5310301406058904</v>
      </c>
      <c r="G179" s="137">
        <f t="shared" si="9"/>
        <v>39.056156345828441</v>
      </c>
      <c r="H179" s="432">
        <f>G179-'C) Prél. conj.'!I179</f>
        <v>35.225889000354094</v>
      </c>
      <c r="I179" s="436">
        <f t="shared" si="10"/>
        <v>0</v>
      </c>
      <c r="J179" s="55">
        <f t="shared" si="11"/>
        <v>0</v>
      </c>
      <c r="K179" s="432">
        <f t="shared" si="12"/>
        <v>35.225889000354094</v>
      </c>
    </row>
    <row r="180" spans="1:11" x14ac:dyDescent="0.25">
      <c r="A180" s="49">
        <f>'A) Base RI'!A182</f>
        <v>5703</v>
      </c>
      <c r="B180" s="294" t="str">
        <f>'A) Base RI'!B182</f>
        <v>Bassins</v>
      </c>
      <c r="C180" s="95">
        <f>'B) D RI'!U182</f>
        <v>55300.638649310058</v>
      </c>
      <c r="D180" s="431">
        <f>'E) Fact soc'!G186/C180</f>
        <v>18.964686844816693</v>
      </c>
      <c r="E180" s="137">
        <f>'H) Péréquation directe'!I191/C180</f>
        <v>13.830527254983839</v>
      </c>
      <c r="F180" s="110">
        <f>+'I) Dépenses thématiques'!O180/'J) Plafonnement effort'!C180</f>
        <v>-3.6980073038904884</v>
      </c>
      <c r="G180" s="137">
        <f t="shared" si="9"/>
        <v>29.097206795910044</v>
      </c>
      <c r="H180" s="432">
        <f>G180-'C) Prél. conj.'!I180</f>
        <v>25.536122515331723</v>
      </c>
      <c r="I180" s="436">
        <f t="shared" si="10"/>
        <v>0</v>
      </c>
      <c r="J180" s="55">
        <f t="shared" si="11"/>
        <v>0</v>
      </c>
      <c r="K180" s="432">
        <f t="shared" si="12"/>
        <v>25.536122515331723</v>
      </c>
    </row>
    <row r="181" spans="1:11" x14ac:dyDescent="0.25">
      <c r="A181" s="49">
        <f>'A) Base RI'!A183</f>
        <v>5704</v>
      </c>
      <c r="B181" s="294" t="str">
        <f>'A) Base RI'!B183</f>
        <v>Begnins</v>
      </c>
      <c r="C181" s="95">
        <f>'B) D RI'!U183</f>
        <v>122435.43857401636</v>
      </c>
      <c r="D181" s="431">
        <f>'E) Fact soc'!G187/C181</f>
        <v>25.02180676297446</v>
      </c>
      <c r="E181" s="137">
        <f>'H) Péréquation directe'!I192/C181</f>
        <v>16.543896237073536</v>
      </c>
      <c r="F181" s="110">
        <f>+'I) Dépenses thématiques'!O181/'J) Plafonnement effort'!C181</f>
        <v>0</v>
      </c>
      <c r="G181" s="137">
        <f t="shared" si="9"/>
        <v>41.565703000047996</v>
      </c>
      <c r="H181" s="432">
        <f>G181-'C) Prél. conj.'!I181</f>
        <v>36.511368999962748</v>
      </c>
      <c r="I181" s="436">
        <f t="shared" si="10"/>
        <v>0</v>
      </c>
      <c r="J181" s="55">
        <f t="shared" si="11"/>
        <v>0</v>
      </c>
      <c r="K181" s="432">
        <f t="shared" si="12"/>
        <v>36.511368999962748</v>
      </c>
    </row>
    <row r="182" spans="1:11" x14ac:dyDescent="0.25">
      <c r="A182" s="49">
        <f>'A) Base RI'!A184</f>
        <v>5705</v>
      </c>
      <c r="B182" s="294" t="str">
        <f>'A) Base RI'!B184</f>
        <v>Bogis-Bossey</v>
      </c>
      <c r="C182" s="95">
        <f>'B) D RI'!U184</f>
        <v>49357.057232158906</v>
      </c>
      <c r="D182" s="431">
        <f>'E) Fact soc'!G188/C182</f>
        <v>22.328636318586756</v>
      </c>
      <c r="E182" s="137">
        <f>'H) Péréquation directe'!I193/C182</f>
        <v>18.088986138974988</v>
      </c>
      <c r="F182" s="110">
        <f>+'I) Dépenses thématiques'!O182/'J) Plafonnement effort'!C182</f>
        <v>0</v>
      </c>
      <c r="G182" s="137">
        <f t="shared" si="9"/>
        <v>40.417622457561748</v>
      </c>
      <c r="H182" s="432">
        <f>G182-'C) Prél. conj.'!I182</f>
        <v>36.854907622824257</v>
      </c>
      <c r="I182" s="436">
        <f t="shared" si="10"/>
        <v>0</v>
      </c>
      <c r="J182" s="55">
        <f t="shared" si="11"/>
        <v>0</v>
      </c>
      <c r="K182" s="432">
        <f t="shared" si="12"/>
        <v>36.854907622824257</v>
      </c>
    </row>
    <row r="183" spans="1:11" x14ac:dyDescent="0.25">
      <c r="A183" s="49">
        <f>'A) Base RI'!A185</f>
        <v>5706</v>
      </c>
      <c r="B183" s="294" t="str">
        <f>'A) Base RI'!B185</f>
        <v>Borex</v>
      </c>
      <c r="C183" s="95">
        <f>'B) D RI'!U185</f>
        <v>70814.792156181808</v>
      </c>
      <c r="D183" s="431">
        <f>'E) Fact soc'!G189/C183</f>
        <v>21.353565121267</v>
      </c>
      <c r="E183" s="137">
        <f>'H) Péréquation directe'!I194/C183</f>
        <v>17.827869972985816</v>
      </c>
      <c r="F183" s="110">
        <f>+'I) Dépenses thématiques'!O183/'J) Plafonnement effort'!C183</f>
        <v>0</v>
      </c>
      <c r="G183" s="137">
        <f t="shared" si="9"/>
        <v>39.181435094252819</v>
      </c>
      <c r="H183" s="432">
        <f>G183-'C) Prél. conj.'!I183</f>
        <v>37.238330753898019</v>
      </c>
      <c r="I183" s="436">
        <f t="shared" si="10"/>
        <v>0</v>
      </c>
      <c r="J183" s="55">
        <f t="shared" si="11"/>
        <v>0</v>
      </c>
      <c r="K183" s="432">
        <f t="shared" si="12"/>
        <v>37.238330753898019</v>
      </c>
    </row>
    <row r="184" spans="1:11" x14ac:dyDescent="0.25">
      <c r="A184" s="49">
        <f>'A) Base RI'!A186</f>
        <v>5707</v>
      </c>
      <c r="B184" s="294" t="str">
        <f>'A) Base RI'!B186</f>
        <v>Chavannes-de-Bogis</v>
      </c>
      <c r="C184" s="95">
        <f>'B) D RI'!U186</f>
        <v>74977.772605941107</v>
      </c>
      <c r="D184" s="431">
        <f>'E) Fact soc'!G190/C184</f>
        <v>24.516341692080125</v>
      </c>
      <c r="E184" s="137">
        <f>'H) Péréquation directe'!I195/C184</f>
        <v>17.306625811123304</v>
      </c>
      <c r="F184" s="110">
        <f>+'I) Dépenses thématiques'!O184/'J) Plafonnement effort'!C184</f>
        <v>0</v>
      </c>
      <c r="G184" s="137">
        <f t="shared" si="9"/>
        <v>41.822967503203429</v>
      </c>
      <c r="H184" s="432">
        <f>G184-'C) Prél. conj.'!I184</f>
        <v>35.951096684716155</v>
      </c>
      <c r="I184" s="436">
        <f t="shared" si="10"/>
        <v>0</v>
      </c>
      <c r="J184" s="55">
        <f t="shared" si="11"/>
        <v>0</v>
      </c>
      <c r="K184" s="432">
        <f t="shared" si="12"/>
        <v>35.951096684716155</v>
      </c>
    </row>
    <row r="185" spans="1:11" x14ac:dyDescent="0.25">
      <c r="A185" s="49">
        <f>'A) Base RI'!A187</f>
        <v>5708</v>
      </c>
      <c r="B185" s="294" t="str">
        <f>'A) Base RI'!B187</f>
        <v>Chavannes-des-Bois</v>
      </c>
      <c r="C185" s="95">
        <f>'B) D RI'!U187</f>
        <v>57043.960322475032</v>
      </c>
      <c r="D185" s="431">
        <f>'E) Fact soc'!G191/C185</f>
        <v>22.038815754358868</v>
      </c>
      <c r="E185" s="137">
        <f>'H) Péréquation directe'!I196/C185</f>
        <v>18.172231012320747</v>
      </c>
      <c r="F185" s="110">
        <f>+'I) Dépenses thématiques'!O185/'J) Plafonnement effort'!C185</f>
        <v>0</v>
      </c>
      <c r="G185" s="137">
        <f t="shared" si="9"/>
        <v>40.211046766679615</v>
      </c>
      <c r="H185" s="432">
        <f>G185-'C) Prél. conj.'!I185</f>
        <v>37.204339763336719</v>
      </c>
      <c r="I185" s="436">
        <f t="shared" si="10"/>
        <v>0</v>
      </c>
      <c r="J185" s="55">
        <f t="shared" si="11"/>
        <v>0</v>
      </c>
      <c r="K185" s="432">
        <f t="shared" si="12"/>
        <v>37.204339763336719</v>
      </c>
    </row>
    <row r="186" spans="1:11" x14ac:dyDescent="0.25">
      <c r="A186" s="49">
        <f>'A) Base RI'!A188</f>
        <v>5709</v>
      </c>
      <c r="B186" s="294" t="str">
        <f>'A) Base RI'!B188</f>
        <v>Chéserex</v>
      </c>
      <c r="C186" s="95">
        <f>'B) D RI'!U188</f>
        <v>106115.90679849937</v>
      </c>
      <c r="D186" s="431">
        <f>'E) Fact soc'!G192/C186</f>
        <v>26.129688312351213</v>
      </c>
      <c r="E186" s="137">
        <f>'H) Péréquation directe'!I197/C186</f>
        <v>18.357783230030826</v>
      </c>
      <c r="F186" s="110">
        <f>+'I) Dépenses thématiques'!O186/'J) Plafonnement effort'!C186</f>
        <v>0</v>
      </c>
      <c r="G186" s="137">
        <f t="shared" si="9"/>
        <v>44.487471542382039</v>
      </c>
      <c r="H186" s="432">
        <f>G186-'C) Prél. conj.'!I186</f>
        <v>42.675921221608469</v>
      </c>
      <c r="I186" s="436">
        <f t="shared" si="10"/>
        <v>0</v>
      </c>
      <c r="J186" s="55">
        <f t="shared" si="11"/>
        <v>0</v>
      </c>
      <c r="K186" s="432">
        <f t="shared" si="12"/>
        <v>42.675921221608469</v>
      </c>
    </row>
    <row r="187" spans="1:11" x14ac:dyDescent="0.25">
      <c r="A187" s="49">
        <f>'A) Base RI'!A189</f>
        <v>5710</v>
      </c>
      <c r="B187" s="294" t="str">
        <f>'A) Base RI'!B189</f>
        <v>Coinsins</v>
      </c>
      <c r="C187" s="95">
        <f>'B) D RI'!U189</f>
        <v>136110.49360949438</v>
      </c>
      <c r="D187" s="431">
        <f>'E) Fact soc'!G193/C187</f>
        <v>38.317632853794372</v>
      </c>
      <c r="E187" s="137">
        <f>'H) Péréquation directe'!I198/C187</f>
        <v>19.824705432892141</v>
      </c>
      <c r="F187" s="110">
        <f>+'I) Dépenses thématiques'!O187/'J) Plafonnement effort'!C187</f>
        <v>0</v>
      </c>
      <c r="G187" s="137">
        <f t="shared" si="9"/>
        <v>58.14233828668651</v>
      </c>
      <c r="H187" s="432">
        <f>G187-'C) Prél. conj.'!I187</f>
        <v>57.698608832782107</v>
      </c>
      <c r="I187" s="436">
        <f t="shared" si="10"/>
        <v>-9.6986088327821065</v>
      </c>
      <c r="J187" s="55">
        <f t="shared" si="11"/>
        <v>-1320082.4355553747</v>
      </c>
      <c r="K187" s="432">
        <f t="shared" si="12"/>
        <v>48</v>
      </c>
    </row>
    <row r="188" spans="1:11" x14ac:dyDescent="0.25">
      <c r="A188" s="49">
        <f>'A) Base RI'!A190</f>
        <v>5711</v>
      </c>
      <c r="B188" s="294" t="str">
        <f>'A) Base RI'!B190</f>
        <v>Commugny</v>
      </c>
      <c r="C188" s="95">
        <f>'B) D RI'!U190</f>
        <v>277708.93037627928</v>
      </c>
      <c r="D188" s="431">
        <f>'E) Fact soc'!G194/C188</f>
        <v>28.581848309035021</v>
      </c>
      <c r="E188" s="137">
        <f>'H) Péréquation directe'!I199/C188</f>
        <v>17.469626621140176</v>
      </c>
      <c r="F188" s="110">
        <f>+'I) Dépenses thématiques'!O188/'J) Plafonnement effort'!C188</f>
        <v>0</v>
      </c>
      <c r="G188" s="137">
        <f t="shared" si="9"/>
        <v>46.051474930175196</v>
      </c>
      <c r="H188" s="432">
        <f>G188-'C) Prél. conj.'!I188</f>
        <v>43.638551391518853</v>
      </c>
      <c r="I188" s="436">
        <f t="shared" si="10"/>
        <v>0</v>
      </c>
      <c r="J188" s="55">
        <f t="shared" si="11"/>
        <v>0</v>
      </c>
      <c r="K188" s="432">
        <f t="shared" si="12"/>
        <v>43.638551391518853</v>
      </c>
    </row>
    <row r="189" spans="1:11" x14ac:dyDescent="0.25">
      <c r="A189" s="49">
        <f>'A) Base RI'!A191</f>
        <v>5712</v>
      </c>
      <c r="B189" s="294" t="str">
        <f>'A) Base RI'!B191</f>
        <v>Coppet</v>
      </c>
      <c r="C189" s="95">
        <f>'B) D RI'!U191</f>
        <v>337534.69243130391</v>
      </c>
      <c r="D189" s="431">
        <f>'E) Fact soc'!G195/C189</f>
        <v>32.985489383972627</v>
      </c>
      <c r="E189" s="137">
        <f>'H) Péréquation directe'!I200/C189</f>
        <v>17.654317824765311</v>
      </c>
      <c r="F189" s="110">
        <f>+'I) Dépenses thématiques'!O189/'J) Plafonnement effort'!C189</f>
        <v>0</v>
      </c>
      <c r="G189" s="137">
        <f t="shared" si="9"/>
        <v>50.639807208737935</v>
      </c>
      <c r="H189" s="432">
        <f>G189-'C) Prél. conj.'!I189</f>
        <v>44.816312441899854</v>
      </c>
      <c r="I189" s="436">
        <f t="shared" si="10"/>
        <v>0</v>
      </c>
      <c r="J189" s="55">
        <f t="shared" si="11"/>
        <v>0</v>
      </c>
      <c r="K189" s="432">
        <f t="shared" si="12"/>
        <v>44.816312441899854</v>
      </c>
    </row>
    <row r="190" spans="1:11" x14ac:dyDescent="0.25">
      <c r="A190" s="49">
        <f>'A) Base RI'!A192</f>
        <v>5713</v>
      </c>
      <c r="B190" s="294" t="str">
        <f>'A) Base RI'!B192</f>
        <v>Crans-près-Céligny</v>
      </c>
      <c r="C190" s="95">
        <f>'B) D RI'!U192</f>
        <v>273158.77225218777</v>
      </c>
      <c r="D190" s="431">
        <f>'E) Fact soc'!G196/C190</f>
        <v>31.6386135063408</v>
      </c>
      <c r="E190" s="137">
        <f>'H) Péréquation directe'!I201/C190</f>
        <v>18.298302488970368</v>
      </c>
      <c r="F190" s="110">
        <f>+'I) Dépenses thématiques'!O190/'J) Plafonnement effort'!C190</f>
        <v>0</v>
      </c>
      <c r="G190" s="137">
        <f t="shared" si="9"/>
        <v>49.936915995311168</v>
      </c>
      <c r="H190" s="432">
        <f>G190-'C) Prél. conj.'!I190</f>
        <v>47.422878282599562</v>
      </c>
      <c r="I190" s="436">
        <f t="shared" si="10"/>
        <v>0</v>
      </c>
      <c r="J190" s="55">
        <f t="shared" si="11"/>
        <v>0</v>
      </c>
      <c r="K190" s="432">
        <f t="shared" si="12"/>
        <v>47.422878282599562</v>
      </c>
    </row>
    <row r="191" spans="1:11" x14ac:dyDescent="0.25">
      <c r="A191" s="49">
        <f>'A) Base RI'!A193</f>
        <v>5714</v>
      </c>
      <c r="B191" s="294" t="str">
        <f>'A) Base RI'!B193</f>
        <v>Crassier</v>
      </c>
      <c r="C191" s="95">
        <f>'B) D RI'!U193</f>
        <v>74464.147646326936</v>
      </c>
      <c r="D191" s="431">
        <f>'E) Fact soc'!G197/C191</f>
        <v>22.313336587571531</v>
      </c>
      <c r="E191" s="137">
        <f>'H) Péréquation directe'!I202/C191</f>
        <v>17.783824407583889</v>
      </c>
      <c r="F191" s="110">
        <f>+'I) Dépenses thématiques'!O191/'J) Plafonnement effort'!C191</f>
        <v>0</v>
      </c>
      <c r="G191" s="137">
        <f t="shared" si="9"/>
        <v>40.09716099515542</v>
      </c>
      <c r="H191" s="432">
        <f>G191-'C) Prél. conj.'!I191</f>
        <v>37.90156895297531</v>
      </c>
      <c r="I191" s="436">
        <f t="shared" si="10"/>
        <v>0</v>
      </c>
      <c r="J191" s="55">
        <f t="shared" si="11"/>
        <v>0</v>
      </c>
      <c r="K191" s="432">
        <f t="shared" si="12"/>
        <v>37.90156895297531</v>
      </c>
    </row>
    <row r="192" spans="1:11" x14ac:dyDescent="0.25">
      <c r="A192" s="49">
        <f>'A) Base RI'!A194</f>
        <v>5715</v>
      </c>
      <c r="B192" s="294" t="str">
        <f>'A) Base RI'!B194</f>
        <v>Duillier</v>
      </c>
      <c r="C192" s="95">
        <f>'B) D RI'!U194</f>
        <v>77556.587804651164</v>
      </c>
      <c r="D192" s="431">
        <f>'E) Fact soc'!G198/C192</f>
        <v>26.165659432100938</v>
      </c>
      <c r="E192" s="137">
        <f>'H) Péréquation directe'!I203/C192</f>
        <v>18.289201863658452</v>
      </c>
      <c r="F192" s="110">
        <f>+'I) Dépenses thématiques'!O192/'J) Plafonnement effort'!C192</f>
        <v>0</v>
      </c>
      <c r="G192" s="137">
        <f t="shared" si="9"/>
        <v>44.454861295759386</v>
      </c>
      <c r="H192" s="432">
        <f>G192-'C) Prél. conj.'!I192</f>
        <v>40.640257747893429</v>
      </c>
      <c r="I192" s="436">
        <f t="shared" si="10"/>
        <v>0</v>
      </c>
      <c r="J192" s="55">
        <f t="shared" si="11"/>
        <v>0</v>
      </c>
      <c r="K192" s="432">
        <f t="shared" si="12"/>
        <v>40.640257747893429</v>
      </c>
    </row>
    <row r="193" spans="1:11" x14ac:dyDescent="0.25">
      <c r="A193" s="49">
        <f>'A) Base RI'!A195</f>
        <v>5716</v>
      </c>
      <c r="B193" s="294" t="str">
        <f>'A) Base RI'!B195</f>
        <v>Eysins</v>
      </c>
      <c r="C193" s="95">
        <f>'B) D RI'!U195</f>
        <v>177981.86327972834</v>
      </c>
      <c r="D193" s="431">
        <f>'E) Fact soc'!G199/C193</f>
        <v>31.754080024117656</v>
      </c>
      <c r="E193" s="137">
        <f>'H) Péréquation directe'!I204/C193</f>
        <v>18.366829851738434</v>
      </c>
      <c r="F193" s="110">
        <f>+'I) Dépenses thématiques'!O193/'J) Plafonnement effort'!C193</f>
        <v>0</v>
      </c>
      <c r="G193" s="137">
        <f t="shared" si="9"/>
        <v>50.120909875856086</v>
      </c>
      <c r="H193" s="432">
        <f>G193-'C) Prél. conj.'!I193</f>
        <v>47.61595407988662</v>
      </c>
      <c r="I193" s="436">
        <f t="shared" si="10"/>
        <v>0</v>
      </c>
      <c r="J193" s="55">
        <f t="shared" si="11"/>
        <v>0</v>
      </c>
      <c r="K193" s="432">
        <f t="shared" si="12"/>
        <v>47.61595407988662</v>
      </c>
    </row>
    <row r="194" spans="1:11" x14ac:dyDescent="0.25">
      <c r="A194" s="49">
        <f>'A) Base RI'!A196</f>
        <v>5717</v>
      </c>
      <c r="B194" s="294" t="str">
        <f>'A) Base RI'!B196</f>
        <v>Founex</v>
      </c>
      <c r="C194" s="95">
        <f>'B) D RI'!U196</f>
        <v>372726.48546710185</v>
      </c>
      <c r="D194" s="431">
        <f>'E) Fact soc'!G200/C194</f>
        <v>28.132110623406195</v>
      </c>
      <c r="E194" s="137">
        <f>'H) Péréquation directe'!I205/C194</f>
        <v>17.012627074540713</v>
      </c>
      <c r="F194" s="110">
        <f>+'I) Dépenses thématiques'!O194/'J) Plafonnement effort'!C194</f>
        <v>0</v>
      </c>
      <c r="G194" s="137">
        <f t="shared" si="9"/>
        <v>45.144737697946908</v>
      </c>
      <c r="H194" s="432">
        <f>G194-'C) Prél. conj.'!I194</f>
        <v>43.509297264364406</v>
      </c>
      <c r="I194" s="436">
        <f t="shared" si="10"/>
        <v>0</v>
      </c>
      <c r="J194" s="55">
        <f t="shared" si="11"/>
        <v>0</v>
      </c>
      <c r="K194" s="432">
        <f t="shared" si="12"/>
        <v>43.509297264364406</v>
      </c>
    </row>
    <row r="195" spans="1:11" x14ac:dyDescent="0.25">
      <c r="A195" s="49">
        <f>'A) Base RI'!A197</f>
        <v>5718</v>
      </c>
      <c r="B195" s="294" t="str">
        <f>'A) Base RI'!B197</f>
        <v>Genolier</v>
      </c>
      <c r="C195" s="95">
        <f>'B) D RI'!U197</f>
        <v>170666.41821719555</v>
      </c>
      <c r="D195" s="431">
        <f>'E) Fact soc'!G201/C195</f>
        <v>28.443561924934397</v>
      </c>
      <c r="E195" s="137">
        <f>'H) Péréquation directe'!I206/C195</f>
        <v>17.582004736830104</v>
      </c>
      <c r="F195" s="110">
        <f>+'I) Dépenses thématiques'!O195/'J) Plafonnement effort'!C195</f>
        <v>0</v>
      </c>
      <c r="G195" s="137">
        <f t="shared" si="9"/>
        <v>46.025566661764501</v>
      </c>
      <c r="H195" s="432">
        <f>G195-'C) Prél. conj.'!I195</f>
        <v>41.671449649393004</v>
      </c>
      <c r="I195" s="436">
        <f t="shared" si="10"/>
        <v>0</v>
      </c>
      <c r="J195" s="55">
        <f t="shared" si="11"/>
        <v>0</v>
      </c>
      <c r="K195" s="432">
        <f t="shared" si="12"/>
        <v>41.671449649393004</v>
      </c>
    </row>
    <row r="196" spans="1:11" x14ac:dyDescent="0.25">
      <c r="A196" s="49">
        <f>'A) Base RI'!A198</f>
        <v>5719</v>
      </c>
      <c r="B196" s="294" t="str">
        <f>'A) Base RI'!B198</f>
        <v>Gingins</v>
      </c>
      <c r="C196" s="95">
        <f>'B) D RI'!U198</f>
        <v>110505.6531809626</v>
      </c>
      <c r="D196" s="431">
        <f>'E) Fact soc'!G202/C196</f>
        <v>29.048586240316887</v>
      </c>
      <c r="E196" s="137">
        <f>'H) Péréquation directe'!I207/C196</f>
        <v>18.437405564663717</v>
      </c>
      <c r="F196" s="110">
        <f>+'I) Dépenses thématiques'!O196/'J) Plafonnement effort'!C196</f>
        <v>0</v>
      </c>
      <c r="G196" s="137">
        <f t="shared" si="9"/>
        <v>47.4859918049806</v>
      </c>
      <c r="H196" s="432">
        <f>G196-'C) Prél. conj.'!I196</f>
        <v>43.348633834241376</v>
      </c>
      <c r="I196" s="436">
        <f t="shared" si="10"/>
        <v>0</v>
      </c>
      <c r="J196" s="55">
        <f t="shared" si="11"/>
        <v>0</v>
      </c>
      <c r="K196" s="432">
        <f t="shared" si="12"/>
        <v>43.348633834241376</v>
      </c>
    </row>
    <row r="197" spans="1:11" x14ac:dyDescent="0.25">
      <c r="A197" s="49">
        <f>'A) Base RI'!A199</f>
        <v>5720</v>
      </c>
      <c r="B197" s="294" t="str">
        <f>'A) Base RI'!B199</f>
        <v>Givrins</v>
      </c>
      <c r="C197" s="95">
        <f>'B) D RI'!U199</f>
        <v>66980.280368955675</v>
      </c>
      <c r="D197" s="431">
        <f>'E) Fact soc'!G203/C197</f>
        <v>23.114140978329146</v>
      </c>
      <c r="E197" s="137">
        <f>'H) Péréquation directe'!I208/C197</f>
        <v>18.245903024353602</v>
      </c>
      <c r="F197" s="110">
        <f>+'I) Dépenses thématiques'!O197/'J) Plafonnement effort'!C197</f>
        <v>-0.42194352682489739</v>
      </c>
      <c r="G197" s="137">
        <f t="shared" si="9"/>
        <v>40.938100475857851</v>
      </c>
      <c r="H197" s="432">
        <f>G197-'C) Prél. conj.'!I197</f>
        <v>38.505734052448382</v>
      </c>
      <c r="I197" s="436">
        <f t="shared" si="10"/>
        <v>0</v>
      </c>
      <c r="J197" s="55">
        <f t="shared" si="11"/>
        <v>0</v>
      </c>
      <c r="K197" s="432">
        <f t="shared" si="12"/>
        <v>38.505734052448382</v>
      </c>
    </row>
    <row r="198" spans="1:11" x14ac:dyDescent="0.25">
      <c r="A198" s="49">
        <f>'A) Base RI'!A200</f>
        <v>5721</v>
      </c>
      <c r="B198" s="294" t="str">
        <f>'A) Base RI'!B200</f>
        <v>Gland</v>
      </c>
      <c r="C198" s="95">
        <f>'B) D RI'!U200</f>
        <v>636120.41665849148</v>
      </c>
      <c r="D198" s="431">
        <f>'E) Fact soc'!G204/C198</f>
        <v>19.641797375070762</v>
      </c>
      <c r="E198" s="137">
        <f>'H) Péréquation directe'!I209/C198</f>
        <v>7.913664231859511</v>
      </c>
      <c r="F198" s="110">
        <f>+'I) Dépenses thématiques'!O198/'J) Plafonnement effort'!C198</f>
        <v>0</v>
      </c>
      <c r="G198" s="137">
        <f t="shared" ref="G198:G261" si="13">SUM(D198:F198)</f>
        <v>27.555461606930272</v>
      </c>
      <c r="H198" s="432">
        <f>G198-'C) Prél. conj.'!I198</f>
        <v>24.277454282541143</v>
      </c>
      <c r="I198" s="436">
        <f t="shared" ref="I198:I261" si="14">IF(H198&gt;I$4,I$4-H198,0)</f>
        <v>0</v>
      </c>
      <c r="J198" s="55">
        <f t="shared" ref="J198:J261" si="15">I198*C198</f>
        <v>0</v>
      </c>
      <c r="K198" s="432">
        <f t="shared" ref="K198:K261" si="16">H198+I198</f>
        <v>24.277454282541143</v>
      </c>
    </row>
    <row r="199" spans="1:11" x14ac:dyDescent="0.25">
      <c r="A199" s="49">
        <f>'A) Base RI'!A201</f>
        <v>5722</v>
      </c>
      <c r="B199" s="294" t="str">
        <f>'A) Base RI'!B201</f>
        <v>Grens</v>
      </c>
      <c r="C199" s="95">
        <f>'B) D RI'!U201</f>
        <v>22061.884042906917</v>
      </c>
      <c r="D199" s="431">
        <f>'E) Fact soc'!G205/C199</f>
        <v>18.939960745372534</v>
      </c>
      <c r="E199" s="137">
        <f>'H) Péréquation directe'!I210/C199</f>
        <v>18.069381215707107</v>
      </c>
      <c r="F199" s="110">
        <f>+'I) Dépenses thématiques'!O199/'J) Plafonnement effort'!C199</f>
        <v>0</v>
      </c>
      <c r="G199" s="137">
        <f t="shared" si="13"/>
        <v>37.009341961079642</v>
      </c>
      <c r="H199" s="432">
        <f>G199-'C) Prél. conj.'!I199</f>
        <v>36.311414487158828</v>
      </c>
      <c r="I199" s="436">
        <f t="shared" si="14"/>
        <v>0</v>
      </c>
      <c r="J199" s="55">
        <f t="shared" si="15"/>
        <v>0</v>
      </c>
      <c r="K199" s="432">
        <f t="shared" si="16"/>
        <v>36.311414487158828</v>
      </c>
    </row>
    <row r="200" spans="1:11" x14ac:dyDescent="0.25">
      <c r="A200" s="49">
        <f>'A) Base RI'!A202</f>
        <v>5723</v>
      </c>
      <c r="B200" s="294" t="str">
        <f>'A) Base RI'!B202</f>
        <v>Mies</v>
      </c>
      <c r="C200" s="95">
        <f>'B) D RI'!U202</f>
        <v>508753.19533233909</v>
      </c>
      <c r="D200" s="431">
        <f>'E) Fact soc'!G206/C200</f>
        <v>37.77968377252904</v>
      </c>
      <c r="E200" s="137">
        <f>'H) Péréquation directe'!I211/C200</f>
        <v>19.298251186325718</v>
      </c>
      <c r="F200" s="110">
        <f>+'I) Dépenses thématiques'!O200/'J) Plafonnement effort'!C200</f>
        <v>0</v>
      </c>
      <c r="G200" s="137">
        <f t="shared" si="13"/>
        <v>57.077934958854755</v>
      </c>
      <c r="H200" s="432">
        <f>G200-'C) Prél. conj.'!I200</f>
        <v>55.412201568332435</v>
      </c>
      <c r="I200" s="436">
        <f t="shared" si="14"/>
        <v>-7.4122015683324349</v>
      </c>
      <c r="J200" s="55">
        <f t="shared" si="15"/>
        <v>-3770981.2323365016</v>
      </c>
      <c r="K200" s="432">
        <f t="shared" si="16"/>
        <v>48</v>
      </c>
    </row>
    <row r="201" spans="1:11" x14ac:dyDescent="0.25">
      <c r="A201" s="49">
        <f>'A) Base RI'!A203</f>
        <v>5724</v>
      </c>
      <c r="B201" s="294" t="str">
        <f>'A) Base RI'!B203</f>
        <v>Nyon</v>
      </c>
      <c r="C201" s="95">
        <f>'B) D RI'!U203</f>
        <v>1284648.9485752215</v>
      </c>
      <c r="D201" s="431">
        <f>'E) Fact soc'!G207/C201</f>
        <v>23.750860101351972</v>
      </c>
      <c r="E201" s="137">
        <f>'H) Péréquation directe'!I212/C201</f>
        <v>7.586805676505227</v>
      </c>
      <c r="F201" s="110">
        <f>+'I) Dépenses thématiques'!O201/'J) Plafonnement effort'!C201</f>
        <v>-0.61310471429285696</v>
      </c>
      <c r="G201" s="137">
        <f t="shared" si="13"/>
        <v>30.724561063564341</v>
      </c>
      <c r="H201" s="432">
        <f>G201-'C) Prél. conj.'!I201</f>
        <v>26.211150978707611</v>
      </c>
      <c r="I201" s="436">
        <f t="shared" si="14"/>
        <v>0</v>
      </c>
      <c r="J201" s="55">
        <f t="shared" si="15"/>
        <v>0</v>
      </c>
      <c r="K201" s="432">
        <f t="shared" si="16"/>
        <v>26.211150978707611</v>
      </c>
    </row>
    <row r="202" spans="1:11" x14ac:dyDescent="0.25">
      <c r="A202" s="49">
        <f>'A) Base RI'!A204</f>
        <v>5725</v>
      </c>
      <c r="B202" s="294" t="str">
        <f>'A) Base RI'!B204</f>
        <v>Prangins</v>
      </c>
      <c r="C202" s="95">
        <f>'B) D RI'!U204</f>
        <v>331424.63115044968</v>
      </c>
      <c r="D202" s="431">
        <f>'E) Fact soc'!G208/C202</f>
        <v>27.750264244697956</v>
      </c>
      <c r="E202" s="137">
        <f>'H) Péréquation directe'!I213/C202</f>
        <v>16.228356616149139</v>
      </c>
      <c r="F202" s="110">
        <f>+'I) Dépenses thématiques'!O202/'J) Plafonnement effort'!C202</f>
        <v>0</v>
      </c>
      <c r="G202" s="137">
        <f t="shared" si="13"/>
        <v>43.978620860847094</v>
      </c>
      <c r="H202" s="432">
        <f>G202-'C) Prél. conj.'!I202</f>
        <v>39.650395903575223</v>
      </c>
      <c r="I202" s="436">
        <f t="shared" si="14"/>
        <v>0</v>
      </c>
      <c r="J202" s="55">
        <f t="shared" si="15"/>
        <v>0</v>
      </c>
      <c r="K202" s="432">
        <f t="shared" si="16"/>
        <v>39.650395903575223</v>
      </c>
    </row>
    <row r="203" spans="1:11" x14ac:dyDescent="0.25">
      <c r="A203" s="49">
        <f>'A) Base RI'!A205</f>
        <v>5726</v>
      </c>
      <c r="B203" s="294" t="str">
        <f>'A) Base RI'!B205</f>
        <v>La Rippe</v>
      </c>
      <c r="C203" s="95">
        <f>'B) D RI'!U205</f>
        <v>59775.654047436234</v>
      </c>
      <c r="D203" s="431">
        <f>'E) Fact soc'!G209/C203</f>
        <v>18.060870694481636</v>
      </c>
      <c r="E203" s="137">
        <f>'H) Péréquation directe'!I214/C203</f>
        <v>17.251720098139486</v>
      </c>
      <c r="F203" s="110">
        <f>+'I) Dépenses thématiques'!O203/'J) Plafonnement effort'!C203</f>
        <v>-0.42527987092817765</v>
      </c>
      <c r="G203" s="137">
        <f t="shared" si="13"/>
        <v>34.887310921692944</v>
      </c>
      <c r="H203" s="432">
        <f>G203-'C) Prél. conj.'!I203</f>
        <v>33.911907959916391</v>
      </c>
      <c r="I203" s="436">
        <f t="shared" si="14"/>
        <v>0</v>
      </c>
      <c r="J203" s="55">
        <f t="shared" si="15"/>
        <v>0</v>
      </c>
      <c r="K203" s="432">
        <f t="shared" si="16"/>
        <v>33.911907959916391</v>
      </c>
    </row>
    <row r="204" spans="1:11" x14ac:dyDescent="0.25">
      <c r="A204" s="49">
        <f>'A) Base RI'!A206</f>
        <v>5727</v>
      </c>
      <c r="B204" s="294" t="str">
        <f>'A) Base RI'!B206</f>
        <v>Saint-Cergue</v>
      </c>
      <c r="C204" s="95">
        <f>'B) D RI'!U206</f>
        <v>84837.616861897855</v>
      </c>
      <c r="D204" s="431">
        <f>'E) Fact soc'!G210/C204</f>
        <v>19.068644104786948</v>
      </c>
      <c r="E204" s="137">
        <f>'H) Péréquation directe'!I215/C204</f>
        <v>5.9681559730736504</v>
      </c>
      <c r="F204" s="110">
        <f>+'I) Dépenses thématiques'!O204/'J) Plafonnement effort'!C204</f>
        <v>-3.3842918066404302</v>
      </c>
      <c r="G204" s="137">
        <f t="shared" si="13"/>
        <v>21.652508271220167</v>
      </c>
      <c r="H204" s="432">
        <f>G204-'C) Prél. conj.'!I204</f>
        <v>17.987466730671592</v>
      </c>
      <c r="I204" s="436">
        <f t="shared" si="14"/>
        <v>0</v>
      </c>
      <c r="J204" s="55">
        <f t="shared" si="15"/>
        <v>0</v>
      </c>
      <c r="K204" s="432">
        <f t="shared" si="16"/>
        <v>17.987466730671592</v>
      </c>
    </row>
    <row r="205" spans="1:11" x14ac:dyDescent="0.25">
      <c r="A205" s="49">
        <f>'A) Base RI'!A207</f>
        <v>5728</v>
      </c>
      <c r="B205" s="294" t="str">
        <f>'A) Base RI'!B207</f>
        <v>Signy-Avenex</v>
      </c>
      <c r="C205" s="95">
        <f>'B) D RI'!U207</f>
        <v>43642.129855163919</v>
      </c>
      <c r="D205" s="431">
        <f>'E) Fact soc'!G211/C205</f>
        <v>25.827657230686039</v>
      </c>
      <c r="E205" s="137">
        <f>'H) Péréquation directe'!I216/C205</f>
        <v>18.588608357547002</v>
      </c>
      <c r="F205" s="110">
        <f>+'I) Dépenses thématiques'!O205/'J) Plafonnement effort'!C205</f>
        <v>0</v>
      </c>
      <c r="G205" s="137">
        <f t="shared" si="13"/>
        <v>44.416265588233045</v>
      </c>
      <c r="H205" s="432">
        <f>G205-'C) Prél. conj.'!I205</f>
        <v>40.616763924352185</v>
      </c>
      <c r="I205" s="436">
        <f t="shared" si="14"/>
        <v>0</v>
      </c>
      <c r="J205" s="55">
        <f t="shared" si="15"/>
        <v>0</v>
      </c>
      <c r="K205" s="432">
        <f t="shared" si="16"/>
        <v>40.616763924352185</v>
      </c>
    </row>
    <row r="206" spans="1:11" x14ac:dyDescent="0.25">
      <c r="A206" s="49">
        <f>'A) Base RI'!A208</f>
        <v>5729</v>
      </c>
      <c r="B206" s="294" t="str">
        <f>'A) Base RI'!B208</f>
        <v>Tannay</v>
      </c>
      <c r="C206" s="95">
        <f>'B) D RI'!U208</f>
        <v>140788.91539066879</v>
      </c>
      <c r="D206" s="431">
        <f>'E) Fact soc'!G212/C206</f>
        <v>27.177091719247731</v>
      </c>
      <c r="E206" s="137">
        <f>'H) Péréquation directe'!I217/C206</f>
        <v>17.922841339293544</v>
      </c>
      <c r="F206" s="110">
        <f>+'I) Dépenses thématiques'!O206/'J) Plafonnement effort'!C206</f>
        <v>0</v>
      </c>
      <c r="G206" s="137">
        <f t="shared" si="13"/>
        <v>45.099933058541275</v>
      </c>
      <c r="H206" s="432">
        <f>G206-'C) Prél. conj.'!I206</f>
        <v>43.185297952133844</v>
      </c>
      <c r="I206" s="436">
        <f t="shared" si="14"/>
        <v>0</v>
      </c>
      <c r="J206" s="55">
        <f t="shared" si="15"/>
        <v>0</v>
      </c>
      <c r="K206" s="432">
        <f t="shared" si="16"/>
        <v>43.185297952133844</v>
      </c>
    </row>
    <row r="207" spans="1:11" x14ac:dyDescent="0.25">
      <c r="A207" s="49">
        <f>'A) Base RI'!A209</f>
        <v>5730</v>
      </c>
      <c r="B207" s="294" t="str">
        <f>'A) Base RI'!B209</f>
        <v>Trélex</v>
      </c>
      <c r="C207" s="95">
        <f>'B) D RI'!U209</f>
        <v>159385.15609090315</v>
      </c>
      <c r="D207" s="431">
        <f>'E) Fact soc'!G213/C207</f>
        <v>30.506248873775821</v>
      </c>
      <c r="E207" s="137">
        <f>'H) Péréquation directe'!I218/C207</f>
        <v>18.603995478043814</v>
      </c>
      <c r="F207" s="110">
        <f>+'I) Dépenses thématiques'!O207/'J) Plafonnement effort'!C207</f>
        <v>0</v>
      </c>
      <c r="G207" s="137">
        <f t="shared" si="13"/>
        <v>49.110244351819631</v>
      </c>
      <c r="H207" s="432">
        <f>G207-'C) Prél. conj.'!I207</f>
        <v>47.384942186019671</v>
      </c>
      <c r="I207" s="436">
        <f t="shared" si="14"/>
        <v>0</v>
      </c>
      <c r="J207" s="55">
        <f t="shared" si="15"/>
        <v>0</v>
      </c>
      <c r="K207" s="432">
        <f t="shared" si="16"/>
        <v>47.384942186019671</v>
      </c>
    </row>
    <row r="208" spans="1:11" x14ac:dyDescent="0.25">
      <c r="A208" s="49">
        <f>'A) Base RI'!A210</f>
        <v>5731</v>
      </c>
      <c r="B208" s="294" t="str">
        <f>'A) Base RI'!B210</f>
        <v>Le Vaud</v>
      </c>
      <c r="C208" s="95">
        <f>'B) D RI'!U210</f>
        <v>52787.084696622871</v>
      </c>
      <c r="D208" s="431">
        <f>'E) Fact soc'!G214/C208</f>
        <v>22.448641556963654</v>
      </c>
      <c r="E208" s="137">
        <f>'H) Péréquation directe'!I219/C208</f>
        <v>13.118522373591224</v>
      </c>
      <c r="F208" s="110">
        <f>+'I) Dépenses thématiques'!O208/'J) Plafonnement effort'!C208</f>
        <v>-2.2348696419806244</v>
      </c>
      <c r="G208" s="137">
        <f t="shared" si="13"/>
        <v>33.332294288574253</v>
      </c>
      <c r="H208" s="432">
        <f>G208-'C) Prél. conj.'!I208</f>
        <v>26.287255295848972</v>
      </c>
      <c r="I208" s="436">
        <f t="shared" si="14"/>
        <v>0</v>
      </c>
      <c r="J208" s="55">
        <f t="shared" si="15"/>
        <v>0</v>
      </c>
      <c r="K208" s="432">
        <f t="shared" si="16"/>
        <v>26.287255295848972</v>
      </c>
    </row>
    <row r="209" spans="1:11" x14ac:dyDescent="0.25">
      <c r="A209" s="49">
        <f>'A) Base RI'!A211</f>
        <v>5732</v>
      </c>
      <c r="B209" s="294" t="str">
        <f>'A) Base RI'!B211</f>
        <v>Vich</v>
      </c>
      <c r="C209" s="95">
        <f>'B) D RI'!U211</f>
        <v>63679.159894206758</v>
      </c>
      <c r="D209" s="431">
        <f>'E) Fact soc'!G215/C209</f>
        <v>26.149258555222865</v>
      </c>
      <c r="E209" s="137">
        <f>'H) Péréquation directe'!I220/C209</f>
        <v>18.10738081056067</v>
      </c>
      <c r="F209" s="110">
        <f>+'I) Dépenses thématiques'!O209/'J) Plafonnement effort'!C209</f>
        <v>0</v>
      </c>
      <c r="G209" s="137">
        <f t="shared" si="13"/>
        <v>44.256639365783535</v>
      </c>
      <c r="H209" s="432">
        <f>G209-'C) Prél. conj.'!I209</f>
        <v>37.930240577399857</v>
      </c>
      <c r="I209" s="436">
        <f t="shared" si="14"/>
        <v>0</v>
      </c>
      <c r="J209" s="55">
        <f t="shared" si="15"/>
        <v>0</v>
      </c>
      <c r="K209" s="432">
        <f t="shared" si="16"/>
        <v>37.930240577399857</v>
      </c>
    </row>
    <row r="210" spans="1:11" x14ac:dyDescent="0.25">
      <c r="A210" s="49">
        <f>'A) Base RI'!A212</f>
        <v>5741</v>
      </c>
      <c r="B210" s="294" t="str">
        <f>'A) Base RI'!B212</f>
        <v>L'Abergement</v>
      </c>
      <c r="C210" s="95">
        <f>'B) D RI'!U212</f>
        <v>7417.8594757266228</v>
      </c>
      <c r="D210" s="431">
        <f>'E) Fact soc'!G216/C210</f>
        <v>18.614552445122552</v>
      </c>
      <c r="E210" s="137">
        <f>'H) Péréquation directe'!I221/C210</f>
        <v>3.0984983679365574</v>
      </c>
      <c r="F210" s="110">
        <f>+'I) Dépenses thématiques'!O210/'J) Plafonnement effort'!C210</f>
        <v>-16.830542403880955</v>
      </c>
      <c r="G210" s="137">
        <f t="shared" si="13"/>
        <v>4.8825084091781541</v>
      </c>
      <c r="H210" s="432">
        <f>G210-'C) Prél. conj.'!I210</f>
        <v>1.6715585282939722</v>
      </c>
      <c r="I210" s="436">
        <f t="shared" si="14"/>
        <v>0</v>
      </c>
      <c r="J210" s="55">
        <f t="shared" si="15"/>
        <v>0</v>
      </c>
      <c r="K210" s="432">
        <f t="shared" si="16"/>
        <v>1.6715585282939722</v>
      </c>
    </row>
    <row r="211" spans="1:11" x14ac:dyDescent="0.25">
      <c r="A211" s="49">
        <f>'A) Base RI'!A213</f>
        <v>5742</v>
      </c>
      <c r="B211" s="294" t="str">
        <f>'A) Base RI'!B213</f>
        <v>Agiez</v>
      </c>
      <c r="C211" s="95">
        <f>'B) D RI'!U213</f>
        <v>9044.2293566491917</v>
      </c>
      <c r="D211" s="431">
        <f>'E) Fact soc'!G217/C211</f>
        <v>16.618974219084649</v>
      </c>
      <c r="E211" s="137">
        <f>'H) Péréquation directe'!I222/C211</f>
        <v>1.5117231751486007</v>
      </c>
      <c r="F211" s="110">
        <f>+'I) Dépenses thématiques'!O211/'J) Plafonnement effort'!C211</f>
        <v>-0.74982281192831124</v>
      </c>
      <c r="G211" s="137">
        <f t="shared" si="13"/>
        <v>17.380874582304937</v>
      </c>
      <c r="H211" s="432">
        <f>G211-'C) Prél. conj.'!I211</f>
        <v>16.165502927458661</v>
      </c>
      <c r="I211" s="436">
        <f t="shared" si="14"/>
        <v>0</v>
      </c>
      <c r="J211" s="55">
        <f t="shared" si="15"/>
        <v>0</v>
      </c>
      <c r="K211" s="432">
        <f t="shared" si="16"/>
        <v>16.165502927458661</v>
      </c>
    </row>
    <row r="212" spans="1:11" x14ac:dyDescent="0.25">
      <c r="A212" s="49">
        <f>'A) Base RI'!A214</f>
        <v>5743</v>
      </c>
      <c r="B212" s="294" t="str">
        <f>'A) Base RI'!B214</f>
        <v>Arnex-sur-Orbe</v>
      </c>
      <c r="C212" s="95">
        <f>'B) D RI'!U214</f>
        <v>18380.074354130466</v>
      </c>
      <c r="D212" s="431">
        <f>'E) Fact soc'!G218/C212</f>
        <v>23.570742539179001</v>
      </c>
      <c r="E212" s="137">
        <f>'H) Péréquation directe'!I223/C212</f>
        <v>4.5763680750751883</v>
      </c>
      <c r="F212" s="110">
        <f>+'I) Dépenses thématiques'!O212/'J) Plafonnement effort'!C212</f>
        <v>-3.5900332096197087</v>
      </c>
      <c r="G212" s="137">
        <f t="shared" si="13"/>
        <v>24.55707740463448</v>
      </c>
      <c r="H212" s="432">
        <f>G212-'C) Prél. conj.'!I212</f>
        <v>16.389937429693852</v>
      </c>
      <c r="I212" s="436">
        <f t="shared" si="14"/>
        <v>0</v>
      </c>
      <c r="J212" s="55">
        <f t="shared" si="15"/>
        <v>0</v>
      </c>
      <c r="K212" s="432">
        <f t="shared" si="16"/>
        <v>16.389937429693852</v>
      </c>
    </row>
    <row r="213" spans="1:11" x14ac:dyDescent="0.25">
      <c r="A213" s="49">
        <f>'A) Base RI'!A215</f>
        <v>5744</v>
      </c>
      <c r="B213" s="294" t="str">
        <f>'A) Base RI'!B215</f>
        <v>Ballaigues</v>
      </c>
      <c r="C213" s="95">
        <f>'B) D RI'!U215</f>
        <v>36664.575000922312</v>
      </c>
      <c r="D213" s="431">
        <f>'E) Fact soc'!G219/C213</f>
        <v>27.315134199038827</v>
      </c>
      <c r="E213" s="137">
        <f>'H) Péréquation directe'!I224/C213</f>
        <v>10.717819777762509</v>
      </c>
      <c r="F213" s="110">
        <f>+'I) Dépenses thématiques'!O213/'J) Plafonnement effort'!C213</f>
        <v>-14.224787322695409</v>
      </c>
      <c r="G213" s="137">
        <f t="shared" si="13"/>
        <v>23.808166654105928</v>
      </c>
      <c r="H213" s="432">
        <f>G213-'C) Prél. conj.'!I213</f>
        <v>11.896635019305474</v>
      </c>
      <c r="I213" s="436">
        <f t="shared" si="14"/>
        <v>0</v>
      </c>
      <c r="J213" s="55">
        <f t="shared" si="15"/>
        <v>0</v>
      </c>
      <c r="K213" s="432">
        <f t="shared" si="16"/>
        <v>11.896635019305474</v>
      </c>
    </row>
    <row r="214" spans="1:11" x14ac:dyDescent="0.25">
      <c r="A214" s="49">
        <f>'A) Base RI'!A216</f>
        <v>5745</v>
      </c>
      <c r="B214" s="294" t="str">
        <f>'A) Base RI'!B216</f>
        <v>Baulmes</v>
      </c>
      <c r="C214" s="95">
        <f>'B) D RI'!U216</f>
        <v>26462.919353923764</v>
      </c>
      <c r="D214" s="431">
        <f>'E) Fact soc'!G220/C214</f>
        <v>23.474875508216495</v>
      </c>
      <c r="E214" s="137">
        <f>'H) Péréquation directe'!I225/C214</f>
        <v>-2.6865510233493186</v>
      </c>
      <c r="F214" s="110">
        <f>+'I) Dépenses thématiques'!O214/'J) Plafonnement effort'!C214</f>
        <v>-11.503284422536378</v>
      </c>
      <c r="G214" s="137">
        <f t="shared" si="13"/>
        <v>9.2850400623307969</v>
      </c>
      <c r="H214" s="432">
        <f>G214-'C) Prél. conj.'!I214</f>
        <v>1.2137671183526706</v>
      </c>
      <c r="I214" s="436">
        <f t="shared" si="14"/>
        <v>0</v>
      </c>
      <c r="J214" s="55">
        <f t="shared" si="15"/>
        <v>0</v>
      </c>
      <c r="K214" s="432">
        <f t="shared" si="16"/>
        <v>1.2137671183526706</v>
      </c>
    </row>
    <row r="215" spans="1:11" x14ac:dyDescent="0.25">
      <c r="A215" s="49">
        <f>'A) Base RI'!A217</f>
        <v>5746</v>
      </c>
      <c r="B215" s="294" t="str">
        <f>'A) Base RI'!B217</f>
        <v>Bavois</v>
      </c>
      <c r="C215" s="95">
        <f>'B) D RI'!U217</f>
        <v>26553.96285852553</v>
      </c>
      <c r="D215" s="431">
        <f>'E) Fact soc'!G221/C215</f>
        <v>18.105474800116909</v>
      </c>
      <c r="E215" s="137">
        <f>'H) Péréquation directe'!I226/C215</f>
        <v>3.3465705218160924</v>
      </c>
      <c r="F215" s="110">
        <f>+'I) Dépenses thématiques'!O215/'J) Plafonnement effort'!C215</f>
        <v>-8.875463556822389</v>
      </c>
      <c r="G215" s="137">
        <f t="shared" si="13"/>
        <v>12.57658176511061</v>
      </c>
      <c r="H215" s="432">
        <f>G215-'C) Prél. conj.'!I215</f>
        <v>9.8747095292320743</v>
      </c>
      <c r="I215" s="436">
        <f t="shared" si="14"/>
        <v>0</v>
      </c>
      <c r="J215" s="55">
        <f t="shared" si="15"/>
        <v>0</v>
      </c>
      <c r="K215" s="432">
        <f t="shared" si="16"/>
        <v>9.8747095292320743</v>
      </c>
    </row>
    <row r="216" spans="1:11" x14ac:dyDescent="0.25">
      <c r="A216" s="49">
        <f>'A) Base RI'!A218</f>
        <v>5747</v>
      </c>
      <c r="B216" s="294" t="str">
        <f>'A) Base RI'!B218</f>
        <v>Bofflens</v>
      </c>
      <c r="C216" s="95">
        <f>'B) D RI'!U218</f>
        <v>4975.9343453180645</v>
      </c>
      <c r="D216" s="431">
        <f>'E) Fact soc'!G222/C216</f>
        <v>19.324936457712962</v>
      </c>
      <c r="E216" s="137">
        <f>'H) Péréquation directe'!I227/C216</f>
        <v>0.86864360213619674</v>
      </c>
      <c r="F216" s="110">
        <f>+'I) Dépenses thématiques'!O216/'J) Plafonnement effort'!C216</f>
        <v>-7.6895948109236842</v>
      </c>
      <c r="G216" s="137">
        <f t="shared" si="13"/>
        <v>12.503985248925474</v>
      </c>
      <c r="H216" s="432">
        <f>G216-'C) Prél. conj.'!I216</f>
        <v>8.5826513554508885</v>
      </c>
      <c r="I216" s="436">
        <f t="shared" si="14"/>
        <v>0</v>
      </c>
      <c r="J216" s="55">
        <f t="shared" si="15"/>
        <v>0</v>
      </c>
      <c r="K216" s="432">
        <f t="shared" si="16"/>
        <v>8.5826513554508885</v>
      </c>
    </row>
    <row r="217" spans="1:11" x14ac:dyDescent="0.25">
      <c r="A217" s="49">
        <f>'A) Base RI'!A219</f>
        <v>5748</v>
      </c>
      <c r="B217" s="294" t="str">
        <f>'A) Base RI'!B219</f>
        <v>Bretonnières</v>
      </c>
      <c r="C217" s="95">
        <f>'B) D RI'!U219</f>
        <v>5547.867770022187</v>
      </c>
      <c r="D217" s="431">
        <f>'E) Fact soc'!G223/C217</f>
        <v>19.686046015464498</v>
      </c>
      <c r="E217" s="137">
        <f>'H) Péréquation directe'!I228/C217</f>
        <v>-9.205271930207525</v>
      </c>
      <c r="F217" s="110">
        <f>+'I) Dépenses thématiques'!O217/'J) Plafonnement effort'!C217</f>
        <v>-9.9555971611823644</v>
      </c>
      <c r="G217" s="137">
        <f t="shared" si="13"/>
        <v>0.52517692407460892</v>
      </c>
      <c r="H217" s="432">
        <f>G217-'C) Prél. conj.'!I217</f>
        <v>-3.7572665271515158</v>
      </c>
      <c r="I217" s="436">
        <f t="shared" si="14"/>
        <v>0</v>
      </c>
      <c r="J217" s="55">
        <f t="shared" si="15"/>
        <v>0</v>
      </c>
      <c r="K217" s="432">
        <f t="shared" si="16"/>
        <v>-3.7572665271515158</v>
      </c>
    </row>
    <row r="218" spans="1:11" x14ac:dyDescent="0.25">
      <c r="A218" s="49">
        <f>'A) Base RI'!A220</f>
        <v>5749</v>
      </c>
      <c r="B218" s="294" t="str">
        <f>'A) Base RI'!B220</f>
        <v>Chavornay</v>
      </c>
      <c r="C218" s="95">
        <f>'B) D RI'!U220</f>
        <v>136712.84503559873</v>
      </c>
      <c r="D218" s="431">
        <f>'E) Fact soc'!G224/C218</f>
        <v>18.269102253737135</v>
      </c>
      <c r="E218" s="137">
        <f>'H) Péréquation directe'!I229/C218</f>
        <v>-6.1919528772388874</v>
      </c>
      <c r="F218" s="110">
        <f>+'I) Dépenses thématiques'!O218/'J) Plafonnement effort'!C218</f>
        <v>-3.6645060308827229</v>
      </c>
      <c r="G218" s="137">
        <f t="shared" si="13"/>
        <v>8.4126433456155247</v>
      </c>
      <c r="H218" s="432">
        <f>G218-'C) Prél. conj.'!I218</f>
        <v>5.5471436561167664</v>
      </c>
      <c r="I218" s="436">
        <f t="shared" si="14"/>
        <v>0</v>
      </c>
      <c r="J218" s="55">
        <f t="shared" si="15"/>
        <v>0</v>
      </c>
      <c r="K218" s="432">
        <f t="shared" si="16"/>
        <v>5.5471436561167664</v>
      </c>
    </row>
    <row r="219" spans="1:11" x14ac:dyDescent="0.25">
      <c r="A219" s="49">
        <f>'A) Base RI'!A221</f>
        <v>5750</v>
      </c>
      <c r="B219" s="294" t="str">
        <f>'A) Base RI'!B221</f>
        <v>Les Clées</v>
      </c>
      <c r="C219" s="95">
        <f>'B) D RI'!U221</f>
        <v>5161.3627278037393</v>
      </c>
      <c r="D219" s="431">
        <f>'E) Fact soc'!G225/C219</f>
        <v>15.420550607732542</v>
      </c>
      <c r="E219" s="137">
        <f>'H) Péréquation directe'!I230/C219</f>
        <v>0.36700475692128937</v>
      </c>
      <c r="F219" s="110">
        <f>+'I) Dépenses thématiques'!O219/'J) Plafonnement effort'!C219</f>
        <v>-9.8422386512419138</v>
      </c>
      <c r="G219" s="137">
        <f t="shared" si="13"/>
        <v>5.945316713411918</v>
      </c>
      <c r="H219" s="432">
        <f>G219-'C) Prél. conj.'!I219</f>
        <v>5.9283686699177487</v>
      </c>
      <c r="I219" s="436">
        <f t="shared" si="14"/>
        <v>0</v>
      </c>
      <c r="J219" s="55">
        <f t="shared" si="15"/>
        <v>0</v>
      </c>
      <c r="K219" s="432">
        <f t="shared" si="16"/>
        <v>5.9283686699177487</v>
      </c>
    </row>
    <row r="220" spans="1:11" x14ac:dyDescent="0.25">
      <c r="A220" s="49">
        <f>'A) Base RI'!A222</f>
        <v>5752</v>
      </c>
      <c r="B220" s="294" t="str">
        <f>'A) Base RI'!B222</f>
        <v>Croy</v>
      </c>
      <c r="C220" s="95">
        <f>'B) D RI'!U222</f>
        <v>10757.15843408766</v>
      </c>
      <c r="D220" s="431">
        <f>'E) Fact soc'!G226/C220</f>
        <v>17.899136599967832</v>
      </c>
      <c r="E220" s="137">
        <f>'H) Péréquation directe'!I231/C220</f>
        <v>0.71003299061093506</v>
      </c>
      <c r="F220" s="110">
        <f>+'I) Dépenses thématiques'!O220/'J) Plafonnement effort'!C220</f>
        <v>-14.110461512423356</v>
      </c>
      <c r="G220" s="137">
        <f t="shared" si="13"/>
        <v>4.4987080781554099</v>
      </c>
      <c r="H220" s="432">
        <f>G220-'C) Prél. conj.'!I220</f>
        <v>2.0031740424259481</v>
      </c>
      <c r="I220" s="436">
        <f t="shared" si="14"/>
        <v>0</v>
      </c>
      <c r="J220" s="55">
        <f t="shared" si="15"/>
        <v>0</v>
      </c>
      <c r="K220" s="432">
        <f t="shared" si="16"/>
        <v>2.0031740424259481</v>
      </c>
    </row>
    <row r="221" spans="1:11" x14ac:dyDescent="0.25">
      <c r="A221" s="49">
        <f>'A) Base RI'!A223</f>
        <v>5754</v>
      </c>
      <c r="B221" s="294" t="str">
        <f>'A) Base RI'!B223</f>
        <v>Juriens</v>
      </c>
      <c r="C221" s="95">
        <f>'B) D RI'!U223</f>
        <v>8043.6966976741023</v>
      </c>
      <c r="D221" s="431">
        <f>'E) Fact soc'!G227/C221</f>
        <v>15.99305977256039</v>
      </c>
      <c r="E221" s="137">
        <f>'H) Péréquation directe'!I232/C221</f>
        <v>-2.2778339719190028</v>
      </c>
      <c r="F221" s="110">
        <f>+'I) Dépenses thématiques'!O221/'J) Plafonnement effort'!C221</f>
        <v>-3.1954474779229423</v>
      </c>
      <c r="G221" s="137">
        <f t="shared" si="13"/>
        <v>10.519778322718444</v>
      </c>
      <c r="H221" s="432">
        <f>G221-'C) Prél. conj.'!I221</f>
        <v>9.9303211143964276</v>
      </c>
      <c r="I221" s="436">
        <f t="shared" si="14"/>
        <v>0</v>
      </c>
      <c r="J221" s="55">
        <f t="shared" si="15"/>
        <v>0</v>
      </c>
      <c r="K221" s="432">
        <f t="shared" si="16"/>
        <v>9.9303211143964276</v>
      </c>
    </row>
    <row r="222" spans="1:11" x14ac:dyDescent="0.25">
      <c r="A222" s="49">
        <f>'A) Base RI'!A224</f>
        <v>5755</v>
      </c>
      <c r="B222" s="294" t="str">
        <f>'A) Base RI'!B224</f>
        <v>Lignerolle</v>
      </c>
      <c r="C222" s="95">
        <f>'B) D RI'!U224</f>
        <v>9515.1754002495127</v>
      </c>
      <c r="D222" s="431">
        <f>'E) Fact soc'!G228/C222</f>
        <v>17.631697066778393</v>
      </c>
      <c r="E222" s="137">
        <f>'H) Péréquation directe'!I233/C222</f>
        <v>-10.399734148355179</v>
      </c>
      <c r="F222" s="110">
        <f>+'I) Dépenses thématiques'!O222/'J) Plafonnement effort'!C222</f>
        <v>-18.857589760375802</v>
      </c>
      <c r="G222" s="137">
        <f t="shared" si="13"/>
        <v>-11.625626841952588</v>
      </c>
      <c r="H222" s="432">
        <f>G222-'C) Prél. conj.'!I222</f>
        <v>-13.853721344492611</v>
      </c>
      <c r="I222" s="436">
        <f t="shared" si="14"/>
        <v>0</v>
      </c>
      <c r="J222" s="55">
        <f t="shared" si="15"/>
        <v>0</v>
      </c>
      <c r="K222" s="432">
        <f t="shared" si="16"/>
        <v>-13.853721344492611</v>
      </c>
    </row>
    <row r="223" spans="1:11" x14ac:dyDescent="0.25">
      <c r="A223" s="49">
        <f>'A) Base RI'!A225</f>
        <v>5756</v>
      </c>
      <c r="B223" s="294" t="str">
        <f>'A) Base RI'!B225</f>
        <v>Montcherand</v>
      </c>
      <c r="C223" s="95">
        <f>'B) D RI'!U225</f>
        <v>16469.035494125688</v>
      </c>
      <c r="D223" s="431">
        <f>'E) Fact soc'!G229/C223</f>
        <v>16.283916411711179</v>
      </c>
      <c r="E223" s="137">
        <f>'H) Péréquation directe'!I234/C223</f>
        <v>9.7524449068155938</v>
      </c>
      <c r="F223" s="110">
        <f>+'I) Dépenses thématiques'!O223/'J) Plafonnement effort'!C223</f>
        <v>-3.7943116636089727</v>
      </c>
      <c r="G223" s="137">
        <f t="shared" si="13"/>
        <v>22.2420496549178</v>
      </c>
      <c r="H223" s="432">
        <f>G223-'C) Prél. conj.'!I223</f>
        <v>21.361735807444994</v>
      </c>
      <c r="I223" s="436">
        <f t="shared" si="14"/>
        <v>0</v>
      </c>
      <c r="J223" s="55">
        <f t="shared" si="15"/>
        <v>0</v>
      </c>
      <c r="K223" s="432">
        <f t="shared" si="16"/>
        <v>21.361735807444994</v>
      </c>
    </row>
    <row r="224" spans="1:11" x14ac:dyDescent="0.25">
      <c r="A224" s="49">
        <f>'A) Base RI'!A226</f>
        <v>5757</v>
      </c>
      <c r="B224" s="294" t="str">
        <f>'A) Base RI'!B226</f>
        <v>Orbe</v>
      </c>
      <c r="C224" s="95">
        <f>'B) D RI'!U226</f>
        <v>204851.86723579146</v>
      </c>
      <c r="D224" s="431">
        <f>'E) Fact soc'!G230/C224</f>
        <v>22.345678363640864</v>
      </c>
      <c r="E224" s="137">
        <f>'H) Péréquation directe'!I235/C224</f>
        <v>-6.536611097221134</v>
      </c>
      <c r="F224" s="110">
        <f>+'I) Dépenses thématiques'!O224/'J) Plafonnement effort'!C224</f>
        <v>-7.5328731080646172</v>
      </c>
      <c r="G224" s="137">
        <f t="shared" si="13"/>
        <v>8.2761941583551142</v>
      </c>
      <c r="H224" s="432">
        <f>G224-'C) Prél. conj.'!I224</f>
        <v>1.3341183589526233</v>
      </c>
      <c r="I224" s="436">
        <f t="shared" si="14"/>
        <v>0</v>
      </c>
      <c r="J224" s="55">
        <f t="shared" si="15"/>
        <v>0</v>
      </c>
      <c r="K224" s="432">
        <f t="shared" si="16"/>
        <v>1.3341183589526233</v>
      </c>
    </row>
    <row r="225" spans="1:11" x14ac:dyDescent="0.25">
      <c r="A225" s="49">
        <f>'A) Base RI'!A227</f>
        <v>5758</v>
      </c>
      <c r="B225" s="294" t="str">
        <f>'A) Base RI'!B227</f>
        <v>La Praz</v>
      </c>
      <c r="C225" s="95">
        <f>'B) D RI'!U227</f>
        <v>4452.1612722088212</v>
      </c>
      <c r="D225" s="431">
        <f>'E) Fact soc'!G231/C225</f>
        <v>22.734834072796602</v>
      </c>
      <c r="E225" s="137">
        <f>'H) Péréquation directe'!I236/C225</f>
        <v>-2.459583683146858</v>
      </c>
      <c r="F225" s="110">
        <f>+'I) Dépenses thématiques'!O225/'J) Plafonnement effort'!C225</f>
        <v>-5.6390167685128469</v>
      </c>
      <c r="G225" s="137">
        <f t="shared" si="13"/>
        <v>14.636233621136899</v>
      </c>
      <c r="H225" s="432">
        <f>G225-'C) Prél. conj.'!I225</f>
        <v>7.3050021125786708</v>
      </c>
      <c r="I225" s="436">
        <f t="shared" si="14"/>
        <v>0</v>
      </c>
      <c r="J225" s="55">
        <f t="shared" si="15"/>
        <v>0</v>
      </c>
      <c r="K225" s="432">
        <f t="shared" si="16"/>
        <v>7.3050021125786708</v>
      </c>
    </row>
    <row r="226" spans="1:11" x14ac:dyDescent="0.25">
      <c r="A226" s="49">
        <f>'A) Base RI'!A228</f>
        <v>5759</v>
      </c>
      <c r="B226" s="294" t="str">
        <f>'A) Base RI'!B228</f>
        <v>Premier</v>
      </c>
      <c r="C226" s="95">
        <f>'B) D RI'!U228</f>
        <v>4744.8996537773928</v>
      </c>
      <c r="D226" s="431">
        <f>'E) Fact soc'!G232/C226</f>
        <v>21.853989765922261</v>
      </c>
      <c r="E226" s="137">
        <f>'H) Péréquation directe'!I237/C226</f>
        <v>-11.731334297119792</v>
      </c>
      <c r="F226" s="110">
        <f>+'I) Dépenses thématiques'!O226/'J) Plafonnement effort'!C226</f>
        <v>-15.838177098504922</v>
      </c>
      <c r="G226" s="137">
        <f t="shared" si="13"/>
        <v>-5.7155216297024527</v>
      </c>
      <c r="H226" s="432">
        <f>G226-'C) Prél. conj.'!I226</f>
        <v>-12.165908831386339</v>
      </c>
      <c r="I226" s="436">
        <f t="shared" si="14"/>
        <v>0</v>
      </c>
      <c r="J226" s="55">
        <f t="shared" si="15"/>
        <v>0</v>
      </c>
      <c r="K226" s="432">
        <f t="shared" si="16"/>
        <v>-12.165908831386339</v>
      </c>
    </row>
    <row r="227" spans="1:11" x14ac:dyDescent="0.25">
      <c r="A227" s="49">
        <f>'A) Base RI'!A229</f>
        <v>5760</v>
      </c>
      <c r="B227" s="294" t="str">
        <f>'A) Base RI'!B229</f>
        <v>Rances</v>
      </c>
      <c r="C227" s="95">
        <f>'B) D RI'!U229</f>
        <v>11421.2396274482</v>
      </c>
      <c r="D227" s="431">
        <f>'E) Fact soc'!G233/C227</f>
        <v>19.184470176561469</v>
      </c>
      <c r="E227" s="137">
        <f>'H) Péréquation directe'!I238/C227</f>
        <v>-6.5604802332088559</v>
      </c>
      <c r="F227" s="110">
        <f>+'I) Dépenses thématiques'!O227/'J) Plafonnement effort'!C227</f>
        <v>-12.514015755174375</v>
      </c>
      <c r="G227" s="137">
        <f t="shared" si="13"/>
        <v>0.10997418817823679</v>
      </c>
      <c r="H227" s="432">
        <f>G227-'C) Prél. conj.'!I227</f>
        <v>-3.6708934241448596</v>
      </c>
      <c r="I227" s="436">
        <f t="shared" si="14"/>
        <v>0</v>
      </c>
      <c r="J227" s="55">
        <f t="shared" si="15"/>
        <v>0</v>
      </c>
      <c r="K227" s="432">
        <f t="shared" si="16"/>
        <v>-3.6708934241448596</v>
      </c>
    </row>
    <row r="228" spans="1:11" x14ac:dyDescent="0.25">
      <c r="A228" s="49">
        <f>'A) Base RI'!A230</f>
        <v>5761</v>
      </c>
      <c r="B228" s="294" t="str">
        <f>'A) Base RI'!B230</f>
        <v>Romainmôtier-Envy</v>
      </c>
      <c r="C228" s="95">
        <f>'B) D RI'!U230</f>
        <v>14547.39613540147</v>
      </c>
      <c r="D228" s="431">
        <f>'E) Fact soc'!G234/C228</f>
        <v>19.367168927821741</v>
      </c>
      <c r="E228" s="137">
        <f>'H) Péréquation directe'!I239/C228</f>
        <v>-1.6740036101240756</v>
      </c>
      <c r="F228" s="110">
        <f>+'I) Dépenses thématiques'!O228/'J) Plafonnement effort'!C228</f>
        <v>-7.5374893545741299</v>
      </c>
      <c r="G228" s="137">
        <f t="shared" si="13"/>
        <v>10.155675963123535</v>
      </c>
      <c r="H228" s="432">
        <f>G228-'C) Prél. conj.'!I228</f>
        <v>6.1921095995401636</v>
      </c>
      <c r="I228" s="436">
        <f t="shared" si="14"/>
        <v>0</v>
      </c>
      <c r="J228" s="55">
        <f t="shared" si="15"/>
        <v>0</v>
      </c>
      <c r="K228" s="432">
        <f t="shared" si="16"/>
        <v>6.1921095995401636</v>
      </c>
    </row>
    <row r="229" spans="1:11" x14ac:dyDescent="0.25">
      <c r="A229" s="49">
        <f>'A) Base RI'!A231</f>
        <v>5762</v>
      </c>
      <c r="B229" s="294" t="str">
        <f>'A) Base RI'!B231</f>
        <v>Sergey</v>
      </c>
      <c r="C229" s="95">
        <f>'B) D RI'!U231</f>
        <v>3763.729317622563</v>
      </c>
      <c r="D229" s="431">
        <f>'E) Fact soc'!G235/C229</f>
        <v>15.969421681471065</v>
      </c>
      <c r="E229" s="137">
        <f>'H) Péréquation directe'!I240/C229</f>
        <v>-2.4357999740571423</v>
      </c>
      <c r="F229" s="110">
        <f>+'I) Dépenses thématiques'!O229/'J) Plafonnement effort'!C229</f>
        <v>-5.5231457230254346</v>
      </c>
      <c r="G229" s="137">
        <f t="shared" si="13"/>
        <v>8.0104759843884885</v>
      </c>
      <c r="H229" s="432">
        <f>G229-'C) Prél. conj.'!I229</f>
        <v>7.4446568671557962</v>
      </c>
      <c r="I229" s="436">
        <f t="shared" si="14"/>
        <v>0</v>
      </c>
      <c r="J229" s="55">
        <f t="shared" si="15"/>
        <v>0</v>
      </c>
      <c r="K229" s="432">
        <f t="shared" si="16"/>
        <v>7.4446568671557962</v>
      </c>
    </row>
    <row r="230" spans="1:11" x14ac:dyDescent="0.25">
      <c r="A230" s="49">
        <f>'A) Base RI'!A232</f>
        <v>5763</v>
      </c>
      <c r="B230" s="294" t="str">
        <f>'A) Base RI'!B232</f>
        <v>Valeyres-sous-Rances</v>
      </c>
      <c r="C230" s="95">
        <f>'B) D RI'!U232</f>
        <v>20916.396171179269</v>
      </c>
      <c r="D230" s="431">
        <f>'E) Fact soc'!G236/C230</f>
        <v>15.659247224830901</v>
      </c>
      <c r="E230" s="137">
        <f>'H) Péréquation directe'!I241/C230</f>
        <v>10.974699306717964</v>
      </c>
      <c r="F230" s="110">
        <f>+'I) Dépenses thématiques'!O230/'J) Plafonnement effort'!C230</f>
        <v>-9.7096001542334864</v>
      </c>
      <c r="G230" s="137">
        <f t="shared" si="13"/>
        <v>16.924346377315381</v>
      </c>
      <c r="H230" s="432">
        <f>G230-'C) Prél. conj.'!I230</f>
        <v>16.66870171672285</v>
      </c>
      <c r="I230" s="436">
        <f t="shared" si="14"/>
        <v>0</v>
      </c>
      <c r="J230" s="55">
        <f t="shared" si="15"/>
        <v>0</v>
      </c>
      <c r="K230" s="432">
        <f t="shared" si="16"/>
        <v>16.66870171672285</v>
      </c>
    </row>
    <row r="231" spans="1:11" x14ac:dyDescent="0.25">
      <c r="A231" s="49">
        <f>'A) Base RI'!A233</f>
        <v>5764</v>
      </c>
      <c r="B231" s="294" t="str">
        <f>'A) Base RI'!B233</f>
        <v>Vallorbe</v>
      </c>
      <c r="C231" s="95">
        <f>'B) D RI'!U233</f>
        <v>83482.591885585367</v>
      </c>
      <c r="D231" s="431">
        <f>'E) Fact soc'!G237/C231</f>
        <v>25.750128354714477</v>
      </c>
      <c r="E231" s="137">
        <f>'H) Péréquation directe'!I242/C231</f>
        <v>-17.325270039552525</v>
      </c>
      <c r="F231" s="110">
        <f>+'I) Dépenses thématiques'!O231/'J) Plafonnement effort'!C231</f>
        <v>-23.442955787485385</v>
      </c>
      <c r="G231" s="137">
        <f t="shared" si="13"/>
        <v>-15.018097472323433</v>
      </c>
      <c r="H231" s="432">
        <f>G231-'C) Prél. conj.'!I231</f>
        <v>-25.364623262799533</v>
      </c>
      <c r="I231" s="436">
        <f t="shared" si="14"/>
        <v>0</v>
      </c>
      <c r="J231" s="55">
        <f t="shared" si="15"/>
        <v>0</v>
      </c>
      <c r="K231" s="432">
        <f t="shared" si="16"/>
        <v>-25.364623262799533</v>
      </c>
    </row>
    <row r="232" spans="1:11" x14ac:dyDescent="0.25">
      <c r="A232" s="49">
        <f>'A) Base RI'!A234</f>
        <v>5765</v>
      </c>
      <c r="B232" s="294" t="str">
        <f>'A) Base RI'!B234</f>
        <v>Vaulion</v>
      </c>
      <c r="C232" s="95">
        <f>'B) D RI'!U234</f>
        <v>9771.3712818501954</v>
      </c>
      <c r="D232" s="431">
        <f>'E) Fact soc'!G238/C232</f>
        <v>19.598584396127016</v>
      </c>
      <c r="E232" s="137">
        <f>'H) Péréquation directe'!I243/C232</f>
        <v>-15.752902710516295</v>
      </c>
      <c r="F232" s="110">
        <f>+'I) Dépenses thématiques'!O232/'J) Plafonnement effort'!C232</f>
        <v>-15.60575360716868</v>
      </c>
      <c r="G232" s="137">
        <f t="shared" si="13"/>
        <v>-11.760071921557959</v>
      </c>
      <c r="H232" s="432">
        <f>G232-'C) Prél. conj.'!I232</f>
        <v>-15.955053753446601</v>
      </c>
      <c r="I232" s="436">
        <f t="shared" si="14"/>
        <v>0</v>
      </c>
      <c r="J232" s="55">
        <f t="shared" si="15"/>
        <v>0</v>
      </c>
      <c r="K232" s="432">
        <f t="shared" si="16"/>
        <v>-15.955053753446601</v>
      </c>
    </row>
    <row r="233" spans="1:11" x14ac:dyDescent="0.25">
      <c r="A233" s="49">
        <f>'A) Base RI'!A235</f>
        <v>5766</v>
      </c>
      <c r="B233" s="294" t="str">
        <f>'A) Base RI'!B235</f>
        <v>Vuiteboeuf</v>
      </c>
      <c r="C233" s="95">
        <f>'B) D RI'!U235</f>
        <v>13156.989379669412</v>
      </c>
      <c r="D233" s="431">
        <f>'E) Fact soc'!G239/C233</f>
        <v>17.532846511435654</v>
      </c>
      <c r="E233" s="137">
        <f>'H) Péréquation directe'!I244/C233</f>
        <v>-8.5928309960318288</v>
      </c>
      <c r="F233" s="110">
        <f>+'I) Dépenses thématiques'!O233/'J) Plafonnement effort'!C233</f>
        <v>-8.7078847106024693</v>
      </c>
      <c r="G233" s="137">
        <f t="shared" si="13"/>
        <v>0.23213080480135595</v>
      </c>
      <c r="H233" s="432">
        <f>G233-'C) Prél. conj.'!I233</f>
        <v>-1.8971131423959244</v>
      </c>
      <c r="I233" s="436">
        <f t="shared" si="14"/>
        <v>0</v>
      </c>
      <c r="J233" s="55">
        <f t="shared" si="15"/>
        <v>0</v>
      </c>
      <c r="K233" s="432">
        <f t="shared" si="16"/>
        <v>-1.8971131423959244</v>
      </c>
    </row>
    <row r="234" spans="1:11" x14ac:dyDescent="0.25">
      <c r="A234" s="49">
        <f>'A) Base RI'!A236</f>
        <v>5785</v>
      </c>
      <c r="B234" s="294" t="str">
        <f>'A) Base RI'!B236</f>
        <v>Corcelles-le-Jorat</v>
      </c>
      <c r="C234" s="95">
        <f>'B) D RI'!U236</f>
        <v>15572.051048960157</v>
      </c>
      <c r="D234" s="431">
        <f>'E) Fact soc'!G240/C234</f>
        <v>17.055737207202952</v>
      </c>
      <c r="E234" s="137">
        <f>'H) Péréquation directe'!I245/C234</f>
        <v>10.089873688522522</v>
      </c>
      <c r="F234" s="110">
        <f>+'I) Dépenses thématiques'!O234/'J) Plafonnement effort'!C234</f>
        <v>-3.354356621772475</v>
      </c>
      <c r="G234" s="137">
        <f t="shared" si="13"/>
        <v>23.791254273953001</v>
      </c>
      <c r="H234" s="432">
        <f>G234-'C) Prél. conj.'!I234</f>
        <v>22.139119630988422</v>
      </c>
      <c r="I234" s="436">
        <f t="shared" si="14"/>
        <v>0</v>
      </c>
      <c r="J234" s="55">
        <f t="shared" si="15"/>
        <v>0</v>
      </c>
      <c r="K234" s="432">
        <f t="shared" si="16"/>
        <v>22.139119630988422</v>
      </c>
    </row>
    <row r="235" spans="1:11" x14ac:dyDescent="0.25">
      <c r="A235" s="49">
        <f>'A) Base RI'!A237</f>
        <v>5788</v>
      </c>
      <c r="B235" s="294" t="str">
        <f>'A) Base RI'!B237</f>
        <v>Essertes</v>
      </c>
      <c r="C235" s="95">
        <f>'B) D RI'!U237</f>
        <v>11883.854268348969</v>
      </c>
      <c r="D235" s="431">
        <f>'E) Fact soc'!G241/C235</f>
        <v>17.361344932551031</v>
      </c>
      <c r="E235" s="137">
        <f>'H) Péréquation directe'!I246/C235</f>
        <v>7.8862678935580632</v>
      </c>
      <c r="F235" s="110">
        <f>+'I) Dépenses thématiques'!O235/'J) Plafonnement effort'!C235</f>
        <v>-1.4196821926783709</v>
      </c>
      <c r="G235" s="137">
        <f t="shared" si="13"/>
        <v>23.827930633430725</v>
      </c>
      <c r="H235" s="432">
        <f>G235-'C) Prél. conj.'!I235</f>
        <v>21.870188265118067</v>
      </c>
      <c r="I235" s="436">
        <f t="shared" si="14"/>
        <v>0</v>
      </c>
      <c r="J235" s="55">
        <f t="shared" si="15"/>
        <v>0</v>
      </c>
      <c r="K235" s="432">
        <f t="shared" si="16"/>
        <v>21.870188265118067</v>
      </c>
    </row>
    <row r="236" spans="1:11" x14ac:dyDescent="0.25">
      <c r="A236" s="49">
        <f>'A) Base RI'!A238</f>
        <v>5790</v>
      </c>
      <c r="B236" s="294" t="str">
        <f>'A) Base RI'!B238</f>
        <v>Maracon</v>
      </c>
      <c r="C236" s="95">
        <f>'B) D RI'!U238</f>
        <v>13256.164125976293</v>
      </c>
      <c r="D236" s="431">
        <f>'E) Fact soc'!G242/C236</f>
        <v>20.572140713652239</v>
      </c>
      <c r="E236" s="137">
        <f>'H) Péréquation directe'!I247/C236</f>
        <v>0.40445741855909129</v>
      </c>
      <c r="F236" s="110">
        <f>+'I) Dépenses thématiques'!O236/'J) Plafonnement effort'!C236</f>
        <v>-8.0497202675124271</v>
      </c>
      <c r="G236" s="137">
        <f t="shared" si="13"/>
        <v>12.926877864698902</v>
      </c>
      <c r="H236" s="432">
        <f>G236-'C) Prél. conj.'!I236</f>
        <v>7.758339715285036</v>
      </c>
      <c r="I236" s="436">
        <f t="shared" si="14"/>
        <v>0</v>
      </c>
      <c r="J236" s="55">
        <f t="shared" si="15"/>
        <v>0</v>
      </c>
      <c r="K236" s="432">
        <f t="shared" si="16"/>
        <v>7.758339715285036</v>
      </c>
    </row>
    <row r="237" spans="1:11" x14ac:dyDescent="0.25">
      <c r="A237" s="49">
        <f>'A) Base RI'!A239</f>
        <v>5792</v>
      </c>
      <c r="B237" s="294" t="str">
        <f>'A) Base RI'!B239</f>
        <v>Montpreveyres</v>
      </c>
      <c r="C237" s="95">
        <f>'B) D RI'!U239</f>
        <v>18726.471313410195</v>
      </c>
      <c r="D237" s="431">
        <f>'E) Fact soc'!G243/C237</f>
        <v>19.17301105656076</v>
      </c>
      <c r="E237" s="137">
        <f>'H) Péréquation directe'!I248/C237</f>
        <v>3.2838585583832636</v>
      </c>
      <c r="F237" s="110">
        <f>+'I) Dépenses thématiques'!O237/'J) Plafonnement effort'!C237</f>
        <v>-7.4104278795751313</v>
      </c>
      <c r="G237" s="137">
        <f t="shared" si="13"/>
        <v>15.046441735368894</v>
      </c>
      <c r="H237" s="432">
        <f>G237-'C) Prél. conj.'!I237</f>
        <v>11.277033243046505</v>
      </c>
      <c r="I237" s="436">
        <f t="shared" si="14"/>
        <v>0</v>
      </c>
      <c r="J237" s="55">
        <f t="shared" si="15"/>
        <v>0</v>
      </c>
      <c r="K237" s="432">
        <f t="shared" si="16"/>
        <v>11.277033243046505</v>
      </c>
    </row>
    <row r="238" spans="1:11" x14ac:dyDescent="0.25">
      <c r="A238" s="49">
        <f>'A) Base RI'!A240</f>
        <v>5798</v>
      </c>
      <c r="B238" s="294" t="str">
        <f>'A) Base RI'!B240</f>
        <v>Ropraz</v>
      </c>
      <c r="C238" s="95">
        <f>'B) D RI'!U240</f>
        <v>13725.260150883058</v>
      </c>
      <c r="D238" s="431">
        <f>'E) Fact soc'!G244/C238</f>
        <v>18.974655459497814</v>
      </c>
      <c r="E238" s="137">
        <f>'H) Péréquation directe'!I249/C238</f>
        <v>1.1390371962189683</v>
      </c>
      <c r="F238" s="110">
        <f>+'I) Dépenses thématiques'!O238/'J) Plafonnement effort'!C238</f>
        <v>-5.847415721973162</v>
      </c>
      <c r="G238" s="137">
        <f t="shared" si="13"/>
        <v>14.266276933743621</v>
      </c>
      <c r="H238" s="432">
        <f>G238-'C) Prél. conj.'!I238</f>
        <v>10.695224038484177</v>
      </c>
      <c r="I238" s="436">
        <f t="shared" si="14"/>
        <v>0</v>
      </c>
      <c r="J238" s="55">
        <f t="shared" si="15"/>
        <v>0</v>
      </c>
      <c r="K238" s="432">
        <f t="shared" si="16"/>
        <v>10.695224038484177</v>
      </c>
    </row>
    <row r="239" spans="1:11" x14ac:dyDescent="0.25">
      <c r="A239" s="49">
        <f>'A) Base RI'!A241</f>
        <v>5799</v>
      </c>
      <c r="B239" s="294" t="str">
        <f>'A) Base RI'!B241</f>
        <v>Servion</v>
      </c>
      <c r="C239" s="95">
        <f>'B) D RI'!U241</f>
        <v>68712.576636224549</v>
      </c>
      <c r="D239" s="431">
        <f>'E) Fact soc'!G245/C239</f>
        <v>20.032684976384648</v>
      </c>
      <c r="E239" s="137">
        <f>'H) Péréquation directe'!I250/C239</f>
        <v>8.6191822307279971</v>
      </c>
      <c r="F239" s="110">
        <f>+'I) Dépenses thématiques'!O239/'J) Plafonnement effort'!C239</f>
        <v>-3.3054188475311279</v>
      </c>
      <c r="G239" s="137">
        <f t="shared" si="13"/>
        <v>25.346448359581515</v>
      </c>
      <c r="H239" s="432">
        <f>G239-'C) Prél. conj.'!I239</f>
        <v>20.717365947435241</v>
      </c>
      <c r="I239" s="436">
        <f t="shared" si="14"/>
        <v>0</v>
      </c>
      <c r="J239" s="55">
        <f t="shared" si="15"/>
        <v>0</v>
      </c>
      <c r="K239" s="432">
        <f t="shared" si="16"/>
        <v>20.717365947435241</v>
      </c>
    </row>
    <row r="240" spans="1:11" x14ac:dyDescent="0.25">
      <c r="A240" s="49">
        <f>'A) Base RI'!A242</f>
        <v>5803</v>
      </c>
      <c r="B240" s="294" t="str">
        <f>'A) Base RI'!B242</f>
        <v>Vulliens</v>
      </c>
      <c r="C240" s="95">
        <f>'B) D RI'!U242</f>
        <v>16546.34632030463</v>
      </c>
      <c r="D240" s="431">
        <f>'E) Fact soc'!G246/C240</f>
        <v>19.367920349579659</v>
      </c>
      <c r="E240" s="137">
        <f>'H) Péréquation directe'!I251/C240</f>
        <v>0.98862802075034995</v>
      </c>
      <c r="F240" s="110">
        <f>+'I) Dépenses thématiques'!O240/'J) Plafonnement effort'!C240</f>
        <v>-4.5427030017480439</v>
      </c>
      <c r="G240" s="137">
        <f t="shared" si="13"/>
        <v>15.813845368581966</v>
      </c>
      <c r="H240" s="432">
        <f>G240-'C) Prél. conj.'!I240</f>
        <v>11.849527583240679</v>
      </c>
      <c r="I240" s="436">
        <f t="shared" si="14"/>
        <v>0</v>
      </c>
      <c r="J240" s="55">
        <f t="shared" si="15"/>
        <v>0</v>
      </c>
      <c r="K240" s="432">
        <f t="shared" si="16"/>
        <v>11.849527583240679</v>
      </c>
    </row>
    <row r="241" spans="1:11" x14ac:dyDescent="0.25">
      <c r="A241" s="49">
        <f>'A) Base RI'!A243</f>
        <v>5804</v>
      </c>
      <c r="B241" s="294" t="str">
        <f>'A) Base RI'!B243</f>
        <v>Jorat-Menthue</v>
      </c>
      <c r="C241" s="95">
        <f>'B) D RI'!U243</f>
        <v>47504.398266419383</v>
      </c>
      <c r="D241" s="431">
        <f>'E) Fact soc'!G247/C241</f>
        <v>16.454987421697059</v>
      </c>
      <c r="E241" s="137">
        <f>'H) Péréquation directe'!I252/C241</f>
        <v>3.1047799825172691</v>
      </c>
      <c r="F241" s="110">
        <f>+'I) Dépenses thématiques'!O241/'J) Plafonnement effort'!C241</f>
        <v>-8.2809419106379156</v>
      </c>
      <c r="G241" s="137">
        <f t="shared" si="13"/>
        <v>11.278825493576411</v>
      </c>
      <c r="H241" s="432">
        <f>G241-'C) Prél. conj.'!I241</f>
        <v>10.227440636117725</v>
      </c>
      <c r="I241" s="436">
        <f t="shared" si="14"/>
        <v>0</v>
      </c>
      <c r="J241" s="55">
        <f t="shared" si="15"/>
        <v>0</v>
      </c>
      <c r="K241" s="432">
        <f t="shared" si="16"/>
        <v>10.227440636117725</v>
      </c>
    </row>
    <row r="242" spans="1:11" x14ac:dyDescent="0.25">
      <c r="A242" s="49">
        <f>'A) Base RI'!A244</f>
        <v>5805</v>
      </c>
      <c r="B242" s="294" t="str">
        <f>'A) Base RI'!B244</f>
        <v>Oron</v>
      </c>
      <c r="C242" s="95">
        <f>'B) D RI'!U244</f>
        <v>152415.01875763744</v>
      </c>
      <c r="D242" s="431">
        <f>'E) Fact soc'!G248/C242</f>
        <v>19.449761072939129</v>
      </c>
      <c r="E242" s="137">
        <f>'H) Péréquation directe'!I253/C242</f>
        <v>-5.3465153223433646</v>
      </c>
      <c r="F242" s="110">
        <f>+'I) Dépenses thématiques'!O242/'J) Plafonnement effort'!C242</f>
        <v>-4.4799039579642912</v>
      </c>
      <c r="G242" s="137">
        <f t="shared" si="13"/>
        <v>9.6233417926314733</v>
      </c>
      <c r="H242" s="432">
        <f>G242-'C) Prél. conj.'!I242</f>
        <v>5.5771832839307169</v>
      </c>
      <c r="I242" s="436">
        <f t="shared" si="14"/>
        <v>0</v>
      </c>
      <c r="J242" s="55">
        <f t="shared" si="15"/>
        <v>0</v>
      </c>
      <c r="K242" s="432">
        <f t="shared" si="16"/>
        <v>5.5771832839307169</v>
      </c>
    </row>
    <row r="243" spans="1:11" x14ac:dyDescent="0.25">
      <c r="A243" s="49">
        <f>'A) Base RI'!A245</f>
        <v>5806</v>
      </c>
      <c r="B243" s="294" t="str">
        <f>'A) Base RI'!B245</f>
        <v>Jorat-Mézières</v>
      </c>
      <c r="C243" s="95">
        <f>'B) D RI'!U245</f>
        <v>89827.60291631594</v>
      </c>
      <c r="D243" s="431">
        <f>'E) Fact soc'!G249/C243</f>
        <v>19.202621116675058</v>
      </c>
      <c r="E243" s="137">
        <f>'H) Péréquation directe'!I254/C243</f>
        <v>1.7027765360324216</v>
      </c>
      <c r="F243" s="110">
        <f>+'I) Dépenses thématiques'!O243/'J) Plafonnement effort'!C243</f>
        <v>-4.5537215756335589</v>
      </c>
      <c r="G243" s="137">
        <f t="shared" si="13"/>
        <v>16.351676077073918</v>
      </c>
      <c r="H243" s="432">
        <f>G243-'C) Prél. conj.'!I243</f>
        <v>12.552657524637233</v>
      </c>
      <c r="I243" s="436">
        <f t="shared" si="14"/>
        <v>0</v>
      </c>
      <c r="J243" s="55">
        <f t="shared" si="15"/>
        <v>0</v>
      </c>
      <c r="K243" s="432">
        <f t="shared" si="16"/>
        <v>12.552657524637233</v>
      </c>
    </row>
    <row r="244" spans="1:11" x14ac:dyDescent="0.25">
      <c r="A244" s="49">
        <f>'A) Base RI'!A246</f>
        <v>5812</v>
      </c>
      <c r="B244" s="294" t="str">
        <f>'A) Base RI'!B246</f>
        <v>Champtauroz</v>
      </c>
      <c r="C244" s="95">
        <f>'B) D RI'!U246</f>
        <v>2432.9524302206905</v>
      </c>
      <c r="D244" s="431">
        <f>'E) Fact soc'!G250/C244</f>
        <v>19.699483926395523</v>
      </c>
      <c r="E244" s="137">
        <f>'H) Péréquation directe'!I255/C244</f>
        <v>-15.396719127858852</v>
      </c>
      <c r="F244" s="110">
        <f>+'I) Dépenses thématiques'!O244/'J) Plafonnement effort'!C244</f>
        <v>-11.365215806768269</v>
      </c>
      <c r="G244" s="137">
        <f t="shared" si="13"/>
        <v>-7.0624510082315979</v>
      </c>
      <c r="H244" s="432">
        <f>G244-'C) Prél. conj.'!I244</f>
        <v>-11.358332370388744</v>
      </c>
      <c r="I244" s="436">
        <f t="shared" si="14"/>
        <v>0</v>
      </c>
      <c r="J244" s="55">
        <f t="shared" si="15"/>
        <v>0</v>
      </c>
      <c r="K244" s="432">
        <f t="shared" si="16"/>
        <v>-11.358332370388744</v>
      </c>
    </row>
    <row r="245" spans="1:11" x14ac:dyDescent="0.25">
      <c r="A245" s="49">
        <f>'A) Base RI'!A247</f>
        <v>5813</v>
      </c>
      <c r="B245" s="294" t="str">
        <f>'A) Base RI'!B247</f>
        <v>Chevroux</v>
      </c>
      <c r="C245" s="95">
        <f>'B) D RI'!U247</f>
        <v>12841.233936581375</v>
      </c>
      <c r="D245" s="431">
        <f>'E) Fact soc'!G251/C245</f>
        <v>22.122431177290583</v>
      </c>
      <c r="E245" s="137">
        <f>'H) Péréquation directe'!I256/C245</f>
        <v>2.4519794215897384</v>
      </c>
      <c r="F245" s="110">
        <f>+'I) Dépenses thématiques'!O245/'J) Plafonnement effort'!C245</f>
        <v>-7.0417651389051876</v>
      </c>
      <c r="G245" s="137">
        <f t="shared" si="13"/>
        <v>17.532645459975132</v>
      </c>
      <c r="H245" s="432">
        <f>G245-'C) Prél. conj.'!I245</f>
        <v>10.813816846922922</v>
      </c>
      <c r="I245" s="436">
        <f t="shared" si="14"/>
        <v>0</v>
      </c>
      <c r="J245" s="55">
        <f t="shared" si="15"/>
        <v>0</v>
      </c>
      <c r="K245" s="432">
        <f t="shared" si="16"/>
        <v>10.813816846922922</v>
      </c>
    </row>
    <row r="246" spans="1:11" x14ac:dyDescent="0.25">
      <c r="A246" s="49">
        <f>'A) Base RI'!A248</f>
        <v>5816</v>
      </c>
      <c r="B246" s="294" t="str">
        <f>'A) Base RI'!B248</f>
        <v>Corcelles-près-Payerne</v>
      </c>
      <c r="C246" s="95">
        <f>'B) D RI'!U248</f>
        <v>55328.106299465391</v>
      </c>
      <c r="D246" s="431">
        <f>'E) Fact soc'!G252/C246</f>
        <v>17.767236958160574</v>
      </c>
      <c r="E246" s="137">
        <f>'H) Péréquation directe'!I257/C246</f>
        <v>-12.108376498190315</v>
      </c>
      <c r="F246" s="110">
        <f>+'I) Dépenses thématiques'!O246/'J) Plafonnement effort'!C246</f>
        <v>-6.5861957306192451</v>
      </c>
      <c r="G246" s="137">
        <f t="shared" si="13"/>
        <v>-0.92733527064898702</v>
      </c>
      <c r="H246" s="432">
        <f>G246-'C) Prél. conj.'!I246</f>
        <v>-3.2909696645711883</v>
      </c>
      <c r="I246" s="436">
        <f t="shared" si="14"/>
        <v>0</v>
      </c>
      <c r="J246" s="55">
        <f t="shared" si="15"/>
        <v>0</v>
      </c>
      <c r="K246" s="432">
        <f t="shared" si="16"/>
        <v>-3.2909696645711883</v>
      </c>
    </row>
    <row r="247" spans="1:11" x14ac:dyDescent="0.25">
      <c r="A247" s="49">
        <f>'A) Base RI'!A249</f>
        <v>5817</v>
      </c>
      <c r="B247" s="294" t="str">
        <f>'A) Base RI'!B249</f>
        <v>Grandcour</v>
      </c>
      <c r="C247" s="95">
        <f>'B) D RI'!U249</f>
        <v>23406.066601684674</v>
      </c>
      <c r="D247" s="431">
        <f>'E) Fact soc'!G253/C247</f>
        <v>21.102192475556482</v>
      </c>
      <c r="E247" s="137">
        <f>'H) Péréquation directe'!I258/C247</f>
        <v>-3.0430565778573291</v>
      </c>
      <c r="F247" s="110">
        <f>+'I) Dépenses thématiques'!O247/'J) Plafonnement effort'!C247</f>
        <v>-5.8886213321769603</v>
      </c>
      <c r="G247" s="137">
        <f t="shared" si="13"/>
        <v>12.170514565522193</v>
      </c>
      <c r="H247" s="432">
        <f>G247-'C) Prél. conj.'!I247</f>
        <v>6.4719246542040842</v>
      </c>
      <c r="I247" s="436">
        <f t="shared" si="14"/>
        <v>0</v>
      </c>
      <c r="J247" s="55">
        <f t="shared" si="15"/>
        <v>0</v>
      </c>
      <c r="K247" s="432">
        <f t="shared" si="16"/>
        <v>6.4719246542040842</v>
      </c>
    </row>
    <row r="248" spans="1:11" x14ac:dyDescent="0.25">
      <c r="A248" s="49">
        <f>'A) Base RI'!A250</f>
        <v>5819</v>
      </c>
      <c r="B248" s="294" t="str">
        <f>'A) Base RI'!B250</f>
        <v>Henniez</v>
      </c>
      <c r="C248" s="95">
        <f>'B) D RI'!U250</f>
        <v>12438.573202549422</v>
      </c>
      <c r="D248" s="431">
        <f>'E) Fact soc'!G254/C248</f>
        <v>18.469124982210293</v>
      </c>
      <c r="E248" s="137">
        <f>'H) Péréquation directe'!I259/C248</f>
        <v>12.526130919056147</v>
      </c>
      <c r="F248" s="110">
        <f>+'I) Dépenses thématiques'!O248/'J) Plafonnement effort'!C248</f>
        <v>-6.7554869165247355</v>
      </c>
      <c r="G248" s="137">
        <f t="shared" si="13"/>
        <v>24.239768984741705</v>
      </c>
      <c r="H248" s="432">
        <f>G248-'C) Prél. conj.'!I248</f>
        <v>21.174246566769789</v>
      </c>
      <c r="I248" s="436">
        <f t="shared" si="14"/>
        <v>0</v>
      </c>
      <c r="J248" s="55">
        <f t="shared" si="15"/>
        <v>0</v>
      </c>
      <c r="K248" s="432">
        <f t="shared" si="16"/>
        <v>21.174246566769789</v>
      </c>
    </row>
    <row r="249" spans="1:11" x14ac:dyDescent="0.25">
      <c r="A249" s="49">
        <f>'A) Base RI'!A251</f>
        <v>5821</v>
      </c>
      <c r="B249" s="294" t="str">
        <f>'A) Base RI'!B251</f>
        <v>Missy</v>
      </c>
      <c r="C249" s="95">
        <f>'B) D RI'!U251</f>
        <v>8575.631351638991</v>
      </c>
      <c r="D249" s="431">
        <f>'E) Fact soc'!G255/C249</f>
        <v>17.165108438335082</v>
      </c>
      <c r="E249" s="137">
        <f>'H) Péréquation directe'!I260/C249</f>
        <v>-4.1141456383388126</v>
      </c>
      <c r="F249" s="110">
        <f>+'I) Dépenses thématiques'!O249/'J) Plafonnement effort'!C249</f>
        <v>-2.2232267303706883</v>
      </c>
      <c r="G249" s="137">
        <f t="shared" si="13"/>
        <v>10.827736069625582</v>
      </c>
      <c r="H249" s="432">
        <f>G249-'C) Prél. conj.'!I249</f>
        <v>9.0662301955288704</v>
      </c>
      <c r="I249" s="436">
        <f t="shared" si="14"/>
        <v>0</v>
      </c>
      <c r="J249" s="55">
        <f t="shared" si="15"/>
        <v>0</v>
      </c>
      <c r="K249" s="432">
        <f t="shared" si="16"/>
        <v>9.0662301955288704</v>
      </c>
    </row>
    <row r="250" spans="1:11" x14ac:dyDescent="0.25">
      <c r="A250" s="49">
        <f>'A) Base RI'!A252</f>
        <v>5822</v>
      </c>
      <c r="B250" s="294" t="str">
        <f>'A) Base RI'!B252</f>
        <v>Payerne</v>
      </c>
      <c r="C250" s="95">
        <f>'B) D RI'!U252</f>
        <v>236916.04439002261</v>
      </c>
      <c r="D250" s="431">
        <f>'E) Fact soc'!G256/C250</f>
        <v>18.536178776671775</v>
      </c>
      <c r="E250" s="137">
        <f>'H) Péréquation directe'!I261/C250</f>
        <v>-20.842837447291142</v>
      </c>
      <c r="F250" s="110">
        <f>+'I) Dépenses thématiques'!O250/'J) Plafonnement effort'!C250</f>
        <v>-5.7835211592098812</v>
      </c>
      <c r="G250" s="137">
        <f t="shared" si="13"/>
        <v>-8.090179829829248</v>
      </c>
      <c r="H250" s="432">
        <f>G250-'C) Prél. conj.'!I250</f>
        <v>-11.222756042262647</v>
      </c>
      <c r="I250" s="436">
        <f t="shared" si="14"/>
        <v>0</v>
      </c>
      <c r="J250" s="55">
        <f t="shared" si="15"/>
        <v>0</v>
      </c>
      <c r="K250" s="432">
        <f t="shared" si="16"/>
        <v>-11.222756042262647</v>
      </c>
    </row>
    <row r="251" spans="1:11" x14ac:dyDescent="0.25">
      <c r="A251" s="49">
        <f>'A) Base RI'!A253</f>
        <v>5827</v>
      </c>
      <c r="B251" s="294" t="str">
        <f>'A) Base RI'!B253</f>
        <v>Trey</v>
      </c>
      <c r="C251" s="95">
        <f>'B) D RI'!U253</f>
        <v>7081.6159611211069</v>
      </c>
      <c r="D251" s="431">
        <f>'E) Fact soc'!G257/C251</f>
        <v>18.104645674315726</v>
      </c>
      <c r="E251" s="137">
        <f>'H) Péréquation directe'!I262/C251</f>
        <v>-1.9870983164741094</v>
      </c>
      <c r="F251" s="110">
        <f>+'I) Dépenses thématiques'!O251/'J) Plafonnement effort'!C251</f>
        <v>-7.9620899334396764</v>
      </c>
      <c r="G251" s="137">
        <f t="shared" si="13"/>
        <v>8.1554574244019395</v>
      </c>
      <c r="H251" s="432">
        <f>G251-'C) Prél. conj.'!I251</f>
        <v>5.454414314324584</v>
      </c>
      <c r="I251" s="436">
        <f t="shared" si="14"/>
        <v>0</v>
      </c>
      <c r="J251" s="55">
        <f t="shared" si="15"/>
        <v>0</v>
      </c>
      <c r="K251" s="432">
        <f t="shared" si="16"/>
        <v>5.454414314324584</v>
      </c>
    </row>
    <row r="252" spans="1:11" x14ac:dyDescent="0.25">
      <c r="A252" s="49">
        <f>'A) Base RI'!A254</f>
        <v>5828</v>
      </c>
      <c r="B252" s="294" t="str">
        <f>'A) Base RI'!B254</f>
        <v>Treytorrens (Payerne)</v>
      </c>
      <c r="C252" s="95">
        <f>'B) D RI'!U254</f>
        <v>2673.2421559488716</v>
      </c>
      <c r="D252" s="431">
        <f>'E) Fact soc'!G258/C252</f>
        <v>19.495244608584915</v>
      </c>
      <c r="E252" s="137">
        <f>'H) Péréquation directe'!I263/C252</f>
        <v>-13.205159658148714</v>
      </c>
      <c r="F252" s="110">
        <f>+'I) Dépenses thématiques'!O252/'J) Plafonnement effort'!C252</f>
        <v>-13.92422327123767</v>
      </c>
      <c r="G252" s="137">
        <f t="shared" si="13"/>
        <v>-7.634138320801469</v>
      </c>
      <c r="H252" s="432">
        <f>G252-'C) Prél. conj.'!I252</f>
        <v>-11.725780365148012</v>
      </c>
      <c r="I252" s="436">
        <f t="shared" si="14"/>
        <v>0</v>
      </c>
      <c r="J252" s="55">
        <f t="shared" si="15"/>
        <v>0</v>
      </c>
      <c r="K252" s="432">
        <f t="shared" si="16"/>
        <v>-11.725780365148012</v>
      </c>
    </row>
    <row r="253" spans="1:11" x14ac:dyDescent="0.25">
      <c r="A253" s="49">
        <f>'A) Base RI'!A255</f>
        <v>5830</v>
      </c>
      <c r="B253" s="294" t="str">
        <f>'A) Base RI'!B255</f>
        <v>Villarzel</v>
      </c>
      <c r="C253" s="95">
        <f>'B) D RI'!U255</f>
        <v>12117.556810814382</v>
      </c>
      <c r="D253" s="431">
        <f>'E) Fact soc'!G259/C253</f>
        <v>17.800461555984914</v>
      </c>
      <c r="E253" s="137">
        <f>'H) Péréquation directe'!I264/C253</f>
        <v>-0.44075252125363401</v>
      </c>
      <c r="F253" s="110">
        <f>+'I) Dépenses thématiques'!O253/'J) Plafonnement effort'!C253</f>
        <v>-7.754747918284763</v>
      </c>
      <c r="G253" s="137">
        <f t="shared" si="13"/>
        <v>9.6049611164465141</v>
      </c>
      <c r="H253" s="432">
        <f>G253-'C) Prél. conj.'!I253</f>
        <v>7.2081021246999724</v>
      </c>
      <c r="I253" s="436">
        <f t="shared" si="14"/>
        <v>0</v>
      </c>
      <c r="J253" s="55">
        <f t="shared" si="15"/>
        <v>0</v>
      </c>
      <c r="K253" s="432">
        <f t="shared" si="16"/>
        <v>7.2081021246999724</v>
      </c>
    </row>
    <row r="254" spans="1:11" x14ac:dyDescent="0.25">
      <c r="A254" s="49">
        <f>'A) Base RI'!A256</f>
        <v>5831</v>
      </c>
      <c r="B254" s="294" t="str">
        <f>'A) Base RI'!B256</f>
        <v>Valbroye</v>
      </c>
      <c r="C254" s="95">
        <f>'B) D RI'!U256</f>
        <v>83651.867392232569</v>
      </c>
      <c r="D254" s="431">
        <f>'E) Fact soc'!G260/C254</f>
        <v>19.522872530852368</v>
      </c>
      <c r="E254" s="137">
        <f>'H) Péréquation directe'!I265/C254</f>
        <v>-5.4591828955400743</v>
      </c>
      <c r="F254" s="110">
        <f>+'I) Dépenses thématiques'!O254/'J) Plafonnement effort'!C254</f>
        <v>-8.9531782369776511</v>
      </c>
      <c r="G254" s="137">
        <f t="shared" si="13"/>
        <v>5.1105113983346424</v>
      </c>
      <c r="H254" s="432">
        <f>G254-'C) Prél. conj.'!I254</f>
        <v>0.99124143172064993</v>
      </c>
      <c r="I254" s="436">
        <f t="shared" si="14"/>
        <v>0</v>
      </c>
      <c r="J254" s="55">
        <f t="shared" si="15"/>
        <v>0</v>
      </c>
      <c r="K254" s="432">
        <f t="shared" si="16"/>
        <v>0.99124143172064993</v>
      </c>
    </row>
    <row r="255" spans="1:11" x14ac:dyDescent="0.25">
      <c r="A255" s="49">
        <f>'A) Base RI'!A257</f>
        <v>5841</v>
      </c>
      <c r="B255" s="294" t="str">
        <f>'A) Base RI'!B257</f>
        <v>Château-d'Oex</v>
      </c>
      <c r="C255" s="95">
        <f>'B) D RI'!U257</f>
        <v>116299.93992329082</v>
      </c>
      <c r="D255" s="431">
        <f>'E) Fact soc'!G261/C255</f>
        <v>19.708737118308164</v>
      </c>
      <c r="E255" s="137">
        <f>'H) Péréquation directe'!I266/C255</f>
        <v>2.0822216008808629</v>
      </c>
      <c r="F255" s="110">
        <f>+'I) Dépenses thématiques'!O255/'J) Plafonnement effort'!C255</f>
        <v>-16.90859958816861</v>
      </c>
      <c r="G255" s="137">
        <f t="shared" si="13"/>
        <v>4.8823591310204186</v>
      </c>
      <c r="H255" s="432">
        <f>G255-'C) Prél. conj.'!I255</f>
        <v>0.57722457695062879</v>
      </c>
      <c r="I255" s="436">
        <f t="shared" si="14"/>
        <v>0</v>
      </c>
      <c r="J255" s="55">
        <f t="shared" si="15"/>
        <v>0</v>
      </c>
      <c r="K255" s="432">
        <f t="shared" si="16"/>
        <v>0.57722457695062879</v>
      </c>
    </row>
    <row r="256" spans="1:11" x14ac:dyDescent="0.25">
      <c r="A256" s="49">
        <f>'A) Base RI'!A258</f>
        <v>5842</v>
      </c>
      <c r="B256" s="294" t="str">
        <f>'A) Base RI'!B258</f>
        <v>Rossinière</v>
      </c>
      <c r="C256" s="95">
        <f>'B) D RI'!U258</f>
        <v>16094.216375513943</v>
      </c>
      <c r="D256" s="431">
        <f>'E) Fact soc'!G262/C256</f>
        <v>18.842831831977879</v>
      </c>
      <c r="E256" s="137">
        <f>'H) Péréquation directe'!I267/C256</f>
        <v>2.3003156390116506</v>
      </c>
      <c r="F256" s="110">
        <f>+'I) Dépenses thématiques'!O256/'J) Plafonnement effort'!C256</f>
        <v>-10.632671394587895</v>
      </c>
      <c r="G256" s="137">
        <f t="shared" si="13"/>
        <v>10.510476076401634</v>
      </c>
      <c r="H256" s="432">
        <f>G256-'C) Prél. conj.'!I256</f>
        <v>7.0712468086621278</v>
      </c>
      <c r="I256" s="436">
        <f t="shared" si="14"/>
        <v>0</v>
      </c>
      <c r="J256" s="55">
        <f t="shared" si="15"/>
        <v>0</v>
      </c>
      <c r="K256" s="432">
        <f t="shared" si="16"/>
        <v>7.0712468086621278</v>
      </c>
    </row>
    <row r="257" spans="1:13" x14ac:dyDescent="0.25">
      <c r="A257" s="49">
        <f>'A) Base RI'!A259</f>
        <v>5843</v>
      </c>
      <c r="B257" s="294" t="str">
        <f>'A) Base RI'!B259</f>
        <v>Rougemont</v>
      </c>
      <c r="C257" s="95">
        <f>'B) D RI'!U259</f>
        <v>94148.401666926264</v>
      </c>
      <c r="D257" s="431">
        <f>'E) Fact soc'!G263/C257</f>
        <v>38.275957193783995</v>
      </c>
      <c r="E257" s="137">
        <f>'H) Péréquation directe'!I268/C257</f>
        <v>19.112666279321616</v>
      </c>
      <c r="F257" s="110">
        <f>+'I) Dépenses thématiques'!O257/'J) Plafonnement effort'!C257</f>
        <v>-1.7198187654842683</v>
      </c>
      <c r="G257" s="137">
        <f t="shared" si="13"/>
        <v>55.668804707621341</v>
      </c>
      <c r="H257" s="432">
        <f>G257-'C) Prél. conj.'!I257</f>
        <v>48.97620755414944</v>
      </c>
      <c r="I257" s="436">
        <f t="shared" si="14"/>
        <v>-0.97620755414943972</v>
      </c>
      <c r="J257" s="55">
        <f t="shared" si="15"/>
        <v>-91908.380918349125</v>
      </c>
      <c r="K257" s="432">
        <f t="shared" si="16"/>
        <v>48</v>
      </c>
    </row>
    <row r="258" spans="1:13" x14ac:dyDescent="0.25">
      <c r="A258" s="49">
        <f>'A) Base RI'!A260</f>
        <v>5851</v>
      </c>
      <c r="B258" s="294" t="str">
        <f>'A) Base RI'!B260</f>
        <v>Allaman</v>
      </c>
      <c r="C258" s="95">
        <f>'B) D RI'!U260</f>
        <v>28833.689592297927</v>
      </c>
      <c r="D258" s="431">
        <f>'E) Fact soc'!G264/C258</f>
        <v>30.482811860487431</v>
      </c>
      <c r="E258" s="137">
        <f>'H) Péréquation directe'!I269/C258</f>
        <v>18.402924978150825</v>
      </c>
      <c r="F258" s="110">
        <f>+'I) Dépenses thématiques'!O258/'J) Plafonnement effort'!C258</f>
        <v>0</v>
      </c>
      <c r="G258" s="137">
        <f t="shared" si="13"/>
        <v>48.885736838638252</v>
      </c>
      <c r="H258" s="432">
        <f>G258-'C) Prél. conj.'!I258</f>
        <v>39.020404686488583</v>
      </c>
      <c r="I258" s="436">
        <f t="shared" si="14"/>
        <v>0</v>
      </c>
      <c r="J258" s="55">
        <f t="shared" si="15"/>
        <v>0</v>
      </c>
      <c r="K258" s="432">
        <f t="shared" si="16"/>
        <v>39.020404686488583</v>
      </c>
    </row>
    <row r="259" spans="1:13" x14ac:dyDescent="0.25">
      <c r="A259" s="49">
        <f>'A) Base RI'!A261</f>
        <v>5852</v>
      </c>
      <c r="B259" s="294" t="str">
        <f>'A) Base RI'!B261</f>
        <v>Bursinel</v>
      </c>
      <c r="C259" s="95">
        <f>'B) D RI'!U261</f>
        <v>39695.951591324636</v>
      </c>
      <c r="D259" s="431">
        <f>'E) Fact soc'!G265/C259</f>
        <v>29.172921478313711</v>
      </c>
      <c r="E259" s="137">
        <f>'H) Péréquation directe'!I270/C259</f>
        <v>18.800855160560655</v>
      </c>
      <c r="F259" s="110">
        <f>+'I) Dépenses thématiques'!O259/'J) Plafonnement effort'!C259</f>
        <v>0</v>
      </c>
      <c r="G259" s="137">
        <f t="shared" si="13"/>
        <v>47.973776638874369</v>
      </c>
      <c r="H259" s="432">
        <f>G259-'C) Prél. conj.'!I259</f>
        <v>44.031110353625166</v>
      </c>
      <c r="I259" s="436">
        <f t="shared" si="14"/>
        <v>0</v>
      </c>
      <c r="J259" s="55">
        <f t="shared" si="15"/>
        <v>0</v>
      </c>
      <c r="K259" s="432">
        <f t="shared" si="16"/>
        <v>44.031110353625166</v>
      </c>
    </row>
    <row r="260" spans="1:13" x14ac:dyDescent="0.25">
      <c r="A260" s="49">
        <f>'A) Base RI'!A262</f>
        <v>5853</v>
      </c>
      <c r="B260" s="294" t="str">
        <f>'A) Base RI'!B262</f>
        <v>Bursins</v>
      </c>
      <c r="C260" s="95">
        <f>'B) D RI'!U262</f>
        <v>36570.93565140845</v>
      </c>
      <c r="D260" s="431">
        <f>'E) Fact soc'!G266/C260</f>
        <v>20.759713443430744</v>
      </c>
      <c r="E260" s="137">
        <f>'H) Péréquation directe'!I271/C260</f>
        <v>17.714750502925533</v>
      </c>
      <c r="F260" s="110">
        <f>+'I) Dépenses thématiques'!O260/'J) Plafonnement effort'!C260</f>
        <v>-0.6965110241531679</v>
      </c>
      <c r="G260" s="137">
        <f t="shared" si="13"/>
        <v>37.777952922203113</v>
      </c>
      <c r="H260" s="432">
        <f>G260-'C) Prél. conj.'!I260</f>
        <v>33.533225593384508</v>
      </c>
      <c r="I260" s="436">
        <f t="shared" si="14"/>
        <v>0</v>
      </c>
      <c r="J260" s="55">
        <f t="shared" si="15"/>
        <v>0</v>
      </c>
      <c r="K260" s="432">
        <f t="shared" si="16"/>
        <v>33.533225593384508</v>
      </c>
    </row>
    <row r="261" spans="1:13" x14ac:dyDescent="0.25">
      <c r="A261" s="49">
        <f>'A) Base RI'!A263</f>
        <v>5854</v>
      </c>
      <c r="B261" s="294" t="str">
        <f>'A) Base RI'!B263</f>
        <v>Burtigny</v>
      </c>
      <c r="C261" s="95">
        <f>'B) D RI'!U263</f>
        <v>15186.776169765042</v>
      </c>
      <c r="D261" s="431">
        <f>'E) Fact soc'!G267/C261</f>
        <v>22.798795510032448</v>
      </c>
      <c r="E261" s="137">
        <f>'H) Péréquation directe'!I272/C261</f>
        <v>13.146367837069729</v>
      </c>
      <c r="F261" s="110">
        <f>+'I) Dépenses thématiques'!O261/'J) Plafonnement effort'!C261</f>
        <v>-0.82897084107451502</v>
      </c>
      <c r="G261" s="137">
        <f t="shared" si="13"/>
        <v>35.116192506027666</v>
      </c>
      <c r="H261" s="432">
        <f>G261-'C) Prél. conj.'!I261</f>
        <v>27.72099956023359</v>
      </c>
      <c r="I261" s="436">
        <f t="shared" si="14"/>
        <v>0</v>
      </c>
      <c r="J261" s="55">
        <f t="shared" si="15"/>
        <v>0</v>
      </c>
      <c r="K261" s="432">
        <f t="shared" si="16"/>
        <v>27.72099956023359</v>
      </c>
    </row>
    <row r="262" spans="1:13" x14ac:dyDescent="0.25">
      <c r="A262" s="49">
        <f>'A) Base RI'!A264</f>
        <v>5855</v>
      </c>
      <c r="B262" s="294" t="str">
        <f>'A) Base RI'!B264</f>
        <v>Dully</v>
      </c>
      <c r="C262" s="95">
        <f>'B) D RI'!U264</f>
        <v>91369.635498396179</v>
      </c>
      <c r="D262" s="431">
        <f>'E) Fact soc'!G268/C262</f>
        <v>33.242757861699175</v>
      </c>
      <c r="E262" s="137">
        <f>'H) Péréquation directe'!I273/C262</f>
        <v>19.414661700110607</v>
      </c>
      <c r="F262" s="110">
        <f>+'I) Dépenses thématiques'!O262/'J) Plafonnement effort'!C262</f>
        <v>0</v>
      </c>
      <c r="G262" s="137">
        <f t="shared" ref="G262:G313" si="17">SUM(D262:F262)</f>
        <v>52.657419561809782</v>
      </c>
      <c r="H262" s="432">
        <f>G262-'C) Prél. conj.'!I262</f>
        <v>49.411393862109954</v>
      </c>
      <c r="I262" s="436">
        <f t="shared" ref="I262:I313" si="18">IF(H262&gt;I$4,I$4-H262,0)</f>
        <v>-1.4113938621099535</v>
      </c>
      <c r="J262" s="55">
        <f t="shared" ref="J262:J313" si="19">I262*C262</f>
        <v>-128958.5427256601</v>
      </c>
      <c r="K262" s="432">
        <f t="shared" ref="K262:K313" si="20">H262+I262</f>
        <v>48</v>
      </c>
      <c r="M262" s="427"/>
    </row>
    <row r="263" spans="1:13" x14ac:dyDescent="0.25">
      <c r="A263" s="49">
        <f>'A) Base RI'!A265</f>
        <v>5856</v>
      </c>
      <c r="B263" s="294" t="str">
        <f>'A) Base RI'!B265</f>
        <v>Essertines-sur-Rolle</v>
      </c>
      <c r="C263" s="95">
        <f>'B) D RI'!U265</f>
        <v>37403.277675115321</v>
      </c>
      <c r="D263" s="431">
        <f>'E) Fact soc'!G269/C263</f>
        <v>22.033747124922868</v>
      </c>
      <c r="E263" s="137">
        <f>'H) Péréquation directe'!I274/C263</f>
        <v>17.858694732908173</v>
      </c>
      <c r="F263" s="110">
        <f>+'I) Dépenses thématiques'!O263/'J) Plafonnement effort'!C263</f>
        <v>0</v>
      </c>
      <c r="G263" s="137">
        <f t="shared" si="17"/>
        <v>39.892441857831045</v>
      </c>
      <c r="H263" s="432">
        <f>G263-'C) Prél. conj.'!I263</f>
        <v>35.029443577843026</v>
      </c>
      <c r="I263" s="436">
        <f t="shared" si="18"/>
        <v>0</v>
      </c>
      <c r="J263" s="55">
        <f t="shared" si="19"/>
        <v>0</v>
      </c>
      <c r="K263" s="432">
        <f t="shared" si="20"/>
        <v>35.029443577843026</v>
      </c>
    </row>
    <row r="264" spans="1:13" x14ac:dyDescent="0.25">
      <c r="A264" s="49">
        <f>'A) Base RI'!A266</f>
        <v>5857</v>
      </c>
      <c r="B264" s="294" t="str">
        <f>'A) Base RI'!B266</f>
        <v>Gilly</v>
      </c>
      <c r="C264" s="95">
        <f>'B) D RI'!U266</f>
        <v>88640.687774331382</v>
      </c>
      <c r="D264" s="431">
        <f>'E) Fact soc'!G270/C264</f>
        <v>23.378989820573537</v>
      </c>
      <c r="E264" s="137">
        <f>'H) Péréquation directe'!I275/C264</f>
        <v>17.595707711243005</v>
      </c>
      <c r="F264" s="110">
        <f>+'I) Dépenses thématiques'!O264/'J) Plafonnement effort'!C264</f>
        <v>0</v>
      </c>
      <c r="G264" s="137">
        <f t="shared" si="17"/>
        <v>40.974697531816545</v>
      </c>
      <c r="H264" s="432">
        <f>G264-'C) Prél. conj.'!I264</f>
        <v>38.658561396651628</v>
      </c>
      <c r="I264" s="436">
        <f t="shared" si="18"/>
        <v>0</v>
      </c>
      <c r="J264" s="55">
        <f t="shared" si="19"/>
        <v>0</v>
      </c>
      <c r="K264" s="432">
        <f t="shared" si="20"/>
        <v>38.658561396651628</v>
      </c>
    </row>
    <row r="265" spans="1:13" x14ac:dyDescent="0.25">
      <c r="A265" s="49">
        <f>'A) Base RI'!A267</f>
        <v>5858</v>
      </c>
      <c r="B265" s="294" t="str">
        <f>'A) Base RI'!B267</f>
        <v>Luins</v>
      </c>
      <c r="C265" s="95">
        <f>'B) D RI'!U267</f>
        <v>43780.812152194871</v>
      </c>
      <c r="D265" s="431">
        <f>'E) Fact soc'!G271/C265</f>
        <v>23.787999462351802</v>
      </c>
      <c r="E265" s="137">
        <f>'H) Péréquation directe'!I276/C265</f>
        <v>18.534076597641874</v>
      </c>
      <c r="F265" s="110">
        <f>+'I) Dépenses thématiques'!O265/'J) Plafonnement effort'!C265</f>
        <v>0</v>
      </c>
      <c r="G265" s="137">
        <f t="shared" si="17"/>
        <v>42.322076059993677</v>
      </c>
      <c r="H265" s="432">
        <f>G265-'C) Prél. conj.'!I265</f>
        <v>40.238651940703392</v>
      </c>
      <c r="I265" s="436">
        <f t="shared" si="18"/>
        <v>0</v>
      </c>
      <c r="J265" s="55">
        <f t="shared" si="19"/>
        <v>0</v>
      </c>
      <c r="K265" s="432">
        <f t="shared" si="20"/>
        <v>40.238651940703392</v>
      </c>
    </row>
    <row r="266" spans="1:13" x14ac:dyDescent="0.25">
      <c r="A266" s="49">
        <f>'A) Base RI'!A268</f>
        <v>5859</v>
      </c>
      <c r="B266" s="294" t="str">
        <f>'A) Base RI'!B268</f>
        <v>Mont-sur-Rolle</v>
      </c>
      <c r="C266" s="95">
        <f>'B) D RI'!U268</f>
        <v>142403.85565354835</v>
      </c>
      <c r="D266" s="431">
        <f>'E) Fact soc'!G272/C266</f>
        <v>19.377883468911566</v>
      </c>
      <c r="E266" s="137">
        <f>'H) Péréquation directe'!I277/C266</f>
        <v>15.351866443287866</v>
      </c>
      <c r="F266" s="110">
        <f>+'I) Dépenses thématiques'!O266/'J) Plafonnement effort'!C266</f>
        <v>0</v>
      </c>
      <c r="G266" s="137">
        <f t="shared" si="17"/>
        <v>34.729749912199431</v>
      </c>
      <c r="H266" s="432">
        <f>G266-'C) Prél. conj.'!I266</f>
        <v>32.907337037147947</v>
      </c>
      <c r="I266" s="436">
        <f t="shared" si="18"/>
        <v>0</v>
      </c>
      <c r="J266" s="55">
        <f t="shared" si="19"/>
        <v>0</v>
      </c>
      <c r="K266" s="432">
        <f t="shared" si="20"/>
        <v>32.907337037147947</v>
      </c>
    </row>
    <row r="267" spans="1:13" x14ac:dyDescent="0.25">
      <c r="A267" s="49">
        <f>'A) Base RI'!A269</f>
        <v>5860</v>
      </c>
      <c r="B267" s="294" t="str">
        <f>'A) Base RI'!B269</f>
        <v>Perroy</v>
      </c>
      <c r="C267" s="95">
        <f>'B) D RI'!U269</f>
        <v>95160.687801613312</v>
      </c>
      <c r="D267" s="431">
        <f>'E) Fact soc'!G273/C267</f>
        <v>25.301675571920658</v>
      </c>
      <c r="E267" s="137">
        <f>'H) Péréquation directe'!I278/C267</f>
        <v>16.978800896442984</v>
      </c>
      <c r="F267" s="110">
        <f>+'I) Dépenses thématiques'!O267/'J) Plafonnement effort'!C267</f>
        <v>0</v>
      </c>
      <c r="G267" s="137">
        <f t="shared" si="17"/>
        <v>42.280476468363645</v>
      </c>
      <c r="H267" s="432">
        <f>G267-'C) Prél. conj.'!I267</f>
        <v>36.436339326780569</v>
      </c>
      <c r="I267" s="436">
        <f t="shared" si="18"/>
        <v>0</v>
      </c>
      <c r="J267" s="55">
        <f t="shared" si="19"/>
        <v>0</v>
      </c>
      <c r="K267" s="432">
        <f t="shared" si="20"/>
        <v>36.436339326780569</v>
      </c>
    </row>
    <row r="268" spans="1:13" x14ac:dyDescent="0.25">
      <c r="A268" s="49">
        <f>'A) Base RI'!A270</f>
        <v>5861</v>
      </c>
      <c r="B268" s="294" t="str">
        <f>'A) Base RI'!B270</f>
        <v>Rolle</v>
      </c>
      <c r="C268" s="95">
        <f>'B) D RI'!U270</f>
        <v>574229.10238061741</v>
      </c>
      <c r="D268" s="431">
        <f>'E) Fact soc'!G274/C268</f>
        <v>27.459401069270136</v>
      </c>
      <c r="E268" s="137">
        <f>'H) Péréquation directe'!I279/C268</f>
        <v>15.806925540979044</v>
      </c>
      <c r="F268" s="110">
        <f>+'I) Dépenses thématiques'!O268/'J) Plafonnement effort'!C268</f>
        <v>0</v>
      </c>
      <c r="G268" s="137">
        <f t="shared" si="17"/>
        <v>43.26632661024918</v>
      </c>
      <c r="H268" s="432">
        <f>G268-'C) Prél. conj.'!I268</f>
        <v>41.523396408957133</v>
      </c>
      <c r="I268" s="436">
        <f t="shared" si="18"/>
        <v>0</v>
      </c>
      <c r="J268" s="55">
        <f t="shared" si="19"/>
        <v>0</v>
      </c>
      <c r="K268" s="432">
        <f t="shared" si="20"/>
        <v>41.523396408957133</v>
      </c>
    </row>
    <row r="269" spans="1:13" x14ac:dyDescent="0.25">
      <c r="A269" s="49">
        <f>'A) Base RI'!A271</f>
        <v>5862</v>
      </c>
      <c r="B269" s="294" t="str">
        <f>'A) Base RI'!B271</f>
        <v>Tartegnin</v>
      </c>
      <c r="C269" s="95">
        <f>'B) D RI'!U271</f>
        <v>12235.59571867773</v>
      </c>
      <c r="D269" s="431">
        <f>'E) Fact soc'!G275/C269</f>
        <v>19.004583017073728</v>
      </c>
      <c r="E269" s="137">
        <f>'H) Péréquation directe'!I280/C269</f>
        <v>17.771880909390159</v>
      </c>
      <c r="F269" s="110">
        <f>+'I) Dépenses thématiques'!O269/'J) Plafonnement effort'!C269</f>
        <v>0</v>
      </c>
      <c r="G269" s="137">
        <f t="shared" si="17"/>
        <v>36.77646392646389</v>
      </c>
      <c r="H269" s="432">
        <f>G269-'C) Prél. conj.'!I269</f>
        <v>34.775625506914864</v>
      </c>
      <c r="I269" s="436">
        <f t="shared" si="18"/>
        <v>0</v>
      </c>
      <c r="J269" s="55">
        <f t="shared" si="19"/>
        <v>0</v>
      </c>
      <c r="K269" s="432">
        <f t="shared" si="20"/>
        <v>34.775625506914864</v>
      </c>
    </row>
    <row r="270" spans="1:13" x14ac:dyDescent="0.25">
      <c r="A270" s="49">
        <f>'A) Base RI'!A272</f>
        <v>5863</v>
      </c>
      <c r="B270" s="294" t="str">
        <f>'A) Base RI'!B272</f>
        <v>Vinzel</v>
      </c>
      <c r="C270" s="95">
        <f>'B) D RI'!U272</f>
        <v>22394.635794374353</v>
      </c>
      <c r="D270" s="431">
        <f>'E) Fact soc'!G276/C270</f>
        <v>21.642339993695906</v>
      </c>
      <c r="E270" s="137">
        <f>'H) Péréquation directe'!I281/C270</f>
        <v>18.286275708575172</v>
      </c>
      <c r="F270" s="110">
        <f>+'I) Dépenses thématiques'!O270/'J) Plafonnement effort'!C270</f>
        <v>0</v>
      </c>
      <c r="G270" s="137">
        <f t="shared" si="17"/>
        <v>39.928615702271074</v>
      </c>
      <c r="H270" s="432">
        <f>G270-'C) Prél. conj.'!I270</f>
        <v>38.426474952634479</v>
      </c>
      <c r="I270" s="436">
        <f t="shared" si="18"/>
        <v>0</v>
      </c>
      <c r="J270" s="55">
        <f t="shared" si="19"/>
        <v>0</v>
      </c>
      <c r="K270" s="432">
        <f t="shared" si="20"/>
        <v>38.426474952634479</v>
      </c>
    </row>
    <row r="271" spans="1:13" x14ac:dyDescent="0.25">
      <c r="A271" s="49">
        <f>'A) Base RI'!A273</f>
        <v>5871</v>
      </c>
      <c r="B271" s="294" t="str">
        <f>'A) Base RI'!B273</f>
        <v>L'Abbaye</v>
      </c>
      <c r="C271" s="95">
        <f>'B) D RI'!U273</f>
        <v>44671.831166364944</v>
      </c>
      <c r="D271" s="431">
        <f>'E) Fact soc'!G277/C271</f>
        <v>21.654898128102847</v>
      </c>
      <c r="E271" s="137">
        <f>'H) Péréquation directe'!I282/C271</f>
        <v>2.169735510666658</v>
      </c>
      <c r="F271" s="110">
        <f>+'I) Dépenses thématiques'!O271/'J) Plafonnement effort'!C271</f>
        <v>-8.5348492868675372</v>
      </c>
      <c r="G271" s="137">
        <f t="shared" si="17"/>
        <v>15.289784351901968</v>
      </c>
      <c r="H271" s="432">
        <f>G271-'C) Prél. conj.'!I271</f>
        <v>9.0384887880374922</v>
      </c>
      <c r="I271" s="436">
        <f t="shared" si="18"/>
        <v>0</v>
      </c>
      <c r="J271" s="55">
        <f t="shared" si="19"/>
        <v>0</v>
      </c>
      <c r="K271" s="432">
        <f t="shared" si="20"/>
        <v>9.0384887880374922</v>
      </c>
    </row>
    <row r="272" spans="1:13" x14ac:dyDescent="0.25">
      <c r="A272" s="49">
        <f>'A) Base RI'!A274</f>
        <v>5872</v>
      </c>
      <c r="B272" s="294" t="str">
        <f>'A) Base RI'!B274</f>
        <v>Le Chenit</v>
      </c>
      <c r="C272" s="95">
        <f>'B) D RI'!U274</f>
        <v>169487.47890245376</v>
      </c>
      <c r="D272" s="431">
        <f>'E) Fact soc'!G278/C272</f>
        <v>30.00830924245048</v>
      </c>
      <c r="E272" s="137">
        <f>'H) Péréquation directe'!I283/C272</f>
        <v>6.6688106361936823</v>
      </c>
      <c r="F272" s="110">
        <f>+'I) Dépenses thématiques'!O272/'J) Plafonnement effort'!C272</f>
        <v>-10.676903642757928</v>
      </c>
      <c r="G272" s="137">
        <f t="shared" si="17"/>
        <v>26.000216235886235</v>
      </c>
      <c r="H272" s="432">
        <f>G272-'C) Prél. conj.'!I272</f>
        <v>11.395509557674128</v>
      </c>
      <c r="I272" s="436">
        <f t="shared" si="18"/>
        <v>0</v>
      </c>
      <c r="J272" s="55">
        <f t="shared" si="19"/>
        <v>0</v>
      </c>
      <c r="K272" s="432">
        <f t="shared" si="20"/>
        <v>11.395509557674128</v>
      </c>
    </row>
    <row r="273" spans="1:11" x14ac:dyDescent="0.25">
      <c r="A273" s="49">
        <f>'A) Base RI'!A275</f>
        <v>5873</v>
      </c>
      <c r="B273" s="294" t="str">
        <f>'A) Base RI'!B275</f>
        <v>Le Lieu</v>
      </c>
      <c r="C273" s="95">
        <f>'B) D RI'!U275</f>
        <v>29965.351280448966</v>
      </c>
      <c r="D273" s="431">
        <f>'E) Fact soc'!G279/C273</f>
        <v>24.966392678665045</v>
      </c>
      <c r="E273" s="137">
        <f>'H) Péréquation directe'!I284/C273</f>
        <v>10.617040355817178</v>
      </c>
      <c r="F273" s="110">
        <f>+'I) Dépenses thématiques'!O273/'J) Plafonnement effort'!C273</f>
        <v>-25.882366880151569</v>
      </c>
      <c r="G273" s="137">
        <f t="shared" si="17"/>
        <v>9.7010661543306576</v>
      </c>
      <c r="H273" s="432">
        <f>G273-'C) Prél. conj.'!I273</f>
        <v>0.13827603990398529</v>
      </c>
      <c r="I273" s="436">
        <f t="shared" si="18"/>
        <v>0</v>
      </c>
      <c r="J273" s="55">
        <f t="shared" si="19"/>
        <v>0</v>
      </c>
      <c r="K273" s="432">
        <f t="shared" si="20"/>
        <v>0.13827603990398529</v>
      </c>
    </row>
    <row r="274" spans="1:11" x14ac:dyDescent="0.25">
      <c r="A274" s="49">
        <f>'A) Base RI'!A276</f>
        <v>5881</v>
      </c>
      <c r="B274" s="294" t="str">
        <f>'A) Base RI'!B276</f>
        <v>Blonay</v>
      </c>
      <c r="C274" s="95">
        <f>'B) D RI'!U276</f>
        <v>329876.03226063965</v>
      </c>
      <c r="D274" s="431">
        <f>'E) Fact soc'!G280/C274</f>
        <v>19.773793377109328</v>
      </c>
      <c r="E274" s="137">
        <f>'H) Péréquation directe'!I285/C274</f>
        <v>12.620679819748933</v>
      </c>
      <c r="F274" s="110">
        <f>+'I) Dépenses thématiques'!O274/'J) Plafonnement effort'!C274</f>
        <v>-1.9703499214548053</v>
      </c>
      <c r="G274" s="137">
        <f t="shared" si="17"/>
        <v>30.424123275403453</v>
      </c>
      <c r="H274" s="432">
        <f>G274-'C) Prél. conj.'!I274</f>
        <v>28.306637775735204</v>
      </c>
      <c r="I274" s="436">
        <f t="shared" si="18"/>
        <v>0</v>
      </c>
      <c r="J274" s="55">
        <f t="shared" si="19"/>
        <v>0</v>
      </c>
      <c r="K274" s="432">
        <f t="shared" si="20"/>
        <v>28.306637775735204</v>
      </c>
    </row>
    <row r="275" spans="1:11" x14ac:dyDescent="0.25">
      <c r="A275" s="49">
        <f>'A) Base RI'!A277</f>
        <v>5882</v>
      </c>
      <c r="B275" s="294" t="str">
        <f>'A) Base RI'!B277</f>
        <v>Chardonne</v>
      </c>
      <c r="C275" s="95">
        <f>'B) D RI'!U277</f>
        <v>160866.12406088383</v>
      </c>
      <c r="D275" s="431">
        <f>'E) Fact soc'!G281/C275</f>
        <v>23.846034354111623</v>
      </c>
      <c r="E275" s="137">
        <f>'H) Péréquation directe'!I286/C275</f>
        <v>15.28742161580063</v>
      </c>
      <c r="F275" s="110">
        <f>+'I) Dépenses thématiques'!O275/'J) Plafonnement effort'!C275</f>
        <v>-2.4270259466455042</v>
      </c>
      <c r="G275" s="137">
        <f t="shared" si="17"/>
        <v>36.706430023266748</v>
      </c>
      <c r="H275" s="432">
        <f>G275-'C) Prél. conj.'!I275</f>
        <v>30.831468961593441</v>
      </c>
      <c r="I275" s="436">
        <f t="shared" si="18"/>
        <v>0</v>
      </c>
      <c r="J275" s="55">
        <f t="shared" si="19"/>
        <v>0</v>
      </c>
      <c r="K275" s="432">
        <f t="shared" si="20"/>
        <v>30.831468961593441</v>
      </c>
    </row>
    <row r="276" spans="1:11" x14ac:dyDescent="0.25">
      <c r="A276" s="49">
        <f>'A) Base RI'!A278</f>
        <v>5883</v>
      </c>
      <c r="B276" s="294" t="str">
        <f>'A) Base RI'!B278</f>
        <v>Corseaux</v>
      </c>
      <c r="C276" s="95">
        <f>'B) D RI'!U278</f>
        <v>155219.69320868849</v>
      </c>
      <c r="D276" s="431">
        <f>'E) Fact soc'!G282/C276</f>
        <v>32.868802165796701</v>
      </c>
      <c r="E276" s="137">
        <f>'H) Péréquation directe'!I287/C276</f>
        <v>16.590178516864277</v>
      </c>
      <c r="F276" s="110">
        <f>+'I) Dépenses thématiques'!O276/'J) Plafonnement effort'!C276</f>
        <v>0</v>
      </c>
      <c r="G276" s="137">
        <f t="shared" si="17"/>
        <v>49.458980682660979</v>
      </c>
      <c r="H276" s="432">
        <f>G276-'C) Prél. conj.'!I276</f>
        <v>38.222064999191709</v>
      </c>
      <c r="I276" s="436">
        <f t="shared" si="18"/>
        <v>0</v>
      </c>
      <c r="J276" s="55">
        <f t="shared" si="19"/>
        <v>0</v>
      </c>
      <c r="K276" s="432">
        <f t="shared" si="20"/>
        <v>38.222064999191709</v>
      </c>
    </row>
    <row r="277" spans="1:11" x14ac:dyDescent="0.25">
      <c r="A277" s="49">
        <f>'A) Base RI'!A279</f>
        <v>5884</v>
      </c>
      <c r="B277" s="294" t="str">
        <f>'A) Base RI'!B279</f>
        <v>Corsier-sur-Vevey</v>
      </c>
      <c r="C277" s="95">
        <f>'B) D RI'!U279</f>
        <v>113730.49763913798</v>
      </c>
      <c r="D277" s="431">
        <f>'E) Fact soc'!G283/C277</f>
        <v>19.010315482188716</v>
      </c>
      <c r="E277" s="137">
        <f>'H) Péréquation directe'!I288/C277</f>
        <v>5.5457573936753253</v>
      </c>
      <c r="F277" s="110">
        <f>+'I) Dépenses thématiques'!O277/'J) Plafonnement effort'!C277</f>
        <v>-11.714675166655699</v>
      </c>
      <c r="G277" s="137">
        <f t="shared" si="17"/>
        <v>12.841397709208341</v>
      </c>
      <c r="H277" s="432">
        <f>G277-'C) Prél. conj.'!I277</f>
        <v>9.2346847912579975</v>
      </c>
      <c r="I277" s="436">
        <f t="shared" si="18"/>
        <v>0</v>
      </c>
      <c r="J277" s="55">
        <f t="shared" si="19"/>
        <v>0</v>
      </c>
      <c r="K277" s="432">
        <f t="shared" si="20"/>
        <v>9.2346847912579975</v>
      </c>
    </row>
    <row r="278" spans="1:11" x14ac:dyDescent="0.25">
      <c r="A278" s="49">
        <f>'A) Base RI'!A280</f>
        <v>5885</v>
      </c>
      <c r="B278" s="294" t="str">
        <f>'A) Base RI'!B280</f>
        <v>Jongny</v>
      </c>
      <c r="C278" s="95">
        <f>'B) D RI'!U280</f>
        <v>83488.016188395792</v>
      </c>
      <c r="D278" s="431">
        <f>'E) Fact soc'!G284/C278</f>
        <v>25.528449526848537</v>
      </c>
      <c r="E278" s="137">
        <f>'H) Péréquation directe'!I289/C278</f>
        <v>16.542028690780178</v>
      </c>
      <c r="F278" s="110">
        <f>+'I) Dépenses thématiques'!O278/'J) Plafonnement effort'!C278</f>
        <v>-0.22243781871272819</v>
      </c>
      <c r="G278" s="137">
        <f t="shared" si="17"/>
        <v>41.848040398915991</v>
      </c>
      <c r="H278" s="432">
        <f>G278-'C) Prél. conj.'!I278</f>
        <v>34.286237773550113</v>
      </c>
      <c r="I278" s="436">
        <f t="shared" si="18"/>
        <v>0</v>
      </c>
      <c r="J278" s="55">
        <f t="shared" si="19"/>
        <v>0</v>
      </c>
      <c r="K278" s="432">
        <f t="shared" si="20"/>
        <v>34.286237773550113</v>
      </c>
    </row>
    <row r="279" spans="1:11" x14ac:dyDescent="0.25">
      <c r="A279" s="49">
        <f>'A) Base RI'!A281</f>
        <v>5886</v>
      </c>
      <c r="B279" s="294" t="str">
        <f>'A) Base RI'!B281</f>
        <v>Montreux</v>
      </c>
      <c r="C279" s="95">
        <f>'B) D RI'!U281</f>
        <v>1097840.7322767281</v>
      </c>
      <c r="D279" s="431">
        <f>'E) Fact soc'!G285/C279</f>
        <v>26.329992210142276</v>
      </c>
      <c r="E279" s="137">
        <f>'H) Péréquation directe'!I290/C279</f>
        <v>-0.16705743652648616</v>
      </c>
      <c r="F279" s="110">
        <f>+'I) Dépenses thématiques'!O279/'J) Plafonnement effort'!C279</f>
        <v>-6.2358082748737136</v>
      </c>
      <c r="G279" s="137">
        <f t="shared" si="17"/>
        <v>19.927126498742076</v>
      </c>
      <c r="H279" s="432">
        <f>G279-'C) Prél. conj.'!I279</f>
        <v>9.0007368528381733</v>
      </c>
      <c r="I279" s="436">
        <f t="shared" si="18"/>
        <v>0</v>
      </c>
      <c r="J279" s="55">
        <f t="shared" si="19"/>
        <v>0</v>
      </c>
      <c r="K279" s="432">
        <f t="shared" si="20"/>
        <v>9.0007368528381733</v>
      </c>
    </row>
    <row r="280" spans="1:11" x14ac:dyDescent="0.25">
      <c r="A280" s="49">
        <f>'A) Base RI'!A282</f>
        <v>5888</v>
      </c>
      <c r="B280" s="294" t="str">
        <f>'A) Base RI'!B282</f>
        <v>Saint-Légier-La Chiésaz</v>
      </c>
      <c r="C280" s="95">
        <f>'B) D RI'!U282</f>
        <v>314313.56949265295</v>
      </c>
      <c r="D280" s="431">
        <f>'E) Fact soc'!G286/C280</f>
        <v>22.959818978593095</v>
      </c>
      <c r="E280" s="137">
        <f>'H) Péréquation directe'!I291/C280</f>
        <v>14.129254332032119</v>
      </c>
      <c r="F280" s="110">
        <f>+'I) Dépenses thématiques'!O280/'J) Plafonnement effort'!C280</f>
        <v>-1.8146266348858466</v>
      </c>
      <c r="G280" s="137">
        <f t="shared" si="17"/>
        <v>35.274446675739362</v>
      </c>
      <c r="H280" s="432">
        <f>G280-'C) Prél. conj.'!I280</f>
        <v>32.154533298843546</v>
      </c>
      <c r="I280" s="436">
        <f t="shared" si="18"/>
        <v>0</v>
      </c>
      <c r="J280" s="55">
        <f t="shared" si="19"/>
        <v>0</v>
      </c>
      <c r="K280" s="432">
        <f t="shared" si="20"/>
        <v>32.154533298843546</v>
      </c>
    </row>
    <row r="281" spans="1:11" x14ac:dyDescent="0.25">
      <c r="A281" s="49">
        <f>'A) Base RI'!A283</f>
        <v>5889</v>
      </c>
      <c r="B281" s="294" t="str">
        <f>'A) Base RI'!B283</f>
        <v>La Tour-de-Peilz</v>
      </c>
      <c r="C281" s="95">
        <f>'B) D RI'!U283</f>
        <v>638439.35310298624</v>
      </c>
      <c r="D281" s="431">
        <f>'E) Fact soc'!G287/C281</f>
        <v>23.97126554032635</v>
      </c>
      <c r="E281" s="137">
        <f>'H) Péréquation directe'!I292/C281</f>
        <v>9.8529472782477114</v>
      </c>
      <c r="F281" s="110">
        <f>+'I) Dépenses thématiques'!O281/'J) Plafonnement effort'!C281</f>
        <v>0</v>
      </c>
      <c r="G281" s="137">
        <f t="shared" si="17"/>
        <v>33.824212818574061</v>
      </c>
      <c r="H281" s="432">
        <f>G281-'C) Prél. conj.'!I281</f>
        <v>27.388101620182489</v>
      </c>
      <c r="I281" s="436">
        <f t="shared" si="18"/>
        <v>0</v>
      </c>
      <c r="J281" s="55">
        <f t="shared" si="19"/>
        <v>0</v>
      </c>
      <c r="K281" s="432">
        <f t="shared" si="20"/>
        <v>27.388101620182489</v>
      </c>
    </row>
    <row r="282" spans="1:11" x14ac:dyDescent="0.25">
      <c r="A282" s="49">
        <f>'A) Base RI'!A284</f>
        <v>5890</v>
      </c>
      <c r="B282" s="294" t="str">
        <f>'A) Base RI'!B284</f>
        <v>Vevey</v>
      </c>
      <c r="C282" s="95">
        <f>'B) D RI'!U284</f>
        <v>913497.60631978849</v>
      </c>
      <c r="D282" s="431">
        <f>'E) Fact soc'!G288/C282</f>
        <v>19.931253857937087</v>
      </c>
      <c r="E282" s="137">
        <f>'H) Péréquation directe'!I293/C282</f>
        <v>3.9615213285129296</v>
      </c>
      <c r="F282" s="110">
        <f>+'I) Dépenses thématiques'!O282/'J) Plafonnement effort'!C282</f>
        <v>-3.4993444857700617</v>
      </c>
      <c r="G282" s="137">
        <f t="shared" si="17"/>
        <v>20.393430700679954</v>
      </c>
      <c r="H282" s="432">
        <f>G282-'C) Prél. conj.'!I282</f>
        <v>16.220097006507782</v>
      </c>
      <c r="I282" s="436">
        <f t="shared" si="18"/>
        <v>0</v>
      </c>
      <c r="J282" s="55">
        <f t="shared" si="19"/>
        <v>0</v>
      </c>
      <c r="K282" s="432">
        <f t="shared" si="20"/>
        <v>16.220097006507782</v>
      </c>
    </row>
    <row r="283" spans="1:11" x14ac:dyDescent="0.25">
      <c r="A283" s="49">
        <f>'A) Base RI'!A285</f>
        <v>5891</v>
      </c>
      <c r="B283" s="294" t="str">
        <f>'A) Base RI'!B285</f>
        <v>Veytaux</v>
      </c>
      <c r="C283" s="95">
        <f>'B) D RI'!U285</f>
        <v>36119.381724012419</v>
      </c>
      <c r="D283" s="431">
        <f>'E) Fact soc'!G289/C283</f>
        <v>27.427540385723177</v>
      </c>
      <c r="E283" s="137">
        <f>'H) Péréquation directe'!I294/C283</f>
        <v>15.280445237060995</v>
      </c>
      <c r="F283" s="110">
        <f>+'I) Dépenses thématiques'!O283/'J) Plafonnement effort'!C283</f>
        <v>-13.489711574966506</v>
      </c>
      <c r="G283" s="137">
        <f t="shared" si="17"/>
        <v>29.218274047817665</v>
      </c>
      <c r="H283" s="432">
        <f>G283-'C) Prél. conj.'!I283</f>
        <v>17.194336226332862</v>
      </c>
      <c r="I283" s="436">
        <f t="shared" si="18"/>
        <v>0</v>
      </c>
      <c r="J283" s="55">
        <f t="shared" si="19"/>
        <v>0</v>
      </c>
      <c r="K283" s="432">
        <f t="shared" si="20"/>
        <v>17.194336226332862</v>
      </c>
    </row>
    <row r="284" spans="1:11" x14ac:dyDescent="0.25">
      <c r="A284" s="49">
        <f>'A) Base RI'!A286</f>
        <v>5902</v>
      </c>
      <c r="B284" s="294" t="str">
        <f>'A) Base RI'!B286</f>
        <v>Belmont-sur-Yverdon</v>
      </c>
      <c r="C284" s="95">
        <f>'B) D RI'!U286</f>
        <v>10311.765900330549</v>
      </c>
      <c r="D284" s="431">
        <f>'E) Fact soc'!G290/C284</f>
        <v>15.465371809793066</v>
      </c>
      <c r="E284" s="137">
        <f>'H) Péréquation directe'!I295/C284</f>
        <v>0.26107283579720042</v>
      </c>
      <c r="F284" s="110">
        <f>+'I) Dépenses thématiques'!O284/'J) Plafonnement effort'!C284</f>
        <v>-0.71364770128858224</v>
      </c>
      <c r="G284" s="137">
        <f t="shared" si="17"/>
        <v>15.012796944301684</v>
      </c>
      <c r="H284" s="432">
        <f>G284-'C) Prél. conj.'!I284</f>
        <v>14.951027698746993</v>
      </c>
      <c r="I284" s="436">
        <f t="shared" si="18"/>
        <v>0</v>
      </c>
      <c r="J284" s="55">
        <f t="shared" si="19"/>
        <v>0</v>
      </c>
      <c r="K284" s="432">
        <f t="shared" si="20"/>
        <v>14.951027698746993</v>
      </c>
    </row>
    <row r="285" spans="1:11" x14ac:dyDescent="0.25">
      <c r="A285" s="49">
        <f>'A) Base RI'!A287</f>
        <v>5903</v>
      </c>
      <c r="B285" s="294" t="str">
        <f>'A) Base RI'!B287</f>
        <v>Bioley-Magnoux</v>
      </c>
      <c r="C285" s="95">
        <f>'B) D RI'!U287</f>
        <v>5438.478399120967</v>
      </c>
      <c r="D285" s="431">
        <f>'E) Fact soc'!G291/C285</f>
        <v>18.294880941392822</v>
      </c>
      <c r="E285" s="137">
        <f>'H) Péréquation directe'!I296/C285</f>
        <v>-3.4905846899178781</v>
      </c>
      <c r="F285" s="110">
        <f>+'I) Dépenses thématiques'!O285/'J) Plafonnement effort'!C285</f>
        <v>-42.196324611459069</v>
      </c>
      <c r="G285" s="137">
        <f t="shared" si="17"/>
        <v>-27.392028359984124</v>
      </c>
      <c r="H285" s="432">
        <f>G285-'C) Prél. conj.'!I285</f>
        <v>-30.283306737138574</v>
      </c>
      <c r="I285" s="436">
        <f t="shared" si="18"/>
        <v>0</v>
      </c>
      <c r="J285" s="55">
        <f t="shared" si="19"/>
        <v>0</v>
      </c>
      <c r="K285" s="432">
        <f t="shared" si="20"/>
        <v>-30.283306737138574</v>
      </c>
    </row>
    <row r="286" spans="1:11" x14ac:dyDescent="0.25">
      <c r="A286" s="49">
        <f>'A) Base RI'!A288</f>
        <v>5904</v>
      </c>
      <c r="B286" s="294" t="str">
        <f>'A) Base RI'!B288</f>
        <v>Chamblon</v>
      </c>
      <c r="C286" s="95">
        <f>'B) D RI'!U288</f>
        <v>19974.80164727481</v>
      </c>
      <c r="D286" s="431">
        <f>'E) Fact soc'!G292/C286</f>
        <v>17.131088053672894</v>
      </c>
      <c r="E286" s="137">
        <f>'H) Péréquation directe'!I297/C286</f>
        <v>13.14756804389326</v>
      </c>
      <c r="F286" s="110">
        <f>+'I) Dépenses thématiques'!O286/'J) Plafonnement effort'!C286</f>
        <v>0</v>
      </c>
      <c r="G286" s="137">
        <f t="shared" si="17"/>
        <v>30.278656097566156</v>
      </c>
      <c r="H286" s="432">
        <f>G286-'C) Prél. conj.'!I286</f>
        <v>28.551170608131635</v>
      </c>
      <c r="I286" s="436">
        <f t="shared" si="18"/>
        <v>0</v>
      </c>
      <c r="J286" s="55">
        <f t="shared" si="19"/>
        <v>0</v>
      </c>
      <c r="K286" s="432">
        <f t="shared" si="20"/>
        <v>28.551170608131635</v>
      </c>
    </row>
    <row r="287" spans="1:11" x14ac:dyDescent="0.25">
      <c r="A287" s="49">
        <f>'A) Base RI'!A289</f>
        <v>5905</v>
      </c>
      <c r="B287" s="294" t="str">
        <f>'A) Base RI'!B289</f>
        <v>Champvent</v>
      </c>
      <c r="C287" s="95">
        <f>'B) D RI'!U289</f>
        <v>22958.275896270283</v>
      </c>
      <c r="D287" s="431">
        <f>'E) Fact soc'!G293/C287</f>
        <v>17.170589997584376</v>
      </c>
      <c r="E287" s="137">
        <f>'H) Péréquation directe'!I298/C287</f>
        <v>9.79260108522144</v>
      </c>
      <c r="F287" s="110">
        <f>+'I) Dépenses thématiques'!O287/'J) Plafonnement effort'!C287</f>
        <v>-1.2910940913419295</v>
      </c>
      <c r="G287" s="137">
        <f t="shared" si="17"/>
        <v>25.672096991463885</v>
      </c>
      <c r="H287" s="432">
        <f>G287-'C) Prél. conj.'!I287</f>
        <v>23.905109558117882</v>
      </c>
      <c r="I287" s="436">
        <f t="shared" si="18"/>
        <v>0</v>
      </c>
      <c r="J287" s="55">
        <f t="shared" si="19"/>
        <v>0</v>
      </c>
      <c r="K287" s="432">
        <f t="shared" si="20"/>
        <v>23.905109558117882</v>
      </c>
    </row>
    <row r="288" spans="1:11" x14ac:dyDescent="0.25">
      <c r="A288" s="49">
        <f>'A) Base RI'!A290</f>
        <v>5907</v>
      </c>
      <c r="B288" s="294" t="str">
        <f>'A) Base RI'!B290</f>
        <v>Chavannes-le-Chêne</v>
      </c>
      <c r="C288" s="95">
        <f>'B) D RI'!U290</f>
        <v>8069.3635983781451</v>
      </c>
      <c r="D288" s="431">
        <f>'E) Fact soc'!G294/C288</f>
        <v>16.432760551575704</v>
      </c>
      <c r="E288" s="137">
        <f>'H) Péréquation directe'!I299/C288</f>
        <v>-1.6832981147269086</v>
      </c>
      <c r="F288" s="110">
        <f>+'I) Dépenses thématiques'!O288/'J) Plafonnement effort'!C288</f>
        <v>-7.5512229074278112</v>
      </c>
      <c r="G288" s="137">
        <f t="shared" si="17"/>
        <v>7.1982395294209836</v>
      </c>
      <c r="H288" s="432">
        <f>G288-'C) Prél. conj.'!I288</f>
        <v>6.1690815420836493</v>
      </c>
      <c r="I288" s="436">
        <f t="shared" si="18"/>
        <v>0</v>
      </c>
      <c r="J288" s="55">
        <f t="shared" si="19"/>
        <v>0</v>
      </c>
      <c r="K288" s="432">
        <f t="shared" si="20"/>
        <v>6.1690815420836493</v>
      </c>
    </row>
    <row r="289" spans="1:11" x14ac:dyDescent="0.25">
      <c r="A289" s="49">
        <f>'A) Base RI'!A291</f>
        <v>5908</v>
      </c>
      <c r="B289" s="294" t="str">
        <f>'A) Base RI'!B291</f>
        <v>Chêne-Pâquier</v>
      </c>
      <c r="C289" s="95">
        <f>'B) D RI'!U291</f>
        <v>3150.4766446398044</v>
      </c>
      <c r="D289" s="431">
        <f>'E) Fact soc'!G295/C289</f>
        <v>28.099835392389725</v>
      </c>
      <c r="E289" s="137">
        <f>'H) Péréquation directe'!I300/C289</f>
        <v>-10.276075174198203</v>
      </c>
      <c r="F289" s="110">
        <f>+'I) Dépenses thématiques'!O289/'J) Plafonnement effort'!C289</f>
        <v>-3.9987886732305014</v>
      </c>
      <c r="G289" s="137">
        <f t="shared" si="17"/>
        <v>13.824971544961022</v>
      </c>
      <c r="H289" s="432">
        <f>G289-'C) Prél. conj.'!I289</f>
        <v>1.1287387168096696</v>
      </c>
      <c r="I289" s="436">
        <f t="shared" si="18"/>
        <v>0</v>
      </c>
      <c r="J289" s="55">
        <f t="shared" si="19"/>
        <v>0</v>
      </c>
      <c r="K289" s="432">
        <f t="shared" si="20"/>
        <v>1.1287387168096696</v>
      </c>
    </row>
    <row r="290" spans="1:11" x14ac:dyDescent="0.25">
      <c r="A290" s="49">
        <f>'A) Base RI'!A292</f>
        <v>5909</v>
      </c>
      <c r="B290" s="294" t="str">
        <f>'A) Base RI'!B292</f>
        <v>Cheseaux-Noréaz</v>
      </c>
      <c r="C290" s="95">
        <f>'B) D RI'!U292</f>
        <v>32363.863960310864</v>
      </c>
      <c r="D290" s="431">
        <f>'E) Fact soc'!G296/C290</f>
        <v>18.181854612744253</v>
      </c>
      <c r="E290" s="137">
        <f>'H) Péréquation directe'!I301/C290</f>
        <v>17.500571683118089</v>
      </c>
      <c r="F290" s="110">
        <f>+'I) Dépenses thématiques'!O290/'J) Plafonnement effort'!C290</f>
        <v>-2.3363471068535229</v>
      </c>
      <c r="G290" s="137">
        <f t="shared" si="17"/>
        <v>33.346079189008819</v>
      </c>
      <c r="H290" s="432">
        <f>G290-'C) Prél. conj.'!I290</f>
        <v>30.587202958732441</v>
      </c>
      <c r="I290" s="436">
        <f t="shared" si="18"/>
        <v>0</v>
      </c>
      <c r="J290" s="55">
        <f t="shared" si="19"/>
        <v>0</v>
      </c>
      <c r="K290" s="432">
        <f t="shared" si="20"/>
        <v>30.587202958732441</v>
      </c>
    </row>
    <row r="291" spans="1:11" x14ac:dyDescent="0.25">
      <c r="A291" s="49">
        <f>'A) Base RI'!A293</f>
        <v>5910</v>
      </c>
      <c r="B291" s="294" t="str">
        <f>'A) Base RI'!B293</f>
        <v>Cronay</v>
      </c>
      <c r="C291" s="95">
        <f>'B) D RI'!U293</f>
        <v>9609.1535349412279</v>
      </c>
      <c r="D291" s="431">
        <f>'E) Fact soc'!G297/C291</f>
        <v>16.85359500627143</v>
      </c>
      <c r="E291" s="137">
        <f>'H) Péréquation directe'!I302/C291</f>
        <v>-4.4741764545703813</v>
      </c>
      <c r="F291" s="110">
        <f>+'I) Dépenses thématiques'!O291/'J) Plafonnement effort'!C291</f>
        <v>-9.293260933475354</v>
      </c>
      <c r="G291" s="137">
        <f t="shared" si="17"/>
        <v>3.0861576182256947</v>
      </c>
      <c r="H291" s="432">
        <f>G291-'C) Prél. conj.'!I291</f>
        <v>1.636165176192639</v>
      </c>
      <c r="I291" s="436">
        <f t="shared" si="18"/>
        <v>0</v>
      </c>
      <c r="J291" s="55">
        <f t="shared" si="19"/>
        <v>0</v>
      </c>
      <c r="K291" s="432">
        <f t="shared" si="20"/>
        <v>1.636165176192639</v>
      </c>
    </row>
    <row r="292" spans="1:11" x14ac:dyDescent="0.25">
      <c r="A292" s="49">
        <f>'A) Base RI'!A294</f>
        <v>5911</v>
      </c>
      <c r="B292" s="294" t="str">
        <f>'A) Base RI'!B294</f>
        <v>Cuarny</v>
      </c>
      <c r="C292" s="95">
        <f>'B) D RI'!U294</f>
        <v>6836.3467697278311</v>
      </c>
      <c r="D292" s="431">
        <f>'E) Fact soc'!G298/C292</f>
        <v>19.614324455566017</v>
      </c>
      <c r="E292" s="137">
        <f>'H) Péréquation directe'!I303/C292</f>
        <v>1.1192313898167132</v>
      </c>
      <c r="F292" s="110">
        <f>+'I) Dépenses thématiques'!O292/'J) Plafonnement effort'!C292</f>
        <v>-15.83013098713961</v>
      </c>
      <c r="G292" s="137">
        <f t="shared" si="17"/>
        <v>4.9034248582431221</v>
      </c>
      <c r="H292" s="432">
        <f>G292-'C) Prél. conj.'!I292</f>
        <v>0.69270296691547895</v>
      </c>
      <c r="I292" s="436">
        <f t="shared" si="18"/>
        <v>0</v>
      </c>
      <c r="J292" s="55">
        <f t="shared" si="19"/>
        <v>0</v>
      </c>
      <c r="K292" s="432">
        <f t="shared" si="20"/>
        <v>0.69270296691547895</v>
      </c>
    </row>
    <row r="293" spans="1:11" x14ac:dyDescent="0.25">
      <c r="A293" s="49">
        <f>'A) Base RI'!A295</f>
        <v>5912</v>
      </c>
      <c r="B293" s="294" t="str">
        <f>'A) Base RI'!B295</f>
        <v>Démoret</v>
      </c>
      <c r="C293" s="95">
        <f>'B) D RI'!U295</f>
        <v>3133.4473385194956</v>
      </c>
      <c r="D293" s="431">
        <f>'E) Fact soc'!G299/C293</f>
        <v>15.403602564238371</v>
      </c>
      <c r="E293" s="137">
        <f>'H) Péréquation directe'!I304/C293</f>
        <v>-11.871195351057978</v>
      </c>
      <c r="F293" s="110">
        <f>+'I) Dépenses thématiques'!O293/'J) Plafonnement effort'!C293</f>
        <v>-18.037113491868066</v>
      </c>
      <c r="G293" s="137">
        <f t="shared" si="17"/>
        <v>-14.504706278687673</v>
      </c>
      <c r="H293" s="432">
        <f>G293-'C) Prél. conj.'!I293</f>
        <v>-14.504706278687673</v>
      </c>
      <c r="I293" s="436">
        <f t="shared" si="18"/>
        <v>0</v>
      </c>
      <c r="J293" s="55">
        <f t="shared" si="19"/>
        <v>0</v>
      </c>
      <c r="K293" s="432">
        <f t="shared" si="20"/>
        <v>-14.504706278687673</v>
      </c>
    </row>
    <row r="294" spans="1:11" x14ac:dyDescent="0.25">
      <c r="A294" s="49">
        <f>'A) Base RI'!A296</f>
        <v>5913</v>
      </c>
      <c r="B294" s="294" t="str">
        <f>'A) Base RI'!B296</f>
        <v>Donneloye</v>
      </c>
      <c r="C294" s="95">
        <f>'B) D RI'!U296</f>
        <v>20110.628715820858</v>
      </c>
      <c r="D294" s="431">
        <f>'E) Fact soc'!G300/C294</f>
        <v>19.399199426746517</v>
      </c>
      <c r="E294" s="137">
        <f>'H) Péréquation directe'!I305/C294</f>
        <v>-1.7611838676718634</v>
      </c>
      <c r="F294" s="110">
        <f>+'I) Dépenses thématiques'!O294/'J) Plafonnement effort'!C294</f>
        <v>-2.1408756976505336</v>
      </c>
      <c r="G294" s="137">
        <f t="shared" si="17"/>
        <v>15.497139861424118</v>
      </c>
      <c r="H294" s="432">
        <f>G294-'C) Prél. conj.'!I294</f>
        <v>11.501542998915975</v>
      </c>
      <c r="I294" s="436">
        <f t="shared" si="18"/>
        <v>0</v>
      </c>
      <c r="J294" s="55">
        <f t="shared" si="19"/>
        <v>0</v>
      </c>
      <c r="K294" s="432">
        <f t="shared" si="20"/>
        <v>11.501542998915975</v>
      </c>
    </row>
    <row r="295" spans="1:11" x14ac:dyDescent="0.25">
      <c r="A295" s="49">
        <f>'A) Base RI'!A297</f>
        <v>5914</v>
      </c>
      <c r="B295" s="294" t="str">
        <f>'A) Base RI'!B297</f>
        <v>Ependes</v>
      </c>
      <c r="C295" s="95">
        <f>'B) D RI'!U297</f>
        <v>9482.8279280120751</v>
      </c>
      <c r="D295" s="431">
        <f>'E) Fact soc'!G301/C295</f>
        <v>17.396565016311662</v>
      </c>
      <c r="E295" s="137">
        <f>'H) Péréquation directe'!I306/C295</f>
        <v>-0.15377978243811599</v>
      </c>
      <c r="F295" s="110">
        <f>+'I) Dépenses thématiques'!O295/'J) Plafonnement effort'!C295</f>
        <v>-4.8159845592008059</v>
      </c>
      <c r="G295" s="137">
        <f t="shared" si="17"/>
        <v>12.426800674672741</v>
      </c>
      <c r="H295" s="432">
        <f>G295-'C) Prél. conj.'!I295</f>
        <v>10.433838222599453</v>
      </c>
      <c r="I295" s="436">
        <f t="shared" si="18"/>
        <v>0</v>
      </c>
      <c r="J295" s="55">
        <f t="shared" si="19"/>
        <v>0</v>
      </c>
      <c r="K295" s="432">
        <f t="shared" si="20"/>
        <v>10.433838222599453</v>
      </c>
    </row>
    <row r="296" spans="1:11" x14ac:dyDescent="0.25">
      <c r="A296" s="49">
        <f>'A) Base RI'!A298</f>
        <v>5919</v>
      </c>
      <c r="B296" s="294" t="str">
        <f>'A) Base RI'!B298</f>
        <v>Mathod</v>
      </c>
      <c r="C296" s="95">
        <f>'B) D RI'!U298</f>
        <v>17110.918111251427</v>
      </c>
      <c r="D296" s="431">
        <f>'E) Fact soc'!G302/C296</f>
        <v>21.67851804813624</v>
      </c>
      <c r="E296" s="137">
        <f>'H) Péréquation directe'!I307/C296</f>
        <v>3.4421857753419811</v>
      </c>
      <c r="F296" s="110">
        <f>+'I) Dépenses thématiques'!O296/'J) Plafonnement effort'!C296</f>
        <v>-3.6825851857492506</v>
      </c>
      <c r="G296" s="137">
        <f t="shared" si="17"/>
        <v>21.438118637728973</v>
      </c>
      <c r="H296" s="432">
        <f>G296-'C) Prél. conj.'!I296</f>
        <v>15.163203153831107</v>
      </c>
      <c r="I296" s="436">
        <f t="shared" si="18"/>
        <v>0</v>
      </c>
      <c r="J296" s="55">
        <f t="shared" si="19"/>
        <v>0</v>
      </c>
      <c r="K296" s="432">
        <f t="shared" si="20"/>
        <v>15.163203153831107</v>
      </c>
    </row>
    <row r="297" spans="1:11" x14ac:dyDescent="0.25">
      <c r="A297" s="49">
        <f>'A) Base RI'!A299</f>
        <v>5921</v>
      </c>
      <c r="B297" s="294" t="str">
        <f>'A) Base RI'!B299</f>
        <v>Molondin</v>
      </c>
      <c r="C297" s="95">
        <f>'B) D RI'!U299</f>
        <v>5222.6425850785827</v>
      </c>
      <c r="D297" s="431">
        <f>'E) Fact soc'!G303/C297</f>
        <v>17.490075039137025</v>
      </c>
      <c r="E297" s="137">
        <f>'H) Péréquation directe'!I308/C297</f>
        <v>-11.868626436489736</v>
      </c>
      <c r="F297" s="110">
        <f>+'I) Dépenses thématiques'!O297/'J) Plafonnement effort'!C297</f>
        <v>-8.1406815282160636</v>
      </c>
      <c r="G297" s="137">
        <f t="shared" si="17"/>
        <v>-2.5192329255687742</v>
      </c>
      <c r="H297" s="432">
        <f>G297-'C) Prél. conj.'!I297</f>
        <v>-4.6057054004674249</v>
      </c>
      <c r="I297" s="436">
        <f t="shared" si="18"/>
        <v>0</v>
      </c>
      <c r="J297" s="55">
        <f t="shared" si="19"/>
        <v>0</v>
      </c>
      <c r="K297" s="432">
        <f t="shared" si="20"/>
        <v>-4.6057054004674249</v>
      </c>
    </row>
    <row r="298" spans="1:11" x14ac:dyDescent="0.25">
      <c r="A298" s="49">
        <f>'A) Base RI'!A300</f>
        <v>5922</v>
      </c>
      <c r="B298" s="294" t="str">
        <f>'A) Base RI'!B300</f>
        <v>Montagny-près-Yverdon</v>
      </c>
      <c r="C298" s="95">
        <f>'B) D RI'!U300</f>
        <v>35584.669450199006</v>
      </c>
      <c r="D298" s="431">
        <f>'E) Fact soc'!G304/C298</f>
        <v>23.120955846879536</v>
      </c>
      <c r="E298" s="137">
        <f>'H) Péréquation directe'!I309/C298</f>
        <v>17.692711328745755</v>
      </c>
      <c r="F298" s="110">
        <f>+'I) Dépenses thématiques'!O298/'J) Plafonnement effort'!C298</f>
        <v>-5.3046894418840145</v>
      </c>
      <c r="G298" s="137">
        <f t="shared" si="17"/>
        <v>35.508977733741276</v>
      </c>
      <c r="H298" s="432">
        <f>G298-'C) Prél. conj.'!I298</f>
        <v>28.706241787611916</v>
      </c>
      <c r="I298" s="436">
        <f t="shared" si="18"/>
        <v>0</v>
      </c>
      <c r="J298" s="55">
        <f t="shared" si="19"/>
        <v>0</v>
      </c>
      <c r="K298" s="432">
        <f t="shared" si="20"/>
        <v>28.706241787611916</v>
      </c>
    </row>
    <row r="299" spans="1:11" x14ac:dyDescent="0.25">
      <c r="A299" s="49">
        <f>'A) Base RI'!A301</f>
        <v>5923</v>
      </c>
      <c r="B299" s="294" t="str">
        <f>'A) Base RI'!B301</f>
        <v>Oppens</v>
      </c>
      <c r="C299" s="95">
        <f>'B) D RI'!U301</f>
        <v>5170.8107520197709</v>
      </c>
      <c r="D299" s="431">
        <f>'E) Fact soc'!G305/C299</f>
        <v>18.628353149721846</v>
      </c>
      <c r="E299" s="137">
        <f>'H) Péréquation directe'!I310/C299</f>
        <v>-2.6901039476919415</v>
      </c>
      <c r="F299" s="110">
        <f>+'I) Dépenses thématiques'!O299/'J) Plafonnement effort'!C299</f>
        <v>-8.3349389814554478</v>
      </c>
      <c r="G299" s="137">
        <f t="shared" si="17"/>
        <v>7.6033102205744569</v>
      </c>
      <c r="H299" s="432">
        <f>G299-'C) Prél. conj.'!I299</f>
        <v>4.3785596350909826</v>
      </c>
      <c r="I299" s="436">
        <f t="shared" si="18"/>
        <v>0</v>
      </c>
      <c r="J299" s="55">
        <f t="shared" si="19"/>
        <v>0</v>
      </c>
      <c r="K299" s="432">
        <f t="shared" si="20"/>
        <v>4.3785596350909826</v>
      </c>
    </row>
    <row r="300" spans="1:11" x14ac:dyDescent="0.25">
      <c r="A300" s="49">
        <f>'A) Base RI'!A302</f>
        <v>5924</v>
      </c>
      <c r="B300" s="294" t="str">
        <f>'A) Base RI'!B302</f>
        <v>Orges</v>
      </c>
      <c r="C300" s="95">
        <f>'B) D RI'!U302</f>
        <v>10275.510319946678</v>
      </c>
      <c r="D300" s="431">
        <f>'E) Fact soc'!G306/C300</f>
        <v>17.531108091390962</v>
      </c>
      <c r="E300" s="137">
        <f>'H) Péréquation directe'!I311/C300</f>
        <v>6.4861809952207352</v>
      </c>
      <c r="F300" s="110">
        <f>+'I) Dépenses thématiques'!O300/'J) Plafonnement effort'!C300</f>
        <v>-4.0817546864624576E-2</v>
      </c>
      <c r="G300" s="137">
        <f t="shared" si="17"/>
        <v>23.976471539747074</v>
      </c>
      <c r="H300" s="432">
        <f>G300-'C) Prél. conj.'!I300</f>
        <v>21.848966012594488</v>
      </c>
      <c r="I300" s="436">
        <f t="shared" si="18"/>
        <v>0</v>
      </c>
      <c r="J300" s="55">
        <f t="shared" si="19"/>
        <v>0</v>
      </c>
      <c r="K300" s="432">
        <f t="shared" si="20"/>
        <v>21.848966012594488</v>
      </c>
    </row>
    <row r="301" spans="1:11" x14ac:dyDescent="0.25">
      <c r="A301" s="49">
        <f>'A) Base RI'!A303</f>
        <v>5925</v>
      </c>
      <c r="B301" s="294" t="str">
        <f>'A) Base RI'!B303</f>
        <v>Orzens</v>
      </c>
      <c r="C301" s="95">
        <f>'B) D RI'!U303</f>
        <v>5564.160782501971</v>
      </c>
      <c r="D301" s="431">
        <f>'E) Fact soc'!G307/C301</f>
        <v>19.930157598234835</v>
      </c>
      <c r="E301" s="137">
        <f>'H) Péréquation directe'!I312/C301</f>
        <v>1.5149967125034904</v>
      </c>
      <c r="F301" s="110">
        <f>+'I) Dépenses thématiques'!O301/'J) Plafonnement effort'!C301</f>
        <v>-2.9733553631365615</v>
      </c>
      <c r="G301" s="137">
        <f t="shared" si="17"/>
        <v>18.471798947601762</v>
      </c>
      <c r="H301" s="432">
        <f>G301-'C) Prél. conj.'!I301</f>
        <v>13.945243913605299</v>
      </c>
      <c r="I301" s="436">
        <f t="shared" si="18"/>
        <v>0</v>
      </c>
      <c r="J301" s="55">
        <f t="shared" si="19"/>
        <v>0</v>
      </c>
      <c r="K301" s="432">
        <f t="shared" si="20"/>
        <v>13.945243913605299</v>
      </c>
    </row>
    <row r="302" spans="1:11" x14ac:dyDescent="0.25">
      <c r="A302" s="49">
        <f>'A) Base RI'!A304</f>
        <v>5926</v>
      </c>
      <c r="B302" s="294" t="str">
        <f>'A) Base RI'!B304</f>
        <v>Pomy</v>
      </c>
      <c r="C302" s="95">
        <f>'B) D RI'!U304</f>
        <v>26594.76814227111</v>
      </c>
      <c r="D302" s="431">
        <f>'E) Fact soc'!G308/C302</f>
        <v>16.468357475750146</v>
      </c>
      <c r="E302" s="137">
        <f>'H) Péréquation directe'!I313/C302</f>
        <v>10.312140990029341</v>
      </c>
      <c r="F302" s="110">
        <f>+'I) Dépenses thématiques'!O302/'J) Plafonnement effort'!C302</f>
        <v>-0.46444807266743776</v>
      </c>
      <c r="G302" s="137">
        <f t="shared" si="17"/>
        <v>26.31605039311205</v>
      </c>
      <c r="H302" s="432">
        <f>G302-'C) Prél. conj.'!I302</f>
        <v>25.251295481600277</v>
      </c>
      <c r="I302" s="436">
        <f t="shared" si="18"/>
        <v>0</v>
      </c>
      <c r="J302" s="55">
        <f t="shared" si="19"/>
        <v>0</v>
      </c>
      <c r="K302" s="432">
        <f t="shared" si="20"/>
        <v>25.251295481600277</v>
      </c>
    </row>
    <row r="303" spans="1:11" x14ac:dyDescent="0.25">
      <c r="A303" s="49">
        <f>'A) Base RI'!A305</f>
        <v>5928</v>
      </c>
      <c r="B303" s="294" t="str">
        <f>'A) Base RI'!B305</f>
        <v>Rovray</v>
      </c>
      <c r="C303" s="95">
        <f>'B) D RI'!U305</f>
        <v>4332.6487869809371</v>
      </c>
      <c r="D303" s="431">
        <f>'E) Fact soc'!G309/C303</f>
        <v>18.690178675089577</v>
      </c>
      <c r="E303" s="137">
        <f>'H) Péréquation directe'!I314/C303</f>
        <v>-3.1771957671105002</v>
      </c>
      <c r="F303" s="110">
        <f>+'I) Dépenses thématiques'!O303/'J) Plafonnement effort'!C303</f>
        <v>-2.2773117868394119</v>
      </c>
      <c r="G303" s="137">
        <f t="shared" si="17"/>
        <v>13.235671121139664</v>
      </c>
      <c r="H303" s="432">
        <f>G303-'C) Prél. conj.'!I303</f>
        <v>9.9490950102884579</v>
      </c>
      <c r="I303" s="436">
        <f t="shared" si="18"/>
        <v>0</v>
      </c>
      <c r="J303" s="55">
        <f t="shared" si="19"/>
        <v>0</v>
      </c>
      <c r="K303" s="432">
        <f t="shared" si="20"/>
        <v>9.9490950102884579</v>
      </c>
    </row>
    <row r="304" spans="1:11" x14ac:dyDescent="0.25">
      <c r="A304" s="49">
        <f>'A) Base RI'!A306</f>
        <v>5929</v>
      </c>
      <c r="B304" s="294" t="str">
        <f>'A) Base RI'!B306</f>
        <v>Suchy</v>
      </c>
      <c r="C304" s="95">
        <f>'B) D RI'!U306</f>
        <v>17123.573212033476</v>
      </c>
      <c r="D304" s="431">
        <f>'E) Fact soc'!G310/C304</f>
        <v>18.254283575471263</v>
      </c>
      <c r="E304" s="137">
        <f>'H) Péréquation directe'!I315/C304</f>
        <v>4.8464037011089101</v>
      </c>
      <c r="F304" s="110">
        <f>+'I) Dépenses thématiques'!O304/'J) Plafonnement effort'!C304</f>
        <v>-0.99011029351500068</v>
      </c>
      <c r="G304" s="137">
        <f t="shared" si="17"/>
        <v>22.110576983065172</v>
      </c>
      <c r="H304" s="432">
        <f>G304-'C) Prél. conj.'!I304</f>
        <v>19.259895971832282</v>
      </c>
      <c r="I304" s="436">
        <f t="shared" si="18"/>
        <v>0</v>
      </c>
      <c r="J304" s="55">
        <f t="shared" si="19"/>
        <v>0</v>
      </c>
      <c r="K304" s="432">
        <f t="shared" si="20"/>
        <v>19.259895971832282</v>
      </c>
    </row>
    <row r="305" spans="1:14" x14ac:dyDescent="0.25">
      <c r="A305" s="49">
        <f>'A) Base RI'!A307</f>
        <v>5930</v>
      </c>
      <c r="B305" s="294" t="str">
        <f>'A) Base RI'!B307</f>
        <v>Suscévaz</v>
      </c>
      <c r="C305" s="95">
        <f>'B) D RI'!U307</f>
        <v>5845.0713540916349</v>
      </c>
      <c r="D305" s="431">
        <f>'E) Fact soc'!G311/C305</f>
        <v>20.647414511639877</v>
      </c>
      <c r="E305" s="137">
        <f>'H) Péréquation directe'!I316/C305</f>
        <v>2.6735952980625917</v>
      </c>
      <c r="F305" s="110">
        <f>+'I) Dépenses thématiques'!O305/'J) Plafonnement effort'!C305</f>
        <v>-4.9133875607277062</v>
      </c>
      <c r="G305" s="137">
        <f t="shared" si="17"/>
        <v>18.407622248974761</v>
      </c>
      <c r="H305" s="432">
        <f>G305-'C) Prél. conj.'!I305</f>
        <v>13.163810301573257</v>
      </c>
      <c r="I305" s="436">
        <f t="shared" si="18"/>
        <v>0</v>
      </c>
      <c r="J305" s="55">
        <f t="shared" si="19"/>
        <v>0</v>
      </c>
      <c r="K305" s="432">
        <f t="shared" si="20"/>
        <v>13.163810301573257</v>
      </c>
    </row>
    <row r="306" spans="1:14" x14ac:dyDescent="0.25">
      <c r="A306" s="49">
        <f>'A) Base RI'!A308</f>
        <v>5931</v>
      </c>
      <c r="B306" s="294" t="str">
        <f>'A) Base RI'!B308</f>
        <v>Treycovagnes</v>
      </c>
      <c r="C306" s="95">
        <f>'B) D RI'!U308</f>
        <v>12973.113986974873</v>
      </c>
      <c r="D306" s="431">
        <f>'E) Fact soc'!G312/C306</f>
        <v>18.064632910126047</v>
      </c>
      <c r="E306" s="137">
        <f>'H) Péréquation directe'!I317/C306</f>
        <v>0.93286022798121904</v>
      </c>
      <c r="F306" s="110">
        <f>+'I) Dépenses thématiques'!O306/'J) Plafonnement effort'!C306</f>
        <v>-0.62302374416868456</v>
      </c>
      <c r="G306" s="137">
        <f t="shared" si="17"/>
        <v>18.374469393938583</v>
      </c>
      <c r="H306" s="432">
        <f>G306-'C) Prél. conj.'!I306</f>
        <v>15.713439048050907</v>
      </c>
      <c r="I306" s="436">
        <f t="shared" si="18"/>
        <v>0</v>
      </c>
      <c r="J306" s="55">
        <f t="shared" si="19"/>
        <v>0</v>
      </c>
      <c r="K306" s="432">
        <f t="shared" si="20"/>
        <v>15.713439048050907</v>
      </c>
    </row>
    <row r="307" spans="1:14" x14ac:dyDescent="0.25">
      <c r="A307" s="49">
        <f>'A) Base RI'!A309</f>
        <v>5932</v>
      </c>
      <c r="B307" s="294" t="str">
        <f>'A) Base RI'!B309</f>
        <v>Ursins</v>
      </c>
      <c r="C307" s="95">
        <f>'B) D RI'!U309</f>
        <v>6686.217062317166</v>
      </c>
      <c r="D307" s="431">
        <f>'E) Fact soc'!G313/C307</f>
        <v>18.939817404353956</v>
      </c>
      <c r="E307" s="137">
        <f>'H) Péréquation directe'!I318/C307</f>
        <v>3.2097648750300469</v>
      </c>
      <c r="F307" s="110">
        <f>+'I) Dépenses thématiques'!O307/'J) Plafonnement effort'!C307</f>
        <v>-1.4995834283061675</v>
      </c>
      <c r="G307" s="137">
        <f t="shared" si="17"/>
        <v>20.649998851077836</v>
      </c>
      <c r="H307" s="432">
        <f>G307-'C) Prél. conj.'!I307</f>
        <v>17.113784010962249</v>
      </c>
      <c r="I307" s="436">
        <f t="shared" si="18"/>
        <v>0</v>
      </c>
      <c r="J307" s="55">
        <f t="shared" si="19"/>
        <v>0</v>
      </c>
      <c r="K307" s="432">
        <f t="shared" si="20"/>
        <v>17.113784010962249</v>
      </c>
    </row>
    <row r="308" spans="1:14" x14ac:dyDescent="0.25">
      <c r="A308" s="49">
        <f>'A) Base RI'!A310</f>
        <v>5933</v>
      </c>
      <c r="B308" s="294" t="str">
        <f>'A) Base RI'!B310</f>
        <v>Valeyres-sous-Montagny</v>
      </c>
      <c r="C308" s="95">
        <f>'B) D RI'!U310</f>
        <v>22631.763146204292</v>
      </c>
      <c r="D308" s="431">
        <f>'E) Fact soc'!G314/C308</f>
        <v>17.47400444575765</v>
      </c>
      <c r="E308" s="137">
        <f>'H) Péréquation directe'!I319/C308</f>
        <v>8.0832551788306635</v>
      </c>
      <c r="F308" s="110">
        <f>+'I) Dépenses thématiques'!O308/'J) Plafonnement effort'!C308</f>
        <v>-6.4718634399406021</v>
      </c>
      <c r="G308" s="137">
        <f t="shared" si="17"/>
        <v>19.08539618464771</v>
      </c>
      <c r="H308" s="432">
        <f>G308-'C) Prél. conj.'!I308</f>
        <v>17.014994303128432</v>
      </c>
      <c r="I308" s="436">
        <f t="shared" si="18"/>
        <v>0</v>
      </c>
      <c r="J308" s="55">
        <f t="shared" si="19"/>
        <v>0</v>
      </c>
      <c r="K308" s="432">
        <f t="shared" si="20"/>
        <v>17.014994303128432</v>
      </c>
    </row>
    <row r="309" spans="1:14" x14ac:dyDescent="0.25">
      <c r="A309" s="49">
        <f>'A) Base RI'!A311</f>
        <v>5934</v>
      </c>
      <c r="B309" s="294" t="str">
        <f>'A) Base RI'!B311</f>
        <v>Valeyres-sous-Ursins</v>
      </c>
      <c r="C309" s="95">
        <f>'B) D RI'!U311</f>
        <v>7641.8509852223033</v>
      </c>
      <c r="D309" s="431">
        <f>'E) Fact soc'!G315/C309</f>
        <v>15.587523973163767</v>
      </c>
      <c r="E309" s="137">
        <f>'H) Péréquation directe'!I320/C309</f>
        <v>7.5360610480060988</v>
      </c>
      <c r="F309" s="110">
        <f>+'I) Dépenses thématiques'!O309/'J) Plafonnement effort'!C309</f>
        <v>-0.88297422891809485</v>
      </c>
      <c r="G309" s="137">
        <f t="shared" si="17"/>
        <v>22.240610792251772</v>
      </c>
      <c r="H309" s="432">
        <f>G309-'C) Prél. conj.'!I309</f>
        <v>22.056689383326379</v>
      </c>
      <c r="I309" s="436">
        <f t="shared" si="18"/>
        <v>0</v>
      </c>
      <c r="J309" s="55">
        <f t="shared" si="19"/>
        <v>0</v>
      </c>
      <c r="K309" s="432">
        <f t="shared" si="20"/>
        <v>22.056689383326379</v>
      </c>
    </row>
    <row r="310" spans="1:14" x14ac:dyDescent="0.25">
      <c r="A310" s="49">
        <f>'A) Base RI'!A312</f>
        <v>5935</v>
      </c>
      <c r="B310" s="294" t="str">
        <f>'A) Base RI'!B312</f>
        <v>Villars-Epeney</v>
      </c>
      <c r="C310" s="95">
        <f>'B) D RI'!U312</f>
        <v>5591.3819786059366</v>
      </c>
      <c r="D310" s="431">
        <f>'E) Fact soc'!G316/C310</f>
        <v>19.216303222533988</v>
      </c>
      <c r="E310" s="137">
        <f>'H) Péréquation directe'!I321/C310</f>
        <v>18.049177593556411</v>
      </c>
      <c r="F310" s="110">
        <f>+'I) Dépenses thématiques'!O310/'J) Plafonnement effort'!C310</f>
        <v>-1.2193648745099579</v>
      </c>
      <c r="G310" s="137">
        <f t="shared" si="17"/>
        <v>36.046115941580446</v>
      </c>
      <c r="H310" s="432">
        <f>G310-'C) Prél. conj.'!I310</f>
        <v>34.841038194114525</v>
      </c>
      <c r="I310" s="436">
        <f t="shared" si="18"/>
        <v>0</v>
      </c>
      <c r="J310" s="55">
        <f t="shared" si="19"/>
        <v>0</v>
      </c>
      <c r="K310" s="432">
        <f t="shared" si="20"/>
        <v>34.841038194114525</v>
      </c>
    </row>
    <row r="311" spans="1:14" x14ac:dyDescent="0.25">
      <c r="A311" s="49">
        <f>'A) Base RI'!A313</f>
        <v>5937</v>
      </c>
      <c r="B311" s="294" t="str">
        <f>'A) Base RI'!B313</f>
        <v>Vugelles-La Mothe</v>
      </c>
      <c r="C311" s="95">
        <f>'B) D RI'!U313</f>
        <v>2402.7405651963004</v>
      </c>
      <c r="D311" s="431">
        <f>'E) Fact soc'!G317/C311</f>
        <v>19.264402242060488</v>
      </c>
      <c r="E311" s="137">
        <f>'H) Péréquation directe'!I322/C311</f>
        <v>-15.075364922483843</v>
      </c>
      <c r="F311" s="110">
        <f>+'I) Dépenses thématiques'!O311/'J) Plafonnement effort'!C311</f>
        <v>-14.945449104051121</v>
      </c>
      <c r="G311" s="137">
        <f t="shared" si="17"/>
        <v>-10.756411784474476</v>
      </c>
      <c r="H311" s="432">
        <f>G311-'C) Prél. conj.'!I311</f>
        <v>-14.61721146229659</v>
      </c>
      <c r="I311" s="436">
        <f t="shared" si="18"/>
        <v>0</v>
      </c>
      <c r="J311" s="55">
        <f t="shared" si="19"/>
        <v>0</v>
      </c>
      <c r="K311" s="432">
        <f t="shared" si="20"/>
        <v>-14.61721146229659</v>
      </c>
    </row>
    <row r="312" spans="1:14" x14ac:dyDescent="0.25">
      <c r="A312" s="49">
        <f>'A) Base RI'!A314</f>
        <v>5938</v>
      </c>
      <c r="B312" s="294" t="str">
        <f>'A) Base RI'!B314</f>
        <v>Yverdon-les-Bains</v>
      </c>
      <c r="C312" s="95">
        <f>'B) D RI'!U314</f>
        <v>748845.35601358349</v>
      </c>
      <c r="D312" s="431">
        <f>'E) Fact soc'!G318/C312</f>
        <v>20.194123105217635</v>
      </c>
      <c r="E312" s="137">
        <f>'H) Péréquation directe'!I323/C312</f>
        <v>-32.877053682982506</v>
      </c>
      <c r="F312" s="110">
        <f>+'I) Dépenses thématiques'!O312/'J) Plafonnement effort'!C312</f>
        <v>-11.406124371996432</v>
      </c>
      <c r="G312" s="137">
        <f t="shared" si="17"/>
        <v>-24.089054949761305</v>
      </c>
      <c r="H312" s="432">
        <f>G312-'C) Prél. conj.'!I312</f>
        <v>-28.879575490740567</v>
      </c>
      <c r="I312" s="436">
        <f t="shared" si="18"/>
        <v>0</v>
      </c>
      <c r="J312" s="55">
        <f t="shared" si="19"/>
        <v>0</v>
      </c>
      <c r="K312" s="432">
        <f t="shared" si="20"/>
        <v>-28.879575490740567</v>
      </c>
    </row>
    <row r="313" spans="1:14" x14ac:dyDescent="0.25">
      <c r="A313" s="49">
        <f>'A) Base RI'!A315</f>
        <v>5939</v>
      </c>
      <c r="B313" s="294" t="str">
        <f>'A) Base RI'!B315</f>
        <v>Yvonand</v>
      </c>
      <c r="C313" s="95">
        <f>'B) D RI'!U315</f>
        <v>91997.775281850787</v>
      </c>
      <c r="D313" s="431">
        <f>'E) Fact soc'!G319/C313</f>
        <v>19.211992375041977</v>
      </c>
      <c r="E313" s="137">
        <f>'H) Péréquation directe'!I324/C313</f>
        <v>-5.1716610530564662</v>
      </c>
      <c r="F313" s="110">
        <f>+'I) Dépenses thématiques'!O313/'J) Plafonnement effort'!C313</f>
        <v>-2.7103910488667613</v>
      </c>
      <c r="G313" s="137">
        <f t="shared" si="17"/>
        <v>11.32994027311875</v>
      </c>
      <c r="H313" s="432">
        <f>G313-'C) Prél. conj.'!I313</f>
        <v>7.5215504623151475</v>
      </c>
      <c r="I313" s="436">
        <f t="shared" si="18"/>
        <v>0</v>
      </c>
      <c r="J313" s="55">
        <f t="shared" si="19"/>
        <v>0</v>
      </c>
      <c r="K313" s="432">
        <f t="shared" si="20"/>
        <v>7.5215504623151475</v>
      </c>
    </row>
    <row r="314" spans="1:14" x14ac:dyDescent="0.25">
      <c r="A314" s="30"/>
      <c r="B314" s="300">
        <f>COUNTA(B5:B313)</f>
        <v>309</v>
      </c>
      <c r="C314" s="97">
        <f>SUM(C5:C313)</f>
        <v>35867536.64913179</v>
      </c>
      <c r="D314" s="109">
        <f>('E) Fact soc'!G320-'E) Fact soc'!D320)/C314</f>
        <v>18.743681666838764</v>
      </c>
      <c r="E314" s="109">
        <f>'H) Péréquation directe'!I325/C314</f>
        <v>4.7752621905133665</v>
      </c>
      <c r="F314" s="307">
        <f>'I) Dépenses thématiques'!P314</f>
        <v>-4.5000000000000027</v>
      </c>
      <c r="G314" s="109">
        <f>SUM(D314:F314)</f>
        <v>19.018943857352127</v>
      </c>
      <c r="H314" s="424">
        <f>G314-('C) Prél. conj.'!H314/'J) Plafonnement effort'!C314)</f>
        <v>14.765127589802759</v>
      </c>
      <c r="I314" s="308"/>
      <c r="J314" s="37">
        <f>SUM(J5:J313)</f>
        <v>-13491767.483091028</v>
      </c>
      <c r="K314" s="19">
        <f>G314+I314</f>
        <v>19.018943857352127</v>
      </c>
      <c r="M314" s="12"/>
      <c r="N314" s="12"/>
    </row>
    <row r="318" spans="1:14" x14ac:dyDescent="0.25">
      <c r="G318" s="28"/>
      <c r="H318" s="427"/>
      <c r="I318" s="28"/>
      <c r="J318" s="28"/>
    </row>
    <row r="320" spans="1:14" x14ac:dyDescent="0.25">
      <c r="J320" s="28"/>
    </row>
  </sheetData>
  <mergeCells count="10">
    <mergeCell ref="C3:C4"/>
    <mergeCell ref="B3:B4"/>
    <mergeCell ref="A3:A4"/>
    <mergeCell ref="K3:K4"/>
    <mergeCell ref="J3:J4"/>
    <mergeCell ref="G3:G4"/>
    <mergeCell ref="F3:F4"/>
    <mergeCell ref="E3:E4"/>
    <mergeCell ref="D3:D4"/>
    <mergeCell ref="H3:H4"/>
  </mergeCells>
  <phoneticPr fontId="0" type="noConversion"/>
  <printOptions horizontalCentered="1"/>
  <pageMargins left="0" right="0" top="0" bottom="0" header="0.51181102362204722" footer="0.51181102362204722"/>
  <pageSetup paperSize="9" scale="64"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00B050"/>
  </sheetPr>
  <dimension ref="A1:Y316"/>
  <sheetViews>
    <sheetView workbookViewId="0">
      <pane ySplit="4" topLeftCell="A229" activePane="bottomLeft" state="frozen"/>
      <selection pane="bottomLeft" activeCell="J229" sqref="J229"/>
    </sheetView>
  </sheetViews>
  <sheetFormatPr baseColWidth="10" defaultColWidth="10.75" defaultRowHeight="15" x14ac:dyDescent="0.25"/>
  <cols>
    <col min="1" max="1" width="7.25" style="13" customWidth="1"/>
    <col min="2" max="2" width="18" style="13" customWidth="1"/>
    <col min="3" max="4" width="9.25" style="13" customWidth="1"/>
    <col min="5" max="5" width="11.625" style="13" customWidth="1"/>
    <col min="6" max="6" width="11" style="13" customWidth="1"/>
    <col min="7" max="7" width="10.375" style="13" customWidth="1"/>
    <col min="8" max="8" width="12.25" style="13" customWidth="1"/>
    <col min="9" max="9" width="10" style="13" customWidth="1"/>
    <col min="10" max="10" width="12.875" style="13" customWidth="1"/>
    <col min="11" max="14" width="12.125" style="13" customWidth="1"/>
    <col min="15" max="17" width="8.125" style="13" customWidth="1"/>
    <col min="18" max="16384" width="10.75" style="13"/>
  </cols>
  <sheetData>
    <row r="1" spans="1:25" s="43" customFormat="1" ht="20.25" customHeight="1" x14ac:dyDescent="0.25">
      <c r="A1" s="51" t="s">
        <v>0</v>
      </c>
      <c r="B1" s="42"/>
      <c r="C1" s="68"/>
      <c r="D1" s="68"/>
      <c r="E1" s="68"/>
      <c r="F1" s="68"/>
      <c r="G1" s="68"/>
      <c r="H1" s="68"/>
      <c r="I1" s="68"/>
      <c r="J1" s="68"/>
      <c r="L1" s="56"/>
      <c r="N1" s="13"/>
      <c r="O1" s="13"/>
      <c r="P1" s="13"/>
      <c r="Q1" s="13"/>
      <c r="R1" s="13"/>
      <c r="Y1" s="13"/>
    </row>
    <row r="3" spans="1:25" ht="45" customHeight="1" x14ac:dyDescent="0.25">
      <c r="A3" s="501" t="s">
        <v>46</v>
      </c>
      <c r="B3" s="501" t="s">
        <v>96</v>
      </c>
      <c r="C3" s="501" t="s">
        <v>371</v>
      </c>
      <c r="D3" s="501" t="s">
        <v>93</v>
      </c>
      <c r="E3" s="501" t="s">
        <v>328</v>
      </c>
      <c r="F3" s="501" t="s">
        <v>369</v>
      </c>
      <c r="G3" s="501" t="s">
        <v>370</v>
      </c>
      <c r="H3" s="501" t="s">
        <v>411</v>
      </c>
      <c r="I3" s="112" t="s">
        <v>146</v>
      </c>
      <c r="J3" s="501" t="s">
        <v>457</v>
      </c>
    </row>
    <row r="4" spans="1:25" x14ac:dyDescent="0.25">
      <c r="A4" s="502"/>
      <c r="B4" s="503"/>
      <c r="C4" s="502"/>
      <c r="D4" s="503"/>
      <c r="E4" s="502"/>
      <c r="F4" s="503"/>
      <c r="G4" s="502"/>
      <c r="H4" s="503"/>
      <c r="I4" s="389">
        <f>Paramètres!B48</f>
        <v>-8</v>
      </c>
      <c r="J4" s="502"/>
    </row>
    <row r="5" spans="1:25" x14ac:dyDescent="0.25">
      <c r="A5" s="46">
        <f>'A) Base RI'!A7</f>
        <v>5401</v>
      </c>
      <c r="B5" s="294" t="str">
        <f>'A) Base RI'!B7</f>
        <v>Aigle</v>
      </c>
      <c r="C5" s="94">
        <f>'B) D RI'!U7</f>
        <v>264997.06649252231</v>
      </c>
      <c r="D5" s="110">
        <f>'E) Fact soc'!G11/C5</f>
        <v>19.999444797965012</v>
      </c>
      <c r="E5" s="136">
        <f>'H) Péréquation directe'!I16/C5</f>
        <v>-12.21847077651779</v>
      </c>
      <c r="F5" s="110">
        <f>+'I) Dépenses thématiques'!O5/'K) Plafonnement aide'!C5</f>
        <v>-9.3712756206552505</v>
      </c>
      <c r="G5" s="136">
        <f>SUM(D5:F5)</f>
        <v>-1.5903015992080292</v>
      </c>
      <c r="H5" s="110">
        <f>G5-F5</f>
        <v>7.7809740214472214</v>
      </c>
      <c r="I5" s="136">
        <f>IF(H5&lt;I$4,H5-I$4,0)</f>
        <v>0</v>
      </c>
      <c r="J5" s="100">
        <f t="shared" ref="J5" si="0">-I5*C5</f>
        <v>0</v>
      </c>
      <c r="K5" s="36"/>
    </row>
    <row r="6" spans="1:25" x14ac:dyDescent="0.25">
      <c r="A6" s="49">
        <f>'A) Base RI'!A8</f>
        <v>5402</v>
      </c>
      <c r="B6" s="294" t="str">
        <f>'A) Base RI'!B8</f>
        <v>Bex</v>
      </c>
      <c r="C6" s="95">
        <f>'B) D RI'!U8</f>
        <v>167576.20795633722</v>
      </c>
      <c r="D6" s="110">
        <f>'E) Fact soc'!G12/C6</f>
        <v>18.402064047093511</v>
      </c>
      <c r="E6" s="137">
        <f>'H) Péréquation directe'!I17/C6</f>
        <v>-22.005776451675121</v>
      </c>
      <c r="F6" s="110">
        <f>+'I) Dépenses thématiques'!O6/'K) Plafonnement aide'!C6</f>
        <v>-11.216161468519891</v>
      </c>
      <c r="G6" s="137">
        <f t="shared" ref="G6:G69" si="1">SUM(D6:F6)</f>
        <v>-14.819873873101502</v>
      </c>
      <c r="H6" s="110">
        <f t="shared" ref="H6:H69" si="2">G6-F6</f>
        <v>-3.6037124045816107</v>
      </c>
      <c r="I6" s="137">
        <f t="shared" ref="I6:I69" si="3">IF(H6&lt;I$4,H6-I$4,0)</f>
        <v>0</v>
      </c>
      <c r="J6" s="55">
        <f t="shared" ref="J6:J69" si="4">-I6*C6</f>
        <v>0</v>
      </c>
      <c r="K6" s="36"/>
    </row>
    <row r="7" spans="1:25" x14ac:dyDescent="0.25">
      <c r="A7" s="49">
        <f>'A) Base RI'!A9</f>
        <v>5403</v>
      </c>
      <c r="B7" s="294" t="str">
        <f>'A) Base RI'!B9</f>
        <v>Chessel</v>
      </c>
      <c r="C7" s="95">
        <f>'B) D RI'!U9</f>
        <v>10084.656029543799</v>
      </c>
      <c r="D7" s="110">
        <f>'E) Fact soc'!G13/C7</f>
        <v>18.592318164036048</v>
      </c>
      <c r="E7" s="137">
        <f>'H) Péréquation directe'!I18/C7</f>
        <v>-4.4489830664238568</v>
      </c>
      <c r="F7" s="110">
        <f>+'I) Dépenses thématiques'!O7/'K) Plafonnement aide'!C7</f>
        <v>-4.4120042378428179</v>
      </c>
      <c r="G7" s="137">
        <f t="shared" si="1"/>
        <v>9.731330859769372</v>
      </c>
      <c r="H7" s="110">
        <f t="shared" si="2"/>
        <v>14.143335097612191</v>
      </c>
      <c r="I7" s="137">
        <f t="shared" si="3"/>
        <v>0</v>
      </c>
      <c r="J7" s="55">
        <f t="shared" si="4"/>
        <v>0</v>
      </c>
      <c r="K7" s="36"/>
    </row>
    <row r="8" spans="1:25" x14ac:dyDescent="0.25">
      <c r="A8" s="49">
        <f>'A) Base RI'!A10</f>
        <v>5404</v>
      </c>
      <c r="B8" s="294" t="str">
        <f>'A) Base RI'!B10</f>
        <v>Corbeyrier</v>
      </c>
      <c r="C8" s="95">
        <f>'B) D RI'!U10</f>
        <v>11886.055583598994</v>
      </c>
      <c r="D8" s="110">
        <f>'E) Fact soc'!G14/C8</f>
        <v>18.435756060956859</v>
      </c>
      <c r="E8" s="137">
        <f>'H) Péréquation directe'!I19/C8</f>
        <v>2.980746162866915</v>
      </c>
      <c r="F8" s="110">
        <f>+'I) Dépenses thématiques'!O8/'K) Plafonnement aide'!C8</f>
        <v>-12.378584008151464</v>
      </c>
      <c r="G8" s="137">
        <f t="shared" si="1"/>
        <v>9.0379182156723097</v>
      </c>
      <c r="H8" s="110">
        <f t="shared" si="2"/>
        <v>21.416502223823773</v>
      </c>
      <c r="I8" s="137">
        <f t="shared" si="3"/>
        <v>0</v>
      </c>
      <c r="J8" s="55">
        <f t="shared" si="4"/>
        <v>0</v>
      </c>
      <c r="K8" s="36"/>
    </row>
    <row r="9" spans="1:25" x14ac:dyDescent="0.25">
      <c r="A9" s="49">
        <f>'A) Base RI'!A11</f>
        <v>5405</v>
      </c>
      <c r="B9" s="294" t="str">
        <f>'A) Base RI'!B11</f>
        <v>Gryon</v>
      </c>
      <c r="C9" s="95">
        <f>'B) D RI'!U11</f>
        <v>67043.99833693559</v>
      </c>
      <c r="D9" s="110">
        <f>'E) Fact soc'!G15/C9</f>
        <v>28.800227252811197</v>
      </c>
      <c r="E9" s="137">
        <f>'H) Péréquation directe'!I20/C9</f>
        <v>16.688493676340858</v>
      </c>
      <c r="F9" s="110">
        <f>+'I) Dépenses thématiques'!O9/'K) Plafonnement aide'!C9</f>
        <v>-11.023046743206811</v>
      </c>
      <c r="G9" s="137">
        <f t="shared" si="1"/>
        <v>34.46567418594524</v>
      </c>
      <c r="H9" s="110">
        <f t="shared" si="2"/>
        <v>45.488720929152052</v>
      </c>
      <c r="I9" s="137">
        <f t="shared" si="3"/>
        <v>0</v>
      </c>
      <c r="J9" s="55">
        <f t="shared" si="4"/>
        <v>0</v>
      </c>
      <c r="K9" s="36"/>
    </row>
    <row r="10" spans="1:25" x14ac:dyDescent="0.25">
      <c r="A10" s="49">
        <f>'A) Base RI'!A12</f>
        <v>5406</v>
      </c>
      <c r="B10" s="294" t="str">
        <f>'A) Base RI'!B12</f>
        <v>Lavey-Morcles</v>
      </c>
      <c r="C10" s="95">
        <f>'B) D RI'!U12</f>
        <v>21182.431428934582</v>
      </c>
      <c r="D10" s="110">
        <f>'E) Fact soc'!G16/C10</f>
        <v>16.593001433982156</v>
      </c>
      <c r="E10" s="137">
        <f>'H) Péréquation directe'!I21/C10</f>
        <v>-5.3772393712864872</v>
      </c>
      <c r="F10" s="110">
        <f>+'I) Dépenses thématiques'!O10/'K) Plafonnement aide'!C10</f>
        <v>-4.0580011289952944</v>
      </c>
      <c r="G10" s="137">
        <f t="shared" si="1"/>
        <v>7.1577609337003745</v>
      </c>
      <c r="H10" s="110">
        <f t="shared" si="2"/>
        <v>11.215762062695669</v>
      </c>
      <c r="I10" s="137">
        <f t="shared" si="3"/>
        <v>0</v>
      </c>
      <c r="J10" s="55">
        <f t="shared" si="4"/>
        <v>0</v>
      </c>
      <c r="K10" s="36"/>
    </row>
    <row r="11" spans="1:25" x14ac:dyDescent="0.25">
      <c r="A11" s="49">
        <f>'A) Base RI'!A13</f>
        <v>5407</v>
      </c>
      <c r="B11" s="294" t="str">
        <f>'A) Base RI'!B13</f>
        <v>Leysin</v>
      </c>
      <c r="C11" s="95">
        <f>'B) D RI'!U13</f>
        <v>87800.052646256067</v>
      </c>
      <c r="D11" s="110">
        <f>'E) Fact soc'!G17/C11</f>
        <v>17.946902576821245</v>
      </c>
      <c r="E11" s="137">
        <f>'H) Péréquation directe'!I22/C11</f>
        <v>-18.905359179739872</v>
      </c>
      <c r="F11" s="110">
        <f>+'I) Dépenses thématiques'!O11/'K) Plafonnement aide'!C11</f>
        <v>-21.488537673277225</v>
      </c>
      <c r="G11" s="137">
        <f t="shared" si="1"/>
        <v>-22.446994276195852</v>
      </c>
      <c r="H11" s="110">
        <f t="shared" si="2"/>
        <v>-0.958456602918627</v>
      </c>
      <c r="I11" s="137">
        <f t="shared" si="3"/>
        <v>0</v>
      </c>
      <c r="J11" s="55">
        <f t="shared" si="4"/>
        <v>0</v>
      </c>
      <c r="K11" s="36"/>
      <c r="L11" s="28"/>
    </row>
    <row r="12" spans="1:25" x14ac:dyDescent="0.25">
      <c r="A12" s="49">
        <f>'A) Base RI'!A14</f>
        <v>5408</v>
      </c>
      <c r="B12" s="294" t="str">
        <f>'A) Base RI'!B14</f>
        <v>Noville</v>
      </c>
      <c r="C12" s="95">
        <f>'B) D RI'!U14</f>
        <v>34485.089397525851</v>
      </c>
      <c r="D12" s="110">
        <f>'E) Fact soc'!G18/C12</f>
        <v>22.963291680738209</v>
      </c>
      <c r="E12" s="137">
        <f>'H) Péréquation directe'!I23/C12</f>
        <v>4.5691490819431113</v>
      </c>
      <c r="F12" s="110">
        <f>+'I) Dépenses thématiques'!O12/'K) Plafonnement aide'!C12</f>
        <v>-5.7865370211620677</v>
      </c>
      <c r="G12" s="137">
        <f t="shared" si="1"/>
        <v>21.74590374151925</v>
      </c>
      <c r="H12" s="110">
        <f t="shared" si="2"/>
        <v>27.532440762681318</v>
      </c>
      <c r="I12" s="137">
        <f t="shared" si="3"/>
        <v>0</v>
      </c>
      <c r="J12" s="55">
        <f t="shared" si="4"/>
        <v>0</v>
      </c>
      <c r="K12" s="36"/>
    </row>
    <row r="13" spans="1:25" x14ac:dyDescent="0.25">
      <c r="A13" s="49">
        <f>'A) Base RI'!A15</f>
        <v>5409</v>
      </c>
      <c r="B13" s="294" t="str">
        <f>'A) Base RI'!B15</f>
        <v>Ollon</v>
      </c>
      <c r="C13" s="95">
        <f>'B) D RI'!U15</f>
        <v>364239.90242657869</v>
      </c>
      <c r="D13" s="110">
        <f>'E) Fact soc'!G19/C13</f>
        <v>22.207340206623432</v>
      </c>
      <c r="E13" s="137">
        <f>'H) Péréquation directe'!I24/C13</f>
        <v>11.227275252581592</v>
      </c>
      <c r="F13" s="110">
        <f>+'I) Dépenses thématiques'!O13/'K) Plafonnement aide'!C13</f>
        <v>-6.355667326261754</v>
      </c>
      <c r="G13" s="137">
        <f t="shared" si="1"/>
        <v>27.078948132943268</v>
      </c>
      <c r="H13" s="110">
        <f t="shared" si="2"/>
        <v>33.43461545920502</v>
      </c>
      <c r="I13" s="137">
        <f t="shared" si="3"/>
        <v>0</v>
      </c>
      <c r="J13" s="55">
        <f t="shared" si="4"/>
        <v>0</v>
      </c>
      <c r="K13" s="36"/>
    </row>
    <row r="14" spans="1:25" x14ac:dyDescent="0.25">
      <c r="A14" s="49">
        <f>'A) Base RI'!A16</f>
        <v>5410</v>
      </c>
      <c r="B14" s="294" t="str">
        <f>'A) Base RI'!B16</f>
        <v>Ormont-Dessous</v>
      </c>
      <c r="C14" s="95">
        <f>'B) D RI'!U16</f>
        <v>43203.907731880769</v>
      </c>
      <c r="D14" s="110">
        <f>'E) Fact soc'!G20/C14</f>
        <v>19.138625238609208</v>
      </c>
      <c r="E14" s="137">
        <f>'H) Péréquation directe'!I25/C14</f>
        <v>12.417073962816037</v>
      </c>
      <c r="F14" s="110">
        <f>+'I) Dépenses thématiques'!O14/'K) Plafonnement aide'!C14</f>
        <v>-20.927268402533088</v>
      </c>
      <c r="G14" s="137">
        <f t="shared" si="1"/>
        <v>10.628430798892158</v>
      </c>
      <c r="H14" s="110">
        <f t="shared" si="2"/>
        <v>31.555699201425245</v>
      </c>
      <c r="I14" s="137">
        <f t="shared" si="3"/>
        <v>0</v>
      </c>
      <c r="J14" s="55">
        <f t="shared" si="4"/>
        <v>0</v>
      </c>
      <c r="K14" s="36"/>
    </row>
    <row r="15" spans="1:25" x14ac:dyDescent="0.25">
      <c r="A15" s="49">
        <f>'A) Base RI'!A17</f>
        <v>5411</v>
      </c>
      <c r="B15" s="294" t="str">
        <f>'A) Base RI'!B17</f>
        <v>Ormont-Dessus</v>
      </c>
      <c r="C15" s="95">
        <f>'B) D RI'!U17</f>
        <v>72610.798338858935</v>
      </c>
      <c r="D15" s="110">
        <f>'E) Fact soc'!G21/C15</f>
        <v>22.156162957060214</v>
      </c>
      <c r="E15" s="137">
        <f>'H) Péréquation directe'!I26/C15</f>
        <v>16.415081462209418</v>
      </c>
      <c r="F15" s="110">
        <f>+'I) Dépenses thématiques'!O15/'K) Plafonnement aide'!C15</f>
        <v>-11.710332537125787</v>
      </c>
      <c r="G15" s="137">
        <f t="shared" si="1"/>
        <v>26.860911882143846</v>
      </c>
      <c r="H15" s="110">
        <f t="shared" si="2"/>
        <v>38.571244419269632</v>
      </c>
      <c r="I15" s="137">
        <f t="shared" si="3"/>
        <v>0</v>
      </c>
      <c r="J15" s="55">
        <f t="shared" si="4"/>
        <v>0</v>
      </c>
      <c r="K15" s="36"/>
    </row>
    <row r="16" spans="1:25" x14ac:dyDescent="0.25">
      <c r="A16" s="49">
        <f>'A) Base RI'!A18</f>
        <v>5412</v>
      </c>
      <c r="B16" s="294" t="str">
        <f>'A) Base RI'!B18</f>
        <v>Rennaz</v>
      </c>
      <c r="C16" s="95">
        <f>'B) D RI'!U18</f>
        <v>26466.15780602719</v>
      </c>
      <c r="D16" s="110">
        <f>'E) Fact soc'!G22/C16</f>
        <v>32.016323920410137</v>
      </c>
      <c r="E16" s="137">
        <f>'H) Péréquation directe'!I27/C16</f>
        <v>9.1566052706187744</v>
      </c>
      <c r="F16" s="110">
        <f>+'I) Dépenses thématiques'!O16/'K) Plafonnement aide'!C16</f>
        <v>-1.3138385884586934</v>
      </c>
      <c r="G16" s="137">
        <f t="shared" si="1"/>
        <v>39.85909060257022</v>
      </c>
      <c r="H16" s="110">
        <f t="shared" si="2"/>
        <v>41.172929191028913</v>
      </c>
      <c r="I16" s="137">
        <f t="shared" si="3"/>
        <v>0</v>
      </c>
      <c r="J16" s="55">
        <f t="shared" si="4"/>
        <v>0</v>
      </c>
      <c r="K16" s="36"/>
    </row>
    <row r="17" spans="1:11" x14ac:dyDescent="0.25">
      <c r="A17" s="49">
        <f>'A) Base RI'!A19</f>
        <v>5413</v>
      </c>
      <c r="B17" s="294" t="str">
        <f>'A) Base RI'!B19</f>
        <v>Roche</v>
      </c>
      <c r="C17" s="95">
        <f>'B) D RI'!U19</f>
        <v>37990.385509658925</v>
      </c>
      <c r="D17" s="110">
        <f>'E) Fact soc'!G23/C17</f>
        <v>21.965981088578815</v>
      </c>
      <c r="E17" s="137">
        <f>'H) Péréquation directe'!I28/C17</f>
        <v>-10.258963672469624</v>
      </c>
      <c r="F17" s="110">
        <f>+'I) Dépenses thématiques'!O17/'K) Plafonnement aide'!C17</f>
        <v>-1.0066243596910498</v>
      </c>
      <c r="G17" s="137">
        <f t="shared" si="1"/>
        <v>10.70039305641814</v>
      </c>
      <c r="H17" s="110">
        <f t="shared" si="2"/>
        <v>11.707017416109188</v>
      </c>
      <c r="I17" s="137">
        <f t="shared" si="3"/>
        <v>0</v>
      </c>
      <c r="J17" s="55">
        <f t="shared" si="4"/>
        <v>0</v>
      </c>
      <c r="K17" s="36"/>
    </row>
    <row r="18" spans="1:11" x14ac:dyDescent="0.25">
      <c r="A18" s="49">
        <f>'A) Base RI'!A20</f>
        <v>5414</v>
      </c>
      <c r="B18" s="294" t="str">
        <f>'A) Base RI'!B20</f>
        <v>Villeneuve</v>
      </c>
      <c r="C18" s="95">
        <f>'B) D RI'!U20</f>
        <v>165545.36815921174</v>
      </c>
      <c r="D18" s="110">
        <f>'E) Fact soc'!G24/C18</f>
        <v>22.953085034796132</v>
      </c>
      <c r="E18" s="137">
        <f>'H) Péréquation directe'!I29/C18</f>
        <v>-4.1738244020911264</v>
      </c>
      <c r="F18" s="110">
        <f>+'I) Dépenses thématiques'!O18/'K) Plafonnement aide'!C18</f>
        <v>-11.384144198452828</v>
      </c>
      <c r="G18" s="137">
        <f t="shared" si="1"/>
        <v>7.3951164342521754</v>
      </c>
      <c r="H18" s="110">
        <f t="shared" si="2"/>
        <v>18.779260632705004</v>
      </c>
      <c r="I18" s="137">
        <f t="shared" si="3"/>
        <v>0</v>
      </c>
      <c r="J18" s="55">
        <f t="shared" si="4"/>
        <v>0</v>
      </c>
      <c r="K18" s="36"/>
    </row>
    <row r="19" spans="1:11" x14ac:dyDescent="0.25">
      <c r="A19" s="49">
        <f>'A) Base RI'!A21</f>
        <v>5415</v>
      </c>
      <c r="B19" s="294" t="str">
        <f>'A) Base RI'!B21</f>
        <v>Yvorne</v>
      </c>
      <c r="C19" s="95">
        <f>'B) D RI'!U21</f>
        <v>33364.537599401883</v>
      </c>
      <c r="D19" s="110">
        <f>'E) Fact soc'!G25/C19</f>
        <v>17.835054663890858</v>
      </c>
      <c r="E19" s="137">
        <f>'H) Péréquation directe'!I30/C19</f>
        <v>7.0627044034148199</v>
      </c>
      <c r="F19" s="110">
        <f>+'I) Dépenses thématiques'!O19/'K) Plafonnement aide'!C19</f>
        <v>-3.2319452709352832</v>
      </c>
      <c r="G19" s="137">
        <f t="shared" si="1"/>
        <v>21.665813796370394</v>
      </c>
      <c r="H19" s="110">
        <f t="shared" si="2"/>
        <v>24.897759067305678</v>
      </c>
      <c r="I19" s="137">
        <f t="shared" si="3"/>
        <v>0</v>
      </c>
      <c r="J19" s="55">
        <f t="shared" si="4"/>
        <v>0</v>
      </c>
      <c r="K19" s="36"/>
    </row>
    <row r="20" spans="1:11" x14ac:dyDescent="0.25">
      <c r="A20" s="49">
        <f>'A) Base RI'!A22</f>
        <v>5421</v>
      </c>
      <c r="B20" s="294" t="str">
        <f>'A) Base RI'!B22</f>
        <v>Apples</v>
      </c>
      <c r="C20" s="95">
        <f>'B) D RI'!U22</f>
        <v>66975.284470984901</v>
      </c>
      <c r="D20" s="110">
        <f>'E) Fact soc'!G26/C20</f>
        <v>17.147470633403138</v>
      </c>
      <c r="E20" s="137">
        <f>'H) Péréquation directe'!I31/C20</f>
        <v>15.969590877760798</v>
      </c>
      <c r="F20" s="110">
        <f>+'I) Dépenses thématiques'!O20/'K) Plafonnement aide'!C20</f>
        <v>-2.4024258502284979</v>
      </c>
      <c r="G20" s="137">
        <f t="shared" si="1"/>
        <v>30.714635660935443</v>
      </c>
      <c r="H20" s="110">
        <f t="shared" si="2"/>
        <v>33.117061511163939</v>
      </c>
      <c r="I20" s="137">
        <f t="shared" si="3"/>
        <v>0</v>
      </c>
      <c r="J20" s="55">
        <f t="shared" si="4"/>
        <v>0</v>
      </c>
      <c r="K20" s="36"/>
    </row>
    <row r="21" spans="1:11" x14ac:dyDescent="0.25">
      <c r="A21" s="49">
        <f>'A) Base RI'!A23</f>
        <v>5422</v>
      </c>
      <c r="B21" s="294" t="str">
        <f>'A) Base RI'!B23</f>
        <v>Aubonne</v>
      </c>
      <c r="C21" s="95">
        <f>'B) D RI'!U23</f>
        <v>225566.61726643931</v>
      </c>
      <c r="D21" s="110">
        <f>'E) Fact soc'!G27/C21</f>
        <v>28.410422572017342</v>
      </c>
      <c r="E21" s="137">
        <f>'H) Péréquation directe'!I32/C21</f>
        <v>16.092847989397264</v>
      </c>
      <c r="F21" s="110">
        <f>+'I) Dépenses thématiques'!O21/'K) Plafonnement aide'!C21</f>
        <v>0</v>
      </c>
      <c r="G21" s="137">
        <f t="shared" si="1"/>
        <v>44.50327056141461</v>
      </c>
      <c r="H21" s="110">
        <f t="shared" si="2"/>
        <v>44.50327056141461</v>
      </c>
      <c r="I21" s="137">
        <f t="shared" si="3"/>
        <v>0</v>
      </c>
      <c r="J21" s="55">
        <f t="shared" si="4"/>
        <v>0</v>
      </c>
      <c r="K21" s="36"/>
    </row>
    <row r="22" spans="1:11" x14ac:dyDescent="0.25">
      <c r="A22" s="49">
        <f>'A) Base RI'!A24</f>
        <v>5423</v>
      </c>
      <c r="B22" s="294" t="str">
        <f>'A) Base RI'!B24</f>
        <v>Ballens</v>
      </c>
      <c r="C22" s="95">
        <f>'B) D RI'!U24</f>
        <v>13546.834391748147</v>
      </c>
      <c r="D22" s="110">
        <f>'E) Fact soc'!G28/C22</f>
        <v>17.115076575770015</v>
      </c>
      <c r="E22" s="137">
        <f>'H) Péréquation directe'!I33/C22</f>
        <v>-1.0507330149941954</v>
      </c>
      <c r="F22" s="110">
        <f>+'I) Dépenses thématiques'!O22/'K) Plafonnement aide'!C22</f>
        <v>-7.1678127369501734</v>
      </c>
      <c r="G22" s="137">
        <f t="shared" si="1"/>
        <v>8.8965308238256444</v>
      </c>
      <c r="H22" s="110">
        <f t="shared" si="2"/>
        <v>16.064343560775818</v>
      </c>
      <c r="I22" s="137">
        <f t="shared" si="3"/>
        <v>0</v>
      </c>
      <c r="J22" s="55">
        <f t="shared" si="4"/>
        <v>0</v>
      </c>
      <c r="K22" s="36"/>
    </row>
    <row r="23" spans="1:11" x14ac:dyDescent="0.25">
      <c r="A23" s="49">
        <f>'A) Base RI'!A25</f>
        <v>5424</v>
      </c>
      <c r="B23" s="294" t="str">
        <f>'A) Base RI'!B25</f>
        <v>Berolle</v>
      </c>
      <c r="C23" s="95">
        <f>'B) D RI'!U25</f>
        <v>9307.5930888942275</v>
      </c>
      <c r="D23" s="110">
        <f>'E) Fact soc'!G29/C23</f>
        <v>15.863031222019115</v>
      </c>
      <c r="E23" s="137">
        <f>'H) Péréquation directe'!I34/C23</f>
        <v>4.8822044608581097</v>
      </c>
      <c r="F23" s="110">
        <f>+'I) Dépenses thématiques'!O23/'K) Plafonnement aide'!C23</f>
        <v>-4.0219065480730567</v>
      </c>
      <c r="G23" s="137">
        <f t="shared" si="1"/>
        <v>16.723329134804167</v>
      </c>
      <c r="H23" s="110">
        <f t="shared" si="2"/>
        <v>20.745235682877222</v>
      </c>
      <c r="I23" s="137">
        <f t="shared" si="3"/>
        <v>0</v>
      </c>
      <c r="J23" s="55">
        <f t="shared" si="4"/>
        <v>0</v>
      </c>
      <c r="K23" s="36"/>
    </row>
    <row r="24" spans="1:11" x14ac:dyDescent="0.25">
      <c r="A24" s="49">
        <f>'A) Base RI'!A26</f>
        <v>5425</v>
      </c>
      <c r="B24" s="294" t="str">
        <f>'A) Base RI'!B26</f>
        <v>Bière</v>
      </c>
      <c r="C24" s="95">
        <f>'B) D RI'!U26</f>
        <v>38506.775780608448</v>
      </c>
      <c r="D24" s="110">
        <f>'E) Fact soc'!G30/C24</f>
        <v>17.845031847635898</v>
      </c>
      <c r="E24" s="137">
        <f>'H) Péréquation directe'!I35/C24</f>
        <v>-5.0558964419000878</v>
      </c>
      <c r="F24" s="110">
        <f>+'I) Dépenses thématiques'!O24/'K) Plafonnement aide'!C24</f>
        <v>-11.688109361109476</v>
      </c>
      <c r="G24" s="137">
        <f t="shared" si="1"/>
        <v>1.1010260446263338</v>
      </c>
      <c r="H24" s="110">
        <f t="shared" si="2"/>
        <v>12.789135405735809</v>
      </c>
      <c r="I24" s="137">
        <f t="shared" si="3"/>
        <v>0</v>
      </c>
      <c r="J24" s="55">
        <f t="shared" si="4"/>
        <v>0</v>
      </c>
      <c r="K24" s="36"/>
    </row>
    <row r="25" spans="1:11" x14ac:dyDescent="0.25">
      <c r="A25" s="49">
        <f>'A) Base RI'!A27</f>
        <v>5426</v>
      </c>
      <c r="B25" s="294" t="str">
        <f>'A) Base RI'!B27</f>
        <v>Bougy-Villars</v>
      </c>
      <c r="C25" s="95">
        <f>'B) D RI'!U27</f>
        <v>50656.587213056948</v>
      </c>
      <c r="D25" s="110">
        <f>'E) Fact soc'!G31/C25</f>
        <v>51.801534949641358</v>
      </c>
      <c r="E25" s="137">
        <f>'H) Péréquation directe'!I36/C25</f>
        <v>19.074606087540747</v>
      </c>
      <c r="F25" s="110">
        <f>+'I) Dépenses thématiques'!O25/'K) Plafonnement aide'!C25</f>
        <v>0</v>
      </c>
      <c r="G25" s="137">
        <f t="shared" si="1"/>
        <v>70.876141037182109</v>
      </c>
      <c r="H25" s="110">
        <f t="shared" si="2"/>
        <v>70.876141037182109</v>
      </c>
      <c r="I25" s="137">
        <f t="shared" si="3"/>
        <v>0</v>
      </c>
      <c r="J25" s="55">
        <f t="shared" si="4"/>
        <v>0</v>
      </c>
      <c r="K25" s="36"/>
    </row>
    <row r="26" spans="1:11" x14ac:dyDescent="0.25">
      <c r="A26" s="49">
        <f>'A) Base RI'!A28</f>
        <v>5427</v>
      </c>
      <c r="B26" s="294" t="str">
        <f>'A) Base RI'!B28</f>
        <v>Féchy</v>
      </c>
      <c r="C26" s="95">
        <f>'B) D RI'!U28</f>
        <v>72785.387066428128</v>
      </c>
      <c r="D26" s="110">
        <f>'E) Fact soc'!G32/C26</f>
        <v>28.035518466394134</v>
      </c>
      <c r="E26" s="137">
        <f>'H) Péréquation directe'!I37/C26</f>
        <v>18.807052829933387</v>
      </c>
      <c r="F26" s="110">
        <f>+'I) Dépenses thématiques'!O26/'K) Plafonnement aide'!C26</f>
        <v>0</v>
      </c>
      <c r="G26" s="137">
        <f t="shared" si="1"/>
        <v>46.84257129632752</v>
      </c>
      <c r="H26" s="110">
        <f t="shared" si="2"/>
        <v>46.84257129632752</v>
      </c>
      <c r="I26" s="137">
        <f t="shared" si="3"/>
        <v>0</v>
      </c>
      <c r="J26" s="55">
        <f t="shared" si="4"/>
        <v>0</v>
      </c>
      <c r="K26" s="36"/>
    </row>
    <row r="27" spans="1:11" x14ac:dyDescent="0.25">
      <c r="A27" s="49">
        <f>'A) Base RI'!A29</f>
        <v>5428</v>
      </c>
      <c r="B27" s="294" t="str">
        <f>'A) Base RI'!B29</f>
        <v>Gimel</v>
      </c>
      <c r="C27" s="95">
        <f>'B) D RI'!U29</f>
        <v>58910.135180018216</v>
      </c>
      <c r="D27" s="110">
        <f>'E) Fact soc'!G33/C27</f>
        <v>22.545961408166423</v>
      </c>
      <c r="E27" s="137">
        <f>'H) Péréquation directe'!I38/C27</f>
        <v>-2.3613609766807251</v>
      </c>
      <c r="F27" s="110">
        <f>+'I) Dépenses thématiques'!O27/'K) Plafonnement aide'!C27</f>
        <v>-4.2539294765017646</v>
      </c>
      <c r="G27" s="137">
        <f t="shared" si="1"/>
        <v>15.930670954983935</v>
      </c>
      <c r="H27" s="110">
        <f t="shared" si="2"/>
        <v>20.184600431485698</v>
      </c>
      <c r="I27" s="137">
        <f t="shared" si="3"/>
        <v>0</v>
      </c>
      <c r="J27" s="55">
        <f t="shared" si="4"/>
        <v>0</v>
      </c>
      <c r="K27" s="36"/>
    </row>
    <row r="28" spans="1:11" x14ac:dyDescent="0.25">
      <c r="A28" s="49">
        <f>'A) Base RI'!A30</f>
        <v>5429</v>
      </c>
      <c r="B28" s="294" t="str">
        <f>'A) Base RI'!B30</f>
        <v>Longirod</v>
      </c>
      <c r="C28" s="95">
        <f>'B) D RI'!U30</f>
        <v>13766.784256066006</v>
      </c>
      <c r="D28" s="110">
        <f>'E) Fact soc'!G34/C28</f>
        <v>18.047117514649862</v>
      </c>
      <c r="E28" s="137">
        <f>'H) Péréquation directe'!I39/C28</f>
        <v>1.4308396909093879</v>
      </c>
      <c r="F28" s="110">
        <f>+'I) Dépenses thématiques'!O28/'K) Plafonnement aide'!C28</f>
        <v>-9.7623870646746145</v>
      </c>
      <c r="G28" s="137">
        <f t="shared" si="1"/>
        <v>9.7155701408846351</v>
      </c>
      <c r="H28" s="110">
        <f t="shared" si="2"/>
        <v>19.47795720555925</v>
      </c>
      <c r="I28" s="137">
        <f t="shared" si="3"/>
        <v>0</v>
      </c>
      <c r="J28" s="55">
        <f t="shared" si="4"/>
        <v>0</v>
      </c>
      <c r="K28" s="36"/>
    </row>
    <row r="29" spans="1:11" x14ac:dyDescent="0.25">
      <c r="A29" s="49">
        <f>'A) Base RI'!A31</f>
        <v>5430</v>
      </c>
      <c r="B29" s="294" t="str">
        <f>'A) Base RI'!B31</f>
        <v>Marchissy</v>
      </c>
      <c r="C29" s="95">
        <f>'B) D RI'!U31</f>
        <v>13685.946067131534</v>
      </c>
      <c r="D29" s="110">
        <f>'E) Fact soc'!G35/C29</f>
        <v>18.094462576352875</v>
      </c>
      <c r="E29" s="137">
        <f>'H) Péréquation directe'!I40/C29</f>
        <v>3.2411673456454366</v>
      </c>
      <c r="F29" s="110">
        <f>+'I) Dépenses thématiques'!O29/'K) Plafonnement aide'!C29</f>
        <v>-5.9705309362952903</v>
      </c>
      <c r="G29" s="137">
        <f t="shared" si="1"/>
        <v>15.365098985703021</v>
      </c>
      <c r="H29" s="110">
        <f t="shared" si="2"/>
        <v>21.335629921998311</v>
      </c>
      <c r="I29" s="137">
        <f t="shared" si="3"/>
        <v>0</v>
      </c>
      <c r="J29" s="55">
        <f t="shared" si="4"/>
        <v>0</v>
      </c>
      <c r="K29" s="36"/>
    </row>
    <row r="30" spans="1:11" x14ac:dyDescent="0.25">
      <c r="A30" s="49">
        <f>'A) Base RI'!A32</f>
        <v>5431</v>
      </c>
      <c r="B30" s="294" t="str">
        <f>'A) Base RI'!B32</f>
        <v>Mollens</v>
      </c>
      <c r="C30" s="95">
        <f>'B) D RI'!U32</f>
        <v>8631.0396252458468</v>
      </c>
      <c r="D30" s="110">
        <f>'E) Fact soc'!G36/C30</f>
        <v>20.920610024234094</v>
      </c>
      <c r="E30" s="137">
        <f>'H) Péréquation directe'!I41/C30</f>
        <v>5.9590468779988077</v>
      </c>
      <c r="F30" s="110">
        <f>+'I) Dépenses thématiques'!O30/'K) Plafonnement aide'!C30</f>
        <v>-6.4046582509732408</v>
      </c>
      <c r="G30" s="137">
        <f t="shared" si="1"/>
        <v>20.474998651259661</v>
      </c>
      <c r="H30" s="110">
        <f t="shared" si="2"/>
        <v>26.879656902232902</v>
      </c>
      <c r="I30" s="137">
        <f t="shared" si="3"/>
        <v>0</v>
      </c>
      <c r="J30" s="55">
        <f t="shared" si="4"/>
        <v>0</v>
      </c>
      <c r="K30" s="36"/>
    </row>
    <row r="31" spans="1:11" x14ac:dyDescent="0.25">
      <c r="A31" s="49">
        <f>'A) Base RI'!A33</f>
        <v>5432</v>
      </c>
      <c r="B31" s="294" t="str">
        <f>'A) Base RI'!B33</f>
        <v>Montherod</v>
      </c>
      <c r="C31" s="95">
        <f>'B) D RI'!U33</f>
        <v>18119.784125682436</v>
      </c>
      <c r="D31" s="110">
        <f>'E) Fact soc'!G37/C31</f>
        <v>16.927436115923147</v>
      </c>
      <c r="E31" s="137">
        <f>'H) Péréquation directe'!I42/C31</f>
        <v>8.702445044425323</v>
      </c>
      <c r="F31" s="110">
        <f>+'I) Dépenses thématiques'!O31/'K) Plafonnement aide'!C31</f>
        <v>-1.369852107017169</v>
      </c>
      <c r="G31" s="137">
        <f t="shared" si="1"/>
        <v>24.260029053331298</v>
      </c>
      <c r="H31" s="110">
        <f t="shared" si="2"/>
        <v>25.629881160348468</v>
      </c>
      <c r="I31" s="137">
        <f t="shared" si="3"/>
        <v>0</v>
      </c>
      <c r="J31" s="55">
        <f t="shared" si="4"/>
        <v>0</v>
      </c>
      <c r="K31" s="36"/>
    </row>
    <row r="32" spans="1:11" x14ac:dyDescent="0.25">
      <c r="A32" s="49">
        <f>'A) Base RI'!A34</f>
        <v>5434</v>
      </c>
      <c r="B32" s="294" t="str">
        <f>'A) Base RI'!B34</f>
        <v>Saint-George</v>
      </c>
      <c r="C32" s="95">
        <f>'B) D RI'!U34</f>
        <v>36673.941124861783</v>
      </c>
      <c r="D32" s="110">
        <f>'E) Fact soc'!G38/C32</f>
        <v>20.144544079305913</v>
      </c>
      <c r="E32" s="137">
        <f>'H) Péréquation directe'!I43/C32</f>
        <v>11.367086307197221</v>
      </c>
      <c r="F32" s="110">
        <f>+'I) Dépenses thématiques'!O32/'K) Plafonnement aide'!C32</f>
        <v>-2.9170125162244922</v>
      </c>
      <c r="G32" s="137">
        <f t="shared" si="1"/>
        <v>28.594617870278643</v>
      </c>
      <c r="H32" s="110">
        <f t="shared" si="2"/>
        <v>31.511630386503136</v>
      </c>
      <c r="I32" s="137">
        <f t="shared" si="3"/>
        <v>0</v>
      </c>
      <c r="J32" s="55">
        <f t="shared" si="4"/>
        <v>0</v>
      </c>
      <c r="K32" s="36"/>
    </row>
    <row r="33" spans="1:11" x14ac:dyDescent="0.25">
      <c r="A33" s="49">
        <f>'A) Base RI'!A35</f>
        <v>5435</v>
      </c>
      <c r="B33" s="294" t="str">
        <f>'A) Base RI'!B35</f>
        <v>Saint-Livres</v>
      </c>
      <c r="C33" s="95">
        <f>'B) D RI'!U35</f>
        <v>24134.317552979472</v>
      </c>
      <c r="D33" s="110">
        <f>'E) Fact soc'!G39/C33</f>
        <v>17.239693015220666</v>
      </c>
      <c r="E33" s="137">
        <f>'H) Péréquation directe'!I44/C33</f>
        <v>11.382005839170704</v>
      </c>
      <c r="F33" s="110">
        <f>+'I) Dépenses thématiques'!O33/'K) Plafonnement aide'!C33</f>
        <v>-1.1721056179177096</v>
      </c>
      <c r="G33" s="137">
        <f t="shared" si="1"/>
        <v>27.44959323647366</v>
      </c>
      <c r="H33" s="110">
        <f t="shared" si="2"/>
        <v>28.621698854391369</v>
      </c>
      <c r="I33" s="137">
        <f t="shared" si="3"/>
        <v>0</v>
      </c>
      <c r="J33" s="55">
        <f t="shared" si="4"/>
        <v>0</v>
      </c>
      <c r="K33" s="36"/>
    </row>
    <row r="34" spans="1:11" x14ac:dyDescent="0.25">
      <c r="A34" s="49">
        <f>'A) Base RI'!A36</f>
        <v>5436</v>
      </c>
      <c r="B34" s="294" t="str">
        <f>'A) Base RI'!B36</f>
        <v>Saint-Oyens</v>
      </c>
      <c r="C34" s="95">
        <f>'B) D RI'!U36</f>
        <v>15081.317332619743</v>
      </c>
      <c r="D34" s="110">
        <f>'E) Fact soc'!G40/C34</f>
        <v>19.198856237218241</v>
      </c>
      <c r="E34" s="137">
        <f>'H) Péréquation directe'!I45/C34</f>
        <v>7.9227449531455214</v>
      </c>
      <c r="F34" s="110">
        <f>+'I) Dépenses thématiques'!O34/'K) Plafonnement aide'!C34</f>
        <v>-8.8001708511512593</v>
      </c>
      <c r="G34" s="137">
        <f t="shared" si="1"/>
        <v>18.321430339212505</v>
      </c>
      <c r="H34" s="110">
        <f t="shared" si="2"/>
        <v>27.121601190363762</v>
      </c>
      <c r="I34" s="137">
        <f t="shared" si="3"/>
        <v>0</v>
      </c>
      <c r="J34" s="55">
        <f t="shared" si="4"/>
        <v>0</v>
      </c>
      <c r="K34" s="36"/>
    </row>
    <row r="35" spans="1:11" x14ac:dyDescent="0.25">
      <c r="A35" s="49">
        <f>'A) Base RI'!A37</f>
        <v>5437</v>
      </c>
      <c r="B35" s="294" t="str">
        <f>'A) Base RI'!B37</f>
        <v>Saubraz</v>
      </c>
      <c r="C35" s="95">
        <f>'B) D RI'!U37</f>
        <v>11367.539443741156</v>
      </c>
      <c r="D35" s="110">
        <f>'E) Fact soc'!G41/C35</f>
        <v>19.007018695119118</v>
      </c>
      <c r="E35" s="137">
        <f>'H) Péréquation directe'!I46/C35</f>
        <v>-0.80766366225117658</v>
      </c>
      <c r="F35" s="110">
        <f>+'I) Dépenses thématiques'!O35/'K) Plafonnement aide'!C35</f>
        <v>-3.701601232832751</v>
      </c>
      <c r="G35" s="137">
        <f t="shared" si="1"/>
        <v>14.497753800035191</v>
      </c>
      <c r="H35" s="110">
        <f t="shared" si="2"/>
        <v>18.199355032867942</v>
      </c>
      <c r="I35" s="137">
        <f t="shared" si="3"/>
        <v>0</v>
      </c>
      <c r="J35" s="55">
        <f t="shared" si="4"/>
        <v>0</v>
      </c>
      <c r="K35" s="36"/>
    </row>
    <row r="36" spans="1:11" x14ac:dyDescent="0.25">
      <c r="A36" s="49">
        <f>'A) Base RI'!A38</f>
        <v>5451</v>
      </c>
      <c r="B36" s="294" t="str">
        <f>'A) Base RI'!B38</f>
        <v>Avenches</v>
      </c>
      <c r="C36" s="95">
        <f>'B) D RI'!U38</f>
        <v>129470.05703979287</v>
      </c>
      <c r="D36" s="110">
        <f>'E) Fact soc'!G42/C36</f>
        <v>20.748992887093422</v>
      </c>
      <c r="E36" s="137">
        <f>'H) Péréquation directe'!I47/C36</f>
        <v>9.8714695666046778E-2</v>
      </c>
      <c r="F36" s="110">
        <f>+'I) Dépenses thématiques'!O36/'K) Plafonnement aide'!C36</f>
        <v>-10.822636909582062</v>
      </c>
      <c r="G36" s="137">
        <f t="shared" si="1"/>
        <v>10.025070673177407</v>
      </c>
      <c r="H36" s="110">
        <f t="shared" si="2"/>
        <v>20.847707582759469</v>
      </c>
      <c r="I36" s="137">
        <f t="shared" si="3"/>
        <v>0</v>
      </c>
      <c r="J36" s="55">
        <f t="shared" si="4"/>
        <v>0</v>
      </c>
      <c r="K36" s="36"/>
    </row>
    <row r="37" spans="1:11" x14ac:dyDescent="0.25">
      <c r="A37" s="49">
        <f>'A) Base RI'!A39</f>
        <v>5456</v>
      </c>
      <c r="B37" s="294" t="str">
        <f>'A) Base RI'!B39</f>
        <v>Cudrefin</v>
      </c>
      <c r="C37" s="95">
        <f>'B) D RI'!U39</f>
        <v>57775.409957876167</v>
      </c>
      <c r="D37" s="110">
        <f>'E) Fact soc'!G43/C37</f>
        <v>19.861410309571202</v>
      </c>
      <c r="E37" s="137">
        <f>'H) Péréquation directe'!I48/C37</f>
        <v>10.594923258043007</v>
      </c>
      <c r="F37" s="110">
        <f>+'I) Dépenses thématiques'!O37/'K) Plafonnement aide'!C37</f>
        <v>-5.1948265439691399</v>
      </c>
      <c r="G37" s="137">
        <f t="shared" si="1"/>
        <v>25.26150702364507</v>
      </c>
      <c r="H37" s="110">
        <f t="shared" si="2"/>
        <v>30.456333567614209</v>
      </c>
      <c r="I37" s="137">
        <f t="shared" si="3"/>
        <v>0</v>
      </c>
      <c r="J37" s="55">
        <f t="shared" si="4"/>
        <v>0</v>
      </c>
      <c r="K37" s="36"/>
    </row>
    <row r="38" spans="1:11" x14ac:dyDescent="0.25">
      <c r="A38" s="49">
        <f>'A) Base RI'!A40</f>
        <v>5458</v>
      </c>
      <c r="B38" s="294" t="str">
        <f>'A) Base RI'!B40</f>
        <v>Faoug</v>
      </c>
      <c r="C38" s="95">
        <f>'B) D RI'!U40</f>
        <v>30027.038437033407</v>
      </c>
      <c r="D38" s="110">
        <f>'E) Fact soc'!G44/C38</f>
        <v>19.571100643091974</v>
      </c>
      <c r="E38" s="137">
        <f>'H) Péréquation directe'!I49/C38</f>
        <v>10.830230951426572</v>
      </c>
      <c r="F38" s="110">
        <f>+'I) Dépenses thématiques'!O38/'K) Plafonnement aide'!C38</f>
        <v>-3.2283538166469223</v>
      </c>
      <c r="G38" s="137">
        <f t="shared" si="1"/>
        <v>27.172977777871623</v>
      </c>
      <c r="H38" s="110">
        <f t="shared" si="2"/>
        <v>30.401331594518545</v>
      </c>
      <c r="I38" s="137">
        <f t="shared" si="3"/>
        <v>0</v>
      </c>
      <c r="J38" s="55">
        <f t="shared" si="4"/>
        <v>0</v>
      </c>
      <c r="K38" s="36"/>
    </row>
    <row r="39" spans="1:11" x14ac:dyDescent="0.25">
      <c r="A39" s="49">
        <f>'A) Base RI'!A41</f>
        <v>5464</v>
      </c>
      <c r="B39" s="294" t="str">
        <f>'A) Base RI'!B41</f>
        <v>Vully-les-Lacs</v>
      </c>
      <c r="C39" s="95">
        <f>'B) D RI'!U41</f>
        <v>103697.32714902573</v>
      </c>
      <c r="D39" s="110">
        <f>'E) Fact soc'!G45/C39</f>
        <v>19.163295660664176</v>
      </c>
      <c r="E39" s="137">
        <f>'H) Péréquation directe'!I50/C39</f>
        <v>4.9936370734219686</v>
      </c>
      <c r="F39" s="110">
        <f>+'I) Dépenses thématiques'!O39/'K) Plafonnement aide'!C39</f>
        <v>-5.8586256092912965</v>
      </c>
      <c r="G39" s="137">
        <f t="shared" si="1"/>
        <v>18.298307124794846</v>
      </c>
      <c r="H39" s="110">
        <f t="shared" si="2"/>
        <v>24.156932734086141</v>
      </c>
      <c r="I39" s="137">
        <f t="shared" si="3"/>
        <v>0</v>
      </c>
      <c r="J39" s="55">
        <f t="shared" si="4"/>
        <v>0</v>
      </c>
      <c r="K39" s="36"/>
    </row>
    <row r="40" spans="1:11" x14ac:dyDescent="0.25">
      <c r="A40" s="49">
        <f>'A) Base RI'!A42</f>
        <v>5471</v>
      </c>
      <c r="B40" s="294" t="str">
        <f>'A) Base RI'!B42</f>
        <v>Bettens</v>
      </c>
      <c r="C40" s="95">
        <f>'B) D RI'!U42</f>
        <v>18256.794083184803</v>
      </c>
      <c r="D40" s="110">
        <f>'E) Fact soc'!G46/C40</f>
        <v>17.400703196138565</v>
      </c>
      <c r="E40" s="137">
        <f>'H) Péréquation directe'!I51/C40</f>
        <v>7.3967215833800113</v>
      </c>
      <c r="F40" s="110">
        <f>+'I) Dépenses thématiques'!O40/'K) Plafonnement aide'!C40</f>
        <v>-2.1076509668364132</v>
      </c>
      <c r="G40" s="137">
        <f t="shared" si="1"/>
        <v>22.689773812682162</v>
      </c>
      <c r="H40" s="110">
        <f t="shared" si="2"/>
        <v>24.797424779518575</v>
      </c>
      <c r="I40" s="137">
        <f t="shared" si="3"/>
        <v>0</v>
      </c>
      <c r="J40" s="55">
        <f t="shared" si="4"/>
        <v>0</v>
      </c>
      <c r="K40" s="36"/>
    </row>
    <row r="41" spans="1:11" x14ac:dyDescent="0.25">
      <c r="A41" s="49">
        <f>'A) Base RI'!A43</f>
        <v>5472</v>
      </c>
      <c r="B41" s="294" t="str">
        <f>'A) Base RI'!B43</f>
        <v>Bournens</v>
      </c>
      <c r="C41" s="95">
        <f>'B) D RI'!U43</f>
        <v>16446.057551579073</v>
      </c>
      <c r="D41" s="110">
        <f>'E) Fact soc'!G47/C41</f>
        <v>16.674945251348966</v>
      </c>
      <c r="E41" s="137">
        <f>'H) Péréquation directe'!I52/C41</f>
        <v>14.891954026225097</v>
      </c>
      <c r="F41" s="110">
        <f>+'I) Dépenses thématiques'!O41/'K) Plafonnement aide'!C41</f>
        <v>-1.5058124422028738</v>
      </c>
      <c r="G41" s="137">
        <f t="shared" si="1"/>
        <v>30.061086835371189</v>
      </c>
      <c r="H41" s="110">
        <f t="shared" si="2"/>
        <v>31.566899277574063</v>
      </c>
      <c r="I41" s="137">
        <f t="shared" si="3"/>
        <v>0</v>
      </c>
      <c r="J41" s="55">
        <f t="shared" si="4"/>
        <v>0</v>
      </c>
      <c r="K41" s="36"/>
    </row>
    <row r="42" spans="1:11" x14ac:dyDescent="0.25">
      <c r="A42" s="49">
        <f>'A) Base RI'!A44</f>
        <v>5473</v>
      </c>
      <c r="B42" s="294" t="str">
        <f>'A) Base RI'!B44</f>
        <v>Boussens</v>
      </c>
      <c r="C42" s="95">
        <f>'B) D RI'!U44</f>
        <v>35765.75205607291</v>
      </c>
      <c r="D42" s="110">
        <f>'E) Fact soc'!G48/C42</f>
        <v>16.531816642799836</v>
      </c>
      <c r="E42" s="137">
        <f>'H) Péréquation directe'!I53/C42</f>
        <v>12.866584033794309</v>
      </c>
      <c r="F42" s="110">
        <f>+'I) Dépenses thématiques'!O42/'K) Plafonnement aide'!C42</f>
        <v>0</v>
      </c>
      <c r="G42" s="137">
        <f t="shared" si="1"/>
        <v>29.398400676594143</v>
      </c>
      <c r="H42" s="110">
        <f t="shared" si="2"/>
        <v>29.398400676594143</v>
      </c>
      <c r="I42" s="137">
        <f t="shared" si="3"/>
        <v>0</v>
      </c>
      <c r="J42" s="55">
        <f t="shared" si="4"/>
        <v>0</v>
      </c>
      <c r="K42" s="36"/>
    </row>
    <row r="43" spans="1:11" x14ac:dyDescent="0.25">
      <c r="A43" s="49">
        <f>'A) Base RI'!A45</f>
        <v>5474</v>
      </c>
      <c r="B43" s="294" t="str">
        <f>'A) Base RI'!B45</f>
        <v>La Chaux (Cossonay)</v>
      </c>
      <c r="C43" s="95">
        <f>'B) D RI'!U45</f>
        <v>12972.284673481885</v>
      </c>
      <c r="D43" s="110">
        <f>'E) Fact soc'!G49/C43</f>
        <v>15.254917498457875</v>
      </c>
      <c r="E43" s="137">
        <f>'H) Péréquation directe'!I54/C43</f>
        <v>6.510542667123751</v>
      </c>
      <c r="F43" s="110">
        <f>+'I) Dépenses thématiques'!O43/'K) Plafonnement aide'!C43</f>
        <v>-7.8087560462126282</v>
      </c>
      <c r="G43" s="137">
        <f t="shared" si="1"/>
        <v>13.956704119368997</v>
      </c>
      <c r="H43" s="110">
        <f t="shared" si="2"/>
        <v>21.765460165581626</v>
      </c>
      <c r="I43" s="137">
        <f t="shared" si="3"/>
        <v>0</v>
      </c>
      <c r="J43" s="55">
        <f t="shared" si="4"/>
        <v>0</v>
      </c>
      <c r="K43" s="36"/>
    </row>
    <row r="44" spans="1:11" x14ac:dyDescent="0.25">
      <c r="A44" s="49">
        <f>'A) Base RI'!A46</f>
        <v>5475</v>
      </c>
      <c r="B44" s="294" t="str">
        <f>'A) Base RI'!B46</f>
        <v>Chavannes-le-Veyron</v>
      </c>
      <c r="C44" s="95">
        <f>'B) D RI'!U46</f>
        <v>4902.1559506290205</v>
      </c>
      <c r="D44" s="110">
        <f>'E) Fact soc'!G50/C44</f>
        <v>21.996936257723309</v>
      </c>
      <c r="E44" s="137">
        <f>'H) Péréquation directe'!I55/C44</f>
        <v>9.6290074754689154</v>
      </c>
      <c r="F44" s="110">
        <f>+'I) Dépenses thématiques'!O44/'K) Plafonnement aide'!C44</f>
        <v>-10.084666693974473</v>
      </c>
      <c r="G44" s="137">
        <f t="shared" si="1"/>
        <v>21.54127703921775</v>
      </c>
      <c r="H44" s="110">
        <f t="shared" si="2"/>
        <v>31.625943733192223</v>
      </c>
      <c r="I44" s="137">
        <f t="shared" si="3"/>
        <v>0</v>
      </c>
      <c r="J44" s="55">
        <f t="shared" si="4"/>
        <v>0</v>
      </c>
      <c r="K44" s="36"/>
    </row>
    <row r="45" spans="1:11" x14ac:dyDescent="0.25">
      <c r="A45" s="49">
        <f>'A) Base RI'!A47</f>
        <v>5476</v>
      </c>
      <c r="B45" s="294" t="str">
        <f>'A) Base RI'!B47</f>
        <v>Chevilly</v>
      </c>
      <c r="C45" s="95">
        <f>'B) D RI'!U47</f>
        <v>10687.030816086675</v>
      </c>
      <c r="D45" s="110">
        <f>'E) Fact soc'!G51/C45</f>
        <v>15.38806036146396</v>
      </c>
      <c r="E45" s="137">
        <f>'H) Péréquation directe'!I56/C45</f>
        <v>9.7102028959278961</v>
      </c>
      <c r="F45" s="110">
        <f>+'I) Dépenses thématiques'!O45/'K) Plafonnement aide'!C45</f>
        <v>-2.5386980778258601</v>
      </c>
      <c r="G45" s="137">
        <f t="shared" si="1"/>
        <v>22.559565179565997</v>
      </c>
      <c r="H45" s="110">
        <f t="shared" si="2"/>
        <v>25.098263257391856</v>
      </c>
      <c r="I45" s="137">
        <f t="shared" si="3"/>
        <v>0</v>
      </c>
      <c r="J45" s="55">
        <f t="shared" si="4"/>
        <v>0</v>
      </c>
      <c r="K45" s="36"/>
    </row>
    <row r="46" spans="1:11" x14ac:dyDescent="0.25">
      <c r="A46" s="49">
        <f>'A) Base RI'!A48</f>
        <v>5477</v>
      </c>
      <c r="B46" s="294" t="str">
        <f>'A) Base RI'!B48</f>
        <v>Cossonay</v>
      </c>
      <c r="C46" s="95">
        <f>'B) D RI'!U48</f>
        <v>129587.92698014184</v>
      </c>
      <c r="D46" s="110">
        <f>'E) Fact soc'!G52/C46</f>
        <v>18.565639796786989</v>
      </c>
      <c r="E46" s="137">
        <f>'H) Péréquation directe'!I57/C46</f>
        <v>3.7699043116275499</v>
      </c>
      <c r="F46" s="110">
        <f>+'I) Dépenses thématiques'!O46/'K) Plafonnement aide'!C46</f>
        <v>-4.7565779963224148</v>
      </c>
      <c r="G46" s="137">
        <f t="shared" si="1"/>
        <v>17.578966112092125</v>
      </c>
      <c r="H46" s="110">
        <f t="shared" si="2"/>
        <v>22.335544108414538</v>
      </c>
      <c r="I46" s="137">
        <f t="shared" si="3"/>
        <v>0</v>
      </c>
      <c r="J46" s="55">
        <f t="shared" si="4"/>
        <v>0</v>
      </c>
      <c r="K46" s="36"/>
    </row>
    <row r="47" spans="1:11" x14ac:dyDescent="0.25">
      <c r="A47" s="49">
        <f>'A) Base RI'!A49</f>
        <v>5478</v>
      </c>
      <c r="B47" s="294" t="str">
        <f>'A) Base RI'!B49</f>
        <v>Cottens</v>
      </c>
      <c r="C47" s="95">
        <f>'B) D RI'!U49</f>
        <v>14208.71013401275</v>
      </c>
      <c r="D47" s="110">
        <f>'E) Fact soc'!G53/C47</f>
        <v>17.038846001598735</v>
      </c>
      <c r="E47" s="137">
        <f>'H) Péréquation directe'!I58/C47</f>
        <v>4.4004035782612396</v>
      </c>
      <c r="F47" s="110">
        <f>+'I) Dépenses thématiques'!O47/'K) Plafonnement aide'!C47</f>
        <v>-2.3590703095665457</v>
      </c>
      <c r="G47" s="137">
        <f t="shared" si="1"/>
        <v>19.080179270293428</v>
      </c>
      <c r="H47" s="110">
        <f t="shared" si="2"/>
        <v>21.439249579859975</v>
      </c>
      <c r="I47" s="137">
        <f t="shared" si="3"/>
        <v>0</v>
      </c>
      <c r="J47" s="55">
        <f t="shared" si="4"/>
        <v>0</v>
      </c>
      <c r="K47" s="36"/>
    </row>
    <row r="48" spans="1:11" x14ac:dyDescent="0.25">
      <c r="A48" s="49">
        <f>'A) Base RI'!A50</f>
        <v>5479</v>
      </c>
      <c r="B48" s="294" t="str">
        <f>'A) Base RI'!B50</f>
        <v>Cuarnens</v>
      </c>
      <c r="C48" s="95">
        <f>'B) D RI'!U50</f>
        <v>16421.228790353522</v>
      </c>
      <c r="D48" s="110">
        <f>'E) Fact soc'!G54/C48</f>
        <v>18.028996226941974</v>
      </c>
      <c r="E48" s="137">
        <f>'H) Péréquation directe'!I59/C48</f>
        <v>9.3894654178570782</v>
      </c>
      <c r="F48" s="110">
        <f>+'I) Dépenses thématiques'!O48/'K) Plafonnement aide'!C48</f>
        <v>-7.8624573436102869</v>
      </c>
      <c r="G48" s="137">
        <f t="shared" si="1"/>
        <v>19.556004301188764</v>
      </c>
      <c r="H48" s="110">
        <f t="shared" si="2"/>
        <v>27.418461644799052</v>
      </c>
      <c r="I48" s="137">
        <f t="shared" si="3"/>
        <v>0</v>
      </c>
      <c r="J48" s="55">
        <f t="shared" si="4"/>
        <v>0</v>
      </c>
      <c r="K48" s="36"/>
    </row>
    <row r="49" spans="1:11" x14ac:dyDescent="0.25">
      <c r="A49" s="49">
        <f>'A) Base RI'!A51</f>
        <v>5480</v>
      </c>
      <c r="B49" s="294" t="str">
        <f>'A) Base RI'!B51</f>
        <v>Daillens</v>
      </c>
      <c r="C49" s="95">
        <f>'B) D RI'!U51</f>
        <v>41263.325123050025</v>
      </c>
      <c r="D49" s="110">
        <f>'E) Fact soc'!G55/C49</f>
        <v>19.695008539688541</v>
      </c>
      <c r="E49" s="137">
        <f>'H) Péréquation directe'!I60/C49</f>
        <v>14.70913097817062</v>
      </c>
      <c r="F49" s="110">
        <f>+'I) Dépenses thématiques'!O49/'K) Plafonnement aide'!C49</f>
        <v>-3.3449087826310491</v>
      </c>
      <c r="G49" s="137">
        <f t="shared" si="1"/>
        <v>31.059230735228116</v>
      </c>
      <c r="H49" s="110">
        <f t="shared" si="2"/>
        <v>34.404139517859164</v>
      </c>
      <c r="I49" s="137">
        <f t="shared" si="3"/>
        <v>0</v>
      </c>
      <c r="J49" s="55">
        <f t="shared" si="4"/>
        <v>0</v>
      </c>
      <c r="K49" s="36"/>
    </row>
    <row r="50" spans="1:11" x14ac:dyDescent="0.25">
      <c r="A50" s="49">
        <f>'A) Base RI'!A52</f>
        <v>5481</v>
      </c>
      <c r="B50" s="294" t="str">
        <f>'A) Base RI'!B52</f>
        <v>Dizy</v>
      </c>
      <c r="C50" s="95">
        <f>'B) D RI'!U52</f>
        <v>10892.048755040036</v>
      </c>
      <c r="D50" s="110">
        <f>'E) Fact soc'!G56/C50</f>
        <v>18.247842900160716</v>
      </c>
      <c r="E50" s="137">
        <f>'H) Péréquation directe'!I61/C50</f>
        <v>17.725880119784563</v>
      </c>
      <c r="F50" s="110">
        <f>+'I) Dépenses thématiques'!O50/'K) Plafonnement aide'!C50</f>
        <v>0</v>
      </c>
      <c r="G50" s="137">
        <f t="shared" si="1"/>
        <v>35.973723019945282</v>
      </c>
      <c r="H50" s="110">
        <f t="shared" si="2"/>
        <v>35.973723019945282</v>
      </c>
      <c r="I50" s="137">
        <f t="shared" si="3"/>
        <v>0</v>
      </c>
      <c r="J50" s="55">
        <f t="shared" si="4"/>
        <v>0</v>
      </c>
      <c r="K50" s="36"/>
    </row>
    <row r="51" spans="1:11" x14ac:dyDescent="0.25">
      <c r="A51" s="49">
        <f>'A) Base RI'!A53</f>
        <v>5482</v>
      </c>
      <c r="B51" s="294" t="str">
        <f>'A) Base RI'!B53</f>
        <v>Eclépens</v>
      </c>
      <c r="C51" s="95">
        <f>'B) D RI'!U53</f>
        <v>46793.329731079626</v>
      </c>
      <c r="D51" s="110">
        <f>'E) Fact soc'!G57/C51</f>
        <v>18.24423948330152</v>
      </c>
      <c r="E51" s="137">
        <f>'H) Péréquation directe'!I62/C51</f>
        <v>14.690411792975445</v>
      </c>
      <c r="F51" s="110">
        <f>+'I) Dépenses thématiques'!O51/'K) Plafonnement aide'!C51</f>
        <v>-2.6163564014258767</v>
      </c>
      <c r="G51" s="137">
        <f t="shared" si="1"/>
        <v>30.318294874851091</v>
      </c>
      <c r="H51" s="110">
        <f t="shared" si="2"/>
        <v>32.934651276276966</v>
      </c>
      <c r="I51" s="137">
        <f t="shared" si="3"/>
        <v>0</v>
      </c>
      <c r="J51" s="55">
        <f t="shared" si="4"/>
        <v>0</v>
      </c>
      <c r="K51" s="36"/>
    </row>
    <row r="52" spans="1:11" x14ac:dyDescent="0.25">
      <c r="A52" s="49">
        <f>'A) Base RI'!A54</f>
        <v>5483</v>
      </c>
      <c r="B52" s="294" t="str">
        <f>'A) Base RI'!B54</f>
        <v>Ferreyres</v>
      </c>
      <c r="C52" s="95">
        <f>'B) D RI'!U54</f>
        <v>8879.9356567959585</v>
      </c>
      <c r="D52" s="110">
        <f>'E) Fact soc'!G58/C52</f>
        <v>17.950425635269511</v>
      </c>
      <c r="E52" s="137">
        <f>'H) Péréquation directe'!I63/C52</f>
        <v>2.9495324509186487</v>
      </c>
      <c r="F52" s="110">
        <f>+'I) Dépenses thématiques'!O52/'K) Plafonnement aide'!C52</f>
        <v>-3.4603366817123491</v>
      </c>
      <c r="G52" s="137">
        <f t="shared" si="1"/>
        <v>17.439621404475812</v>
      </c>
      <c r="H52" s="110">
        <f t="shared" si="2"/>
        <v>20.89995808618816</v>
      </c>
      <c r="I52" s="137">
        <f t="shared" si="3"/>
        <v>0</v>
      </c>
      <c r="J52" s="55">
        <f t="shared" si="4"/>
        <v>0</v>
      </c>
      <c r="K52" s="36"/>
    </row>
    <row r="53" spans="1:11" x14ac:dyDescent="0.25">
      <c r="A53" s="49">
        <f>'A) Base RI'!A55</f>
        <v>5484</v>
      </c>
      <c r="B53" s="294" t="str">
        <f>'A) Base RI'!B55</f>
        <v>Gollion</v>
      </c>
      <c r="C53" s="95">
        <f>'B) D RI'!U55</f>
        <v>31794.268758715236</v>
      </c>
      <c r="D53" s="110">
        <f>'E) Fact soc'!G59/C53</f>
        <v>19.935895352400077</v>
      </c>
      <c r="E53" s="137">
        <f>'H) Péréquation directe'!I64/C53</f>
        <v>9.5426200272294732</v>
      </c>
      <c r="F53" s="110">
        <f>+'I) Dépenses thématiques'!O53/'K) Plafonnement aide'!C53</f>
        <v>-2.4703399920699955</v>
      </c>
      <c r="G53" s="137">
        <f t="shared" si="1"/>
        <v>27.008175387559554</v>
      </c>
      <c r="H53" s="110">
        <f t="shared" si="2"/>
        <v>29.478515379629549</v>
      </c>
      <c r="I53" s="137">
        <f t="shared" si="3"/>
        <v>0</v>
      </c>
      <c r="J53" s="55">
        <f t="shared" si="4"/>
        <v>0</v>
      </c>
      <c r="K53" s="36"/>
    </row>
    <row r="54" spans="1:11" x14ac:dyDescent="0.25">
      <c r="A54" s="49">
        <f>'A) Base RI'!A56</f>
        <v>5485</v>
      </c>
      <c r="B54" s="294" t="str">
        <f>'A) Base RI'!B56</f>
        <v>Grancy</v>
      </c>
      <c r="C54" s="95">
        <f>'B) D RI'!U56</f>
        <v>18552.92429477413</v>
      </c>
      <c r="D54" s="110">
        <f>'E) Fact soc'!G60/C54</f>
        <v>16.815180045479181</v>
      </c>
      <c r="E54" s="137">
        <f>'H) Péréquation directe'!I65/C54</f>
        <v>17.603691512876921</v>
      </c>
      <c r="F54" s="110">
        <f>+'I) Dépenses thématiques'!O54/'K) Plafonnement aide'!C54</f>
        <v>-25.594294732435266</v>
      </c>
      <c r="G54" s="137">
        <f t="shared" si="1"/>
        <v>8.8245768259208361</v>
      </c>
      <c r="H54" s="110">
        <f t="shared" si="2"/>
        <v>34.418871558356102</v>
      </c>
      <c r="I54" s="137">
        <f t="shared" si="3"/>
        <v>0</v>
      </c>
      <c r="J54" s="55">
        <f t="shared" si="4"/>
        <v>0</v>
      </c>
      <c r="K54" s="36"/>
    </row>
    <row r="55" spans="1:11" x14ac:dyDescent="0.25">
      <c r="A55" s="49">
        <f>'A) Base RI'!A57</f>
        <v>5486</v>
      </c>
      <c r="B55" s="294" t="str">
        <f>'A) Base RI'!B57</f>
        <v>L'Isle</v>
      </c>
      <c r="C55" s="95">
        <f>'B) D RI'!U57</f>
        <v>30546.431240274927</v>
      </c>
      <c r="D55" s="110">
        <f>'E) Fact soc'!G61/C55</f>
        <v>18.395694808372401</v>
      </c>
      <c r="E55" s="137">
        <f>'H) Péréquation directe'!I66/C55</f>
        <v>5.2324540488251925</v>
      </c>
      <c r="F55" s="110">
        <f>+'I) Dépenses thématiques'!O55/'K) Plafonnement aide'!C55</f>
        <v>-10.992086423592463</v>
      </c>
      <c r="G55" s="137">
        <f t="shared" si="1"/>
        <v>12.636062433605131</v>
      </c>
      <c r="H55" s="110">
        <f t="shared" si="2"/>
        <v>23.628148857197594</v>
      </c>
      <c r="I55" s="137">
        <f t="shared" si="3"/>
        <v>0</v>
      </c>
      <c r="J55" s="55">
        <f t="shared" si="4"/>
        <v>0</v>
      </c>
      <c r="K55" s="36"/>
    </row>
    <row r="56" spans="1:11" x14ac:dyDescent="0.25">
      <c r="A56" s="49">
        <f>'A) Base RI'!A58</f>
        <v>5487</v>
      </c>
      <c r="B56" s="294" t="str">
        <f>'A) Base RI'!B58</f>
        <v>Lussery-Villars</v>
      </c>
      <c r="C56" s="95">
        <f>'B) D RI'!U58</f>
        <v>14615.228333906985</v>
      </c>
      <c r="D56" s="110">
        <f>'E) Fact soc'!G62/C56</f>
        <v>16.083112988099479</v>
      </c>
      <c r="E56" s="137">
        <f>'H) Péréquation directe'!I67/C56</f>
        <v>7.0086538607139079</v>
      </c>
      <c r="F56" s="110">
        <f>+'I) Dépenses thématiques'!O56/'K) Plafonnement aide'!C56</f>
        <v>-1.2347791392908574</v>
      </c>
      <c r="G56" s="137">
        <f t="shared" si="1"/>
        <v>21.856987709522528</v>
      </c>
      <c r="H56" s="110">
        <f t="shared" si="2"/>
        <v>23.091766848813386</v>
      </c>
      <c r="I56" s="137">
        <f t="shared" si="3"/>
        <v>0</v>
      </c>
      <c r="J56" s="55">
        <f t="shared" si="4"/>
        <v>0</v>
      </c>
      <c r="K56" s="36"/>
    </row>
    <row r="57" spans="1:11" x14ac:dyDescent="0.25">
      <c r="A57" s="49">
        <f>'A) Base RI'!A59</f>
        <v>5488</v>
      </c>
      <c r="B57" s="294" t="str">
        <f>'A) Base RI'!B59</f>
        <v>Mauraz</v>
      </c>
      <c r="C57" s="95">
        <f>'B) D RI'!U59</f>
        <v>1907.69174397183</v>
      </c>
      <c r="D57" s="110">
        <f>'E) Fact soc'!G63/C57</f>
        <v>18.708827331250369</v>
      </c>
      <c r="E57" s="137">
        <f>'H) Péréquation directe'!I68/C57</f>
        <v>7.0741017319417763</v>
      </c>
      <c r="F57" s="110">
        <f>+'I) Dépenses thématiques'!O57/'K) Plafonnement aide'!C57</f>
        <v>0</v>
      </c>
      <c r="G57" s="137">
        <f t="shared" si="1"/>
        <v>25.782929063192146</v>
      </c>
      <c r="H57" s="110">
        <f t="shared" si="2"/>
        <v>25.782929063192146</v>
      </c>
      <c r="I57" s="137">
        <f t="shared" si="3"/>
        <v>0</v>
      </c>
      <c r="J57" s="55">
        <f t="shared" si="4"/>
        <v>0</v>
      </c>
      <c r="K57" s="36"/>
    </row>
    <row r="58" spans="1:11" x14ac:dyDescent="0.25">
      <c r="A58" s="49">
        <f>'A) Base RI'!A60</f>
        <v>5489</v>
      </c>
      <c r="B58" s="294" t="str">
        <f>'A) Base RI'!B60</f>
        <v>Mex</v>
      </c>
      <c r="C58" s="95">
        <f>'B) D RI'!U60</f>
        <v>59050.274266098029</v>
      </c>
      <c r="D58" s="110">
        <f>'E) Fact soc'!G64/C58</f>
        <v>25.539296380210921</v>
      </c>
      <c r="E58" s="137">
        <f>'H) Péréquation directe'!I69/C58</f>
        <v>18.749346543614696</v>
      </c>
      <c r="F58" s="110">
        <f>+'I) Dépenses thématiques'!O58/'K) Plafonnement aide'!C58</f>
        <v>0</v>
      </c>
      <c r="G58" s="137">
        <f t="shared" si="1"/>
        <v>44.28864292382562</v>
      </c>
      <c r="H58" s="110">
        <f t="shared" si="2"/>
        <v>44.28864292382562</v>
      </c>
      <c r="I58" s="137">
        <f t="shared" si="3"/>
        <v>0</v>
      </c>
      <c r="J58" s="55">
        <f t="shared" si="4"/>
        <v>0</v>
      </c>
      <c r="K58" s="36"/>
    </row>
    <row r="59" spans="1:11" x14ac:dyDescent="0.25">
      <c r="A59" s="49">
        <f>'A) Base RI'!A61</f>
        <v>5490</v>
      </c>
      <c r="B59" s="294" t="str">
        <f>'A) Base RI'!B61</f>
        <v>Moiry</v>
      </c>
      <c r="C59" s="95">
        <f>'B) D RI'!U61</f>
        <v>9338.2754275452353</v>
      </c>
      <c r="D59" s="110">
        <f>'E) Fact soc'!G65/C59</f>
        <v>17.124503829647335</v>
      </c>
      <c r="E59" s="137">
        <f>'H) Péréquation directe'!I70/C59</f>
        <v>3.7165678631465373</v>
      </c>
      <c r="F59" s="110">
        <f>+'I) Dépenses thématiques'!O59/'K) Plafonnement aide'!C59</f>
        <v>-4.8603197577350175</v>
      </c>
      <c r="G59" s="137">
        <f t="shared" si="1"/>
        <v>15.980751935058855</v>
      </c>
      <c r="H59" s="110">
        <f t="shared" si="2"/>
        <v>20.841071692793872</v>
      </c>
      <c r="I59" s="137">
        <f t="shared" si="3"/>
        <v>0</v>
      </c>
      <c r="J59" s="55">
        <f t="shared" si="4"/>
        <v>0</v>
      </c>
      <c r="K59" s="36"/>
    </row>
    <row r="60" spans="1:11" x14ac:dyDescent="0.25">
      <c r="A60" s="49">
        <f>'A) Base RI'!A62</f>
        <v>5491</v>
      </c>
      <c r="B60" s="294" t="str">
        <f>'A) Base RI'!B62</f>
        <v>Mont-la-Ville</v>
      </c>
      <c r="C60" s="95">
        <f>'B) D RI'!U62</f>
        <v>12342.149373733142</v>
      </c>
      <c r="D60" s="110">
        <f>'E) Fact soc'!G66/C60</f>
        <v>19.122182984086106</v>
      </c>
      <c r="E60" s="137">
        <f>'H) Péréquation directe'!I71/C60</f>
        <v>-0.33666000605998331</v>
      </c>
      <c r="F60" s="110">
        <f>+'I) Dépenses thématiques'!O60/'K) Plafonnement aide'!C60</f>
        <v>-13.616578053398472</v>
      </c>
      <c r="G60" s="137">
        <f t="shared" si="1"/>
        <v>5.1689449246276506</v>
      </c>
      <c r="H60" s="110">
        <f t="shared" si="2"/>
        <v>18.785522978026123</v>
      </c>
      <c r="I60" s="137">
        <f t="shared" si="3"/>
        <v>0</v>
      </c>
      <c r="J60" s="55">
        <f t="shared" si="4"/>
        <v>0</v>
      </c>
      <c r="K60" s="36"/>
    </row>
    <row r="61" spans="1:11" x14ac:dyDescent="0.25">
      <c r="A61" s="49">
        <f>'A) Base RI'!A63</f>
        <v>5492</v>
      </c>
      <c r="B61" s="294" t="str">
        <f>'A) Base RI'!B63</f>
        <v>Montricher</v>
      </c>
      <c r="C61" s="95">
        <f>'B) D RI'!U63</f>
        <v>235377.8890618468</v>
      </c>
      <c r="D61" s="110">
        <f>'E) Fact soc'!G67/C61</f>
        <v>44.035048922093672</v>
      </c>
      <c r="E61" s="137">
        <f>'H) Péréquation directe'!I72/C61</f>
        <v>19.78381672346784</v>
      </c>
      <c r="F61" s="110">
        <f>+'I) Dépenses thématiques'!O61/'K) Plafonnement aide'!C61</f>
        <v>-0.21504366929001234</v>
      </c>
      <c r="G61" s="137">
        <f t="shared" si="1"/>
        <v>63.603821976271504</v>
      </c>
      <c r="H61" s="110">
        <f t="shared" si="2"/>
        <v>63.818865645561516</v>
      </c>
      <c r="I61" s="137">
        <f t="shared" si="3"/>
        <v>0</v>
      </c>
      <c r="J61" s="55">
        <f t="shared" si="4"/>
        <v>0</v>
      </c>
      <c r="K61" s="36"/>
    </row>
    <row r="62" spans="1:11" x14ac:dyDescent="0.25">
      <c r="A62" s="49">
        <f>'A) Base RI'!A64</f>
        <v>5493</v>
      </c>
      <c r="B62" s="294" t="str">
        <f>'A) Base RI'!B64</f>
        <v>Orny</v>
      </c>
      <c r="C62" s="95">
        <f>'B) D RI'!U64</f>
        <v>10742.508207895562</v>
      </c>
      <c r="D62" s="110">
        <f>'E) Fact soc'!G68/C62</f>
        <v>20.440020871113358</v>
      </c>
      <c r="E62" s="137">
        <f>'H) Péréquation directe'!I73/C62</f>
        <v>4.6561391175730993</v>
      </c>
      <c r="F62" s="110">
        <f>+'I) Dépenses thématiques'!O62/'K) Plafonnement aide'!C62</f>
        <v>-66.830512956580364</v>
      </c>
      <c r="G62" s="137">
        <f t="shared" si="1"/>
        <v>-41.734352967893905</v>
      </c>
      <c r="H62" s="110">
        <f t="shared" si="2"/>
        <v>25.096159988686459</v>
      </c>
      <c r="I62" s="137">
        <f t="shared" si="3"/>
        <v>0</v>
      </c>
      <c r="J62" s="55">
        <f t="shared" si="4"/>
        <v>0</v>
      </c>
      <c r="K62" s="36"/>
    </row>
    <row r="63" spans="1:11" x14ac:dyDescent="0.25">
      <c r="A63" s="49">
        <f>'A) Base RI'!A65</f>
        <v>5494</v>
      </c>
      <c r="B63" s="294" t="str">
        <f>'A) Base RI'!B65</f>
        <v>Pampigny</v>
      </c>
      <c r="C63" s="95">
        <f>'B) D RI'!U65</f>
        <v>37463.804333090258</v>
      </c>
      <c r="D63" s="110">
        <f>'E) Fact soc'!G69/C63</f>
        <v>19.483496417009626</v>
      </c>
      <c r="E63" s="137">
        <f>'H) Péréquation directe'!I74/C63</f>
        <v>8.475398452564729</v>
      </c>
      <c r="F63" s="110">
        <f>+'I) Dépenses thématiques'!O63/'K) Plafonnement aide'!C63</f>
        <v>-5.6624721152861195</v>
      </c>
      <c r="G63" s="137">
        <f t="shared" si="1"/>
        <v>22.296422754288237</v>
      </c>
      <c r="H63" s="110">
        <f t="shared" si="2"/>
        <v>27.958894869574358</v>
      </c>
      <c r="I63" s="137">
        <f t="shared" si="3"/>
        <v>0</v>
      </c>
      <c r="J63" s="55">
        <f t="shared" si="4"/>
        <v>0</v>
      </c>
      <c r="K63" s="36"/>
    </row>
    <row r="64" spans="1:11" x14ac:dyDescent="0.25">
      <c r="A64" s="49">
        <f>'A) Base RI'!A66</f>
        <v>5495</v>
      </c>
      <c r="B64" s="294" t="str">
        <f>'A) Base RI'!B66</f>
        <v>Penthalaz</v>
      </c>
      <c r="C64" s="95">
        <f>'B) D RI'!U66</f>
        <v>91501.360926624242</v>
      </c>
      <c r="D64" s="110">
        <f>'E) Fact soc'!G70/C64</f>
        <v>18.11824666881283</v>
      </c>
      <c r="E64" s="137">
        <f>'H) Péréquation directe'!I75/C64</f>
        <v>-3.5152002754854541</v>
      </c>
      <c r="F64" s="110">
        <f>+'I) Dépenses thématiques'!O64/'K) Plafonnement aide'!C64</f>
        <v>-6.0780508032588285</v>
      </c>
      <c r="G64" s="137">
        <f t="shared" si="1"/>
        <v>8.5249955900685457</v>
      </c>
      <c r="H64" s="110">
        <f t="shared" si="2"/>
        <v>14.603046393327375</v>
      </c>
      <c r="I64" s="137">
        <f t="shared" si="3"/>
        <v>0</v>
      </c>
      <c r="J64" s="55">
        <f t="shared" si="4"/>
        <v>0</v>
      </c>
      <c r="K64" s="36"/>
    </row>
    <row r="65" spans="1:11" x14ac:dyDescent="0.25">
      <c r="A65" s="49">
        <f>'A) Base RI'!A67</f>
        <v>5496</v>
      </c>
      <c r="B65" s="294" t="str">
        <f>'A) Base RI'!B67</f>
        <v>Penthaz</v>
      </c>
      <c r="C65" s="95">
        <f>'B) D RI'!U67</f>
        <v>56734.953960585386</v>
      </c>
      <c r="D65" s="110">
        <f>'E) Fact soc'!G71/C65</f>
        <v>19.871724459183582</v>
      </c>
      <c r="E65" s="137">
        <f>'H) Péréquation directe'!I76/C65</f>
        <v>5.8551876342078142</v>
      </c>
      <c r="F65" s="110">
        <f>+'I) Dépenses thématiques'!O65/'K) Plafonnement aide'!C65</f>
        <v>-4.3705442637106549</v>
      </c>
      <c r="G65" s="137">
        <f t="shared" si="1"/>
        <v>21.356367829680742</v>
      </c>
      <c r="H65" s="110">
        <f t="shared" si="2"/>
        <v>25.726912093391398</v>
      </c>
      <c r="I65" s="137">
        <f t="shared" si="3"/>
        <v>0</v>
      </c>
      <c r="J65" s="55">
        <f t="shared" si="4"/>
        <v>0</v>
      </c>
      <c r="K65" s="36"/>
    </row>
    <row r="66" spans="1:11" x14ac:dyDescent="0.25">
      <c r="A66" s="49">
        <f>'A) Base RI'!A68</f>
        <v>5497</v>
      </c>
      <c r="B66" s="294" t="str">
        <f>'A) Base RI'!B68</f>
        <v>Pompaples</v>
      </c>
      <c r="C66" s="95">
        <f>'B) D RI'!U68</f>
        <v>22161.340037381338</v>
      </c>
      <c r="D66" s="110">
        <f>'E) Fact soc'!G72/C66</f>
        <v>21.543599277906349</v>
      </c>
      <c r="E66" s="137">
        <f>'H) Péréquation directe'!I77/C66</f>
        <v>3.1561063939891763</v>
      </c>
      <c r="F66" s="110">
        <f>+'I) Dépenses thématiques'!O66/'K) Plafonnement aide'!C66</f>
        <v>-8.8505898306497901</v>
      </c>
      <c r="G66" s="137">
        <f t="shared" si="1"/>
        <v>15.849115841245736</v>
      </c>
      <c r="H66" s="110">
        <f t="shared" si="2"/>
        <v>24.699705671895526</v>
      </c>
      <c r="I66" s="137">
        <f t="shared" si="3"/>
        <v>0</v>
      </c>
      <c r="J66" s="55">
        <f t="shared" si="4"/>
        <v>0</v>
      </c>
      <c r="K66" s="36"/>
    </row>
    <row r="67" spans="1:11" x14ac:dyDescent="0.25">
      <c r="A67" s="49">
        <f>'A) Base RI'!A69</f>
        <v>5498</v>
      </c>
      <c r="B67" s="294" t="str">
        <f>'A) Base RI'!B69</f>
        <v>La Sarraz</v>
      </c>
      <c r="C67" s="95">
        <f>'B) D RI'!U69</f>
        <v>77385.435956102505</v>
      </c>
      <c r="D67" s="110">
        <f>'E) Fact soc'!G73/C67</f>
        <v>17.922870144647035</v>
      </c>
      <c r="E67" s="137">
        <f>'H) Péréquation directe'!I78/C67</f>
        <v>2.7324873620784991</v>
      </c>
      <c r="F67" s="110">
        <f>+'I) Dépenses thématiques'!O67/'K) Plafonnement aide'!C67</f>
        <v>-8.5723179811199657</v>
      </c>
      <c r="G67" s="137">
        <f t="shared" si="1"/>
        <v>12.083039525605567</v>
      </c>
      <c r="H67" s="110">
        <f t="shared" si="2"/>
        <v>20.655357506725533</v>
      </c>
      <c r="I67" s="137">
        <f t="shared" si="3"/>
        <v>0</v>
      </c>
      <c r="J67" s="55">
        <f t="shared" si="4"/>
        <v>0</v>
      </c>
      <c r="K67" s="36"/>
    </row>
    <row r="68" spans="1:11" x14ac:dyDescent="0.25">
      <c r="A68" s="49">
        <f>'A) Base RI'!A70</f>
        <v>5499</v>
      </c>
      <c r="B68" s="294" t="str">
        <f>'A) Base RI'!B70</f>
        <v>Senarclens</v>
      </c>
      <c r="C68" s="95">
        <f>'B) D RI'!U70</f>
        <v>23640.951925367579</v>
      </c>
      <c r="D68" s="110">
        <f>'E) Fact soc'!G74/C68</f>
        <v>18.383239293649847</v>
      </c>
      <c r="E68" s="137">
        <f>'H) Péréquation directe'!I79/C68</f>
        <v>17.704839278595394</v>
      </c>
      <c r="F68" s="110">
        <f>+'I) Dépenses thématiques'!O68/'K) Plafonnement aide'!C68</f>
        <v>0</v>
      </c>
      <c r="G68" s="137">
        <f t="shared" si="1"/>
        <v>36.088078572245237</v>
      </c>
      <c r="H68" s="110">
        <f t="shared" si="2"/>
        <v>36.088078572245237</v>
      </c>
      <c r="I68" s="137">
        <f t="shared" si="3"/>
        <v>0</v>
      </c>
      <c r="J68" s="55">
        <f t="shared" si="4"/>
        <v>0</v>
      </c>
      <c r="K68" s="36"/>
    </row>
    <row r="69" spans="1:11" x14ac:dyDescent="0.25">
      <c r="A69" s="49">
        <f>'A) Base RI'!A71</f>
        <v>5500</v>
      </c>
      <c r="B69" s="294" t="str">
        <f>'A) Base RI'!B71</f>
        <v>Sévery</v>
      </c>
      <c r="C69" s="95">
        <f>'B) D RI'!U71</f>
        <v>6301.5037699957575</v>
      </c>
      <c r="D69" s="110">
        <f>'E) Fact soc'!G75/C69</f>
        <v>20.497970697897621</v>
      </c>
      <c r="E69" s="137">
        <f>'H) Péréquation directe'!I80/C69</f>
        <v>2.3916582047111117</v>
      </c>
      <c r="F69" s="110">
        <f>+'I) Dépenses thématiques'!O69/'K) Plafonnement aide'!C69</f>
        <v>-5.7172425168037941</v>
      </c>
      <c r="G69" s="137">
        <f t="shared" si="1"/>
        <v>17.172386385804941</v>
      </c>
      <c r="H69" s="110">
        <f t="shared" si="2"/>
        <v>22.889628902608735</v>
      </c>
      <c r="I69" s="137">
        <f t="shared" si="3"/>
        <v>0</v>
      </c>
      <c r="J69" s="55">
        <f t="shared" si="4"/>
        <v>0</v>
      </c>
      <c r="K69" s="36"/>
    </row>
    <row r="70" spans="1:11" x14ac:dyDescent="0.25">
      <c r="A70" s="49">
        <f>'A) Base RI'!A72</f>
        <v>5501</v>
      </c>
      <c r="B70" s="294" t="str">
        <f>'A) Base RI'!B72</f>
        <v>Sullens</v>
      </c>
      <c r="C70" s="95">
        <f>'B) D RI'!U72</f>
        <v>37513.894014769903</v>
      </c>
      <c r="D70" s="110">
        <f>'E) Fact soc'!G76/C70</f>
        <v>17.79439102689939</v>
      </c>
      <c r="E70" s="137">
        <f>'H) Péréquation directe'!I81/C70</f>
        <v>11.982558003812731</v>
      </c>
      <c r="F70" s="110">
        <f>+'I) Dépenses thématiques'!O70/'K) Plafonnement aide'!C70</f>
        <v>-0.19320803061543079</v>
      </c>
      <c r="G70" s="137">
        <f t="shared" ref="G70:G133" si="5">SUM(D70:F70)</f>
        <v>29.58374100009669</v>
      </c>
      <c r="H70" s="110">
        <f t="shared" ref="H70:H133" si="6">G70-F70</f>
        <v>29.776949030712121</v>
      </c>
      <c r="I70" s="137">
        <f t="shared" ref="I70:I133" si="7">IF(H70&lt;I$4,H70-I$4,0)</f>
        <v>0</v>
      </c>
      <c r="J70" s="55">
        <f t="shared" ref="J70:J133" si="8">-I70*C70</f>
        <v>0</v>
      </c>
      <c r="K70" s="36"/>
    </row>
    <row r="71" spans="1:11" x14ac:dyDescent="0.25">
      <c r="A71" s="49">
        <f>'A) Base RI'!A73</f>
        <v>5503</v>
      </c>
      <c r="B71" s="294" t="str">
        <f>'A) Base RI'!B73</f>
        <v>Vufflens-la-Ville</v>
      </c>
      <c r="C71" s="95">
        <f>'B) D RI'!U73</f>
        <v>71529.073769442432</v>
      </c>
      <c r="D71" s="110">
        <f>'E) Fact soc'!G77/C71</f>
        <v>23.669972563361227</v>
      </c>
      <c r="E71" s="137">
        <f>'H) Péréquation directe'!I82/C71</f>
        <v>17.080047334368761</v>
      </c>
      <c r="F71" s="110">
        <f>+'I) Dépenses thématiques'!O71/'K) Plafonnement aide'!C71</f>
        <v>0</v>
      </c>
      <c r="G71" s="137">
        <f t="shared" si="5"/>
        <v>40.750019897729985</v>
      </c>
      <c r="H71" s="110">
        <f t="shared" si="6"/>
        <v>40.750019897729985</v>
      </c>
      <c r="I71" s="137">
        <f t="shared" si="7"/>
        <v>0</v>
      </c>
      <c r="J71" s="55">
        <f t="shared" si="8"/>
        <v>0</v>
      </c>
      <c r="K71" s="36"/>
    </row>
    <row r="72" spans="1:11" x14ac:dyDescent="0.25">
      <c r="A72" s="49">
        <f>'A) Base RI'!A74</f>
        <v>5511</v>
      </c>
      <c r="B72" s="294" t="str">
        <f>'A) Base RI'!B74</f>
        <v>Assens</v>
      </c>
      <c r="C72" s="95">
        <f>'B) D RI'!U74</f>
        <v>42924.75672243804</v>
      </c>
      <c r="D72" s="110">
        <f>'E) Fact soc'!G78/C72</f>
        <v>16.935354402114964</v>
      </c>
      <c r="E72" s="137">
        <f>'H) Péréquation directe'!I83/C72</f>
        <v>14.316707621658274</v>
      </c>
      <c r="F72" s="110">
        <f>+'I) Dépenses thématiques'!O72/'K) Plafonnement aide'!C72</f>
        <v>-8.116052753601382</v>
      </c>
      <c r="G72" s="137">
        <f t="shared" si="5"/>
        <v>23.136009270171854</v>
      </c>
      <c r="H72" s="110">
        <f t="shared" si="6"/>
        <v>31.252062023773235</v>
      </c>
      <c r="I72" s="137">
        <f t="shared" si="7"/>
        <v>0</v>
      </c>
      <c r="J72" s="55">
        <f t="shared" si="8"/>
        <v>0</v>
      </c>
      <c r="K72" s="36"/>
    </row>
    <row r="73" spans="1:11" x14ac:dyDescent="0.25">
      <c r="A73" s="49">
        <f>'A) Base RI'!A75</f>
        <v>5512</v>
      </c>
      <c r="B73" s="294" t="str">
        <f>'A) Base RI'!B75</f>
        <v>Bercher</v>
      </c>
      <c r="C73" s="95">
        <f>'B) D RI'!U75</f>
        <v>37044.132282785904</v>
      </c>
      <c r="D73" s="110">
        <f>'E) Fact soc'!G79/C73</f>
        <v>18.442726794239995</v>
      </c>
      <c r="E73" s="137">
        <f>'H) Péréquation directe'!I84/C73</f>
        <v>2.2657718837839935</v>
      </c>
      <c r="F73" s="110">
        <f>+'I) Dépenses thématiques'!O73/'K) Plafonnement aide'!C73</f>
        <v>-4.1603926715384389</v>
      </c>
      <c r="G73" s="137">
        <f t="shared" si="5"/>
        <v>16.548106006485551</v>
      </c>
      <c r="H73" s="110">
        <f t="shared" si="6"/>
        <v>20.708498678023989</v>
      </c>
      <c r="I73" s="137">
        <f t="shared" si="7"/>
        <v>0</v>
      </c>
      <c r="J73" s="55">
        <f t="shared" si="8"/>
        <v>0</v>
      </c>
      <c r="K73" s="36"/>
    </row>
    <row r="74" spans="1:11" x14ac:dyDescent="0.25">
      <c r="A74" s="49">
        <f>'A) Base RI'!A76</f>
        <v>5513</v>
      </c>
      <c r="B74" s="294" t="str">
        <f>'A) Base RI'!B76</f>
        <v>Bioley-Orjulaz</v>
      </c>
      <c r="C74" s="95">
        <f>'B) D RI'!U76</f>
        <v>21181.93028195855</v>
      </c>
      <c r="D74" s="110">
        <f>'E) Fact soc'!G80/C74</f>
        <v>19.264128442262319</v>
      </c>
      <c r="E74" s="137">
        <f>'H) Péréquation directe'!I85/C74</f>
        <v>15.54961158833226</v>
      </c>
      <c r="F74" s="110">
        <f>+'I) Dépenses thématiques'!O74/'K) Plafonnement aide'!C74</f>
        <v>-0.37191614970186271</v>
      </c>
      <c r="G74" s="137">
        <f t="shared" si="5"/>
        <v>34.44182388089272</v>
      </c>
      <c r="H74" s="110">
        <f t="shared" si="6"/>
        <v>34.81374003059458</v>
      </c>
      <c r="I74" s="137">
        <f t="shared" si="7"/>
        <v>0</v>
      </c>
      <c r="J74" s="55">
        <f t="shared" si="8"/>
        <v>0</v>
      </c>
      <c r="K74" s="36"/>
    </row>
    <row r="75" spans="1:11" x14ac:dyDescent="0.25">
      <c r="A75" s="49">
        <f>'A) Base RI'!A77</f>
        <v>5514</v>
      </c>
      <c r="B75" s="294" t="str">
        <f>'A) Base RI'!B77</f>
        <v>Bottens</v>
      </c>
      <c r="C75" s="95">
        <f>'B) D RI'!U77</f>
        <v>44638.492368569219</v>
      </c>
      <c r="D75" s="110">
        <f>'E) Fact soc'!G81/C75</f>
        <v>16.6282837104702</v>
      </c>
      <c r="E75" s="137">
        <f>'H) Péréquation directe'!I86/C75</f>
        <v>9.4063365428115464</v>
      </c>
      <c r="F75" s="110">
        <f>+'I) Dépenses thématiques'!O75/'K) Plafonnement aide'!C75</f>
        <v>0</v>
      </c>
      <c r="G75" s="137">
        <f t="shared" si="5"/>
        <v>26.034620253281744</v>
      </c>
      <c r="H75" s="110">
        <f t="shared" si="6"/>
        <v>26.034620253281744</v>
      </c>
      <c r="I75" s="137">
        <f t="shared" si="7"/>
        <v>0</v>
      </c>
      <c r="J75" s="55">
        <f t="shared" si="8"/>
        <v>0</v>
      </c>
      <c r="K75" s="36"/>
    </row>
    <row r="76" spans="1:11" x14ac:dyDescent="0.25">
      <c r="A76" s="49">
        <f>'A) Base RI'!A78</f>
        <v>5515</v>
      </c>
      <c r="B76" s="294" t="str">
        <f>'A) Base RI'!B78</f>
        <v>Bretigny-sur-Morrens</v>
      </c>
      <c r="C76" s="95">
        <f>'B) D RI'!U78</f>
        <v>28831.158924958156</v>
      </c>
      <c r="D76" s="110">
        <f>'E) Fact soc'!G82/C76</f>
        <v>19.011582398512449</v>
      </c>
      <c r="E76" s="137">
        <f>'H) Péréquation directe'!I87/C76</f>
        <v>8.5264603761050974</v>
      </c>
      <c r="F76" s="110">
        <f>+'I) Dépenses thématiques'!O76/'K) Plafonnement aide'!C76</f>
        <v>-1.6713946555754779</v>
      </c>
      <c r="G76" s="137">
        <f t="shared" si="5"/>
        <v>25.866648119042065</v>
      </c>
      <c r="H76" s="110">
        <f t="shared" si="6"/>
        <v>27.538042774617544</v>
      </c>
      <c r="I76" s="137">
        <f t="shared" si="7"/>
        <v>0</v>
      </c>
      <c r="J76" s="55">
        <f t="shared" si="8"/>
        <v>0</v>
      </c>
      <c r="K76" s="36"/>
    </row>
    <row r="77" spans="1:11" x14ac:dyDescent="0.25">
      <c r="A77" s="49">
        <f>'A) Base RI'!A79</f>
        <v>5516</v>
      </c>
      <c r="B77" s="294" t="str">
        <f>'A) Base RI'!B79</f>
        <v>Cugy</v>
      </c>
      <c r="C77" s="95">
        <f>'B) D RI'!U79</f>
        <v>111243.36559703569</v>
      </c>
      <c r="D77" s="110">
        <f>'E) Fact soc'!G83/C77</f>
        <v>17.644062241652534</v>
      </c>
      <c r="E77" s="137">
        <f>'H) Péréquation directe'!I88/C77</f>
        <v>11.147289066804142</v>
      </c>
      <c r="F77" s="110">
        <f>+'I) Dépenses thématiques'!O77/'K) Plafonnement aide'!C77</f>
        <v>-1.2270265034756358</v>
      </c>
      <c r="G77" s="137">
        <f t="shared" si="5"/>
        <v>27.564324804981041</v>
      </c>
      <c r="H77" s="110">
        <f t="shared" si="6"/>
        <v>28.791351308456676</v>
      </c>
      <c r="I77" s="137">
        <f t="shared" si="7"/>
        <v>0</v>
      </c>
      <c r="J77" s="55">
        <f t="shared" si="8"/>
        <v>0</v>
      </c>
      <c r="K77" s="36"/>
    </row>
    <row r="78" spans="1:11" x14ac:dyDescent="0.25">
      <c r="A78" s="49">
        <f>'A) Base RI'!A80</f>
        <v>5518</v>
      </c>
      <c r="B78" s="294" t="str">
        <f>'A) Base RI'!B80</f>
        <v>Echallens</v>
      </c>
      <c r="C78" s="95">
        <f>'B) D RI'!U80</f>
        <v>180959.47694399237</v>
      </c>
      <c r="D78" s="110">
        <f>'E) Fact soc'!G84/C78</f>
        <v>17.173145974772808</v>
      </c>
      <c r="E78" s="137">
        <f>'H) Péréquation directe'!I89/C78</f>
        <v>-1.4467691151217805</v>
      </c>
      <c r="F78" s="110">
        <f>+'I) Dépenses thématiques'!O78/'K) Plafonnement aide'!C78</f>
        <v>-5.5708962902167896</v>
      </c>
      <c r="G78" s="137">
        <f t="shared" si="5"/>
        <v>10.155480569434239</v>
      </c>
      <c r="H78" s="110">
        <f t="shared" si="6"/>
        <v>15.72637685965103</v>
      </c>
      <c r="I78" s="137">
        <f t="shared" si="7"/>
        <v>0</v>
      </c>
      <c r="J78" s="55">
        <f t="shared" si="8"/>
        <v>0</v>
      </c>
      <c r="K78" s="36"/>
    </row>
    <row r="79" spans="1:11" x14ac:dyDescent="0.25">
      <c r="A79" s="49">
        <f>'A) Base RI'!A81</f>
        <v>5520</v>
      </c>
      <c r="B79" s="294" t="str">
        <f>'A) Base RI'!B81</f>
        <v>Essertines-sur-Yverdon</v>
      </c>
      <c r="C79" s="95">
        <f>'B) D RI'!U81</f>
        <v>31792.947431853896</v>
      </c>
      <c r="D79" s="110">
        <f>'E) Fact soc'!G85/C79</f>
        <v>18.923365248709768</v>
      </c>
      <c r="E79" s="137">
        <f>'H) Péréquation directe'!I90/C79</f>
        <v>6.6875596146261227</v>
      </c>
      <c r="F79" s="110">
        <f>+'I) Dépenses thématiques'!O79/'K) Plafonnement aide'!C79</f>
        <v>-3.9561948025642306</v>
      </c>
      <c r="G79" s="137">
        <f t="shared" si="5"/>
        <v>21.654730060771659</v>
      </c>
      <c r="H79" s="110">
        <f t="shared" si="6"/>
        <v>25.610924863335889</v>
      </c>
      <c r="I79" s="137">
        <f t="shared" si="7"/>
        <v>0</v>
      </c>
      <c r="J79" s="55">
        <f t="shared" si="8"/>
        <v>0</v>
      </c>
      <c r="K79" s="36"/>
    </row>
    <row r="80" spans="1:11" x14ac:dyDescent="0.25">
      <c r="A80" s="49">
        <f>'A) Base RI'!A82</f>
        <v>5521</v>
      </c>
      <c r="B80" s="294" t="str">
        <f>'A) Base RI'!B82</f>
        <v>Etagnières</v>
      </c>
      <c r="C80" s="95">
        <f>'B) D RI'!U82</f>
        <v>41863.452740254725</v>
      </c>
      <c r="D80" s="110">
        <f>'E) Fact soc'!G86/C80</f>
        <v>17.691535086055904</v>
      </c>
      <c r="E80" s="137">
        <f>'H) Péréquation directe'!I91/C80</f>
        <v>12.137453871176097</v>
      </c>
      <c r="F80" s="110">
        <f>+'I) Dépenses thématiques'!O80/'K) Plafonnement aide'!C80</f>
        <v>-0.55702672324467417</v>
      </c>
      <c r="G80" s="137">
        <f t="shared" si="5"/>
        <v>29.271962233987324</v>
      </c>
      <c r="H80" s="110">
        <f t="shared" si="6"/>
        <v>29.828988957231999</v>
      </c>
      <c r="I80" s="137">
        <f t="shared" si="7"/>
        <v>0</v>
      </c>
      <c r="J80" s="55">
        <f t="shared" si="8"/>
        <v>0</v>
      </c>
      <c r="K80" s="36"/>
    </row>
    <row r="81" spans="1:11" x14ac:dyDescent="0.25">
      <c r="A81" s="49">
        <f>'A) Base RI'!A83</f>
        <v>5522</v>
      </c>
      <c r="B81" s="294" t="str">
        <f>'A) Base RI'!B83</f>
        <v>Fey</v>
      </c>
      <c r="C81" s="95">
        <f>'B) D RI'!U83</f>
        <v>21530.578579692767</v>
      </c>
      <c r="D81" s="110">
        <f>'E) Fact soc'!G87/C81</f>
        <v>18.237283032887937</v>
      </c>
      <c r="E81" s="137">
        <f>'H) Péréquation directe'!I92/C81</f>
        <v>4.2122476894928642</v>
      </c>
      <c r="F81" s="110">
        <f>+'I) Dépenses thématiques'!O81/'K) Plafonnement aide'!C81</f>
        <v>-1.7088090007309578</v>
      </c>
      <c r="G81" s="137">
        <f t="shared" si="5"/>
        <v>20.740721721649841</v>
      </c>
      <c r="H81" s="110">
        <f t="shared" si="6"/>
        <v>22.4495307223808</v>
      </c>
      <c r="I81" s="137">
        <f t="shared" si="7"/>
        <v>0</v>
      </c>
      <c r="J81" s="55">
        <f t="shared" si="8"/>
        <v>0</v>
      </c>
      <c r="K81" s="36"/>
    </row>
    <row r="82" spans="1:11" x14ac:dyDescent="0.25">
      <c r="A82" s="49">
        <f>'A) Base RI'!A84</f>
        <v>5523</v>
      </c>
      <c r="B82" s="294" t="str">
        <f>'A) Base RI'!B84</f>
        <v>Froideville</v>
      </c>
      <c r="C82" s="95">
        <f>'B) D RI'!U84</f>
        <v>82933.673531693348</v>
      </c>
      <c r="D82" s="110">
        <f>'E) Fact soc'!G88/C82</f>
        <v>17.339671631993337</v>
      </c>
      <c r="E82" s="137">
        <f>'H) Péréquation directe'!I93/C82</f>
        <v>3.1216960798631384</v>
      </c>
      <c r="F82" s="110">
        <f>+'I) Dépenses thématiques'!O82/'K) Plafonnement aide'!C82</f>
        <v>-0.94904213207205801</v>
      </c>
      <c r="G82" s="137">
        <f t="shared" si="5"/>
        <v>19.512325579784417</v>
      </c>
      <c r="H82" s="110">
        <f t="shared" si="6"/>
        <v>20.461367711856475</v>
      </c>
      <c r="I82" s="137">
        <f t="shared" si="7"/>
        <v>0</v>
      </c>
      <c r="J82" s="55">
        <f t="shared" si="8"/>
        <v>0</v>
      </c>
      <c r="K82" s="36"/>
    </row>
    <row r="83" spans="1:11" x14ac:dyDescent="0.25">
      <c r="A83" s="49">
        <f>'A) Base RI'!A85</f>
        <v>5527</v>
      </c>
      <c r="B83" s="294" t="str">
        <f>'A) Base RI'!B85</f>
        <v>Morrens</v>
      </c>
      <c r="C83" s="95">
        <f>'B) D RI'!U85</f>
        <v>37846.307885294293</v>
      </c>
      <c r="D83" s="110">
        <f>'E) Fact soc'!G89/C83</f>
        <v>18.968204834263766</v>
      </c>
      <c r="E83" s="137">
        <f>'H) Péréquation directe'!I94/C83</f>
        <v>10.270386651310135</v>
      </c>
      <c r="F83" s="110">
        <f>+'I) Dépenses thématiques'!O83/'K) Plafonnement aide'!C83</f>
        <v>-0.76701012634889942</v>
      </c>
      <c r="G83" s="137">
        <f t="shared" si="5"/>
        <v>28.471581359224999</v>
      </c>
      <c r="H83" s="110">
        <f t="shared" si="6"/>
        <v>29.238591485573899</v>
      </c>
      <c r="I83" s="137">
        <f t="shared" si="7"/>
        <v>0</v>
      </c>
      <c r="J83" s="55">
        <f t="shared" si="8"/>
        <v>0</v>
      </c>
      <c r="K83" s="36"/>
    </row>
    <row r="84" spans="1:11" x14ac:dyDescent="0.25">
      <c r="A84" s="49">
        <f>'A) Base RI'!A86</f>
        <v>5529</v>
      </c>
      <c r="B84" s="294" t="str">
        <f>'A) Base RI'!B86</f>
        <v>Oulens-sous-Echallens</v>
      </c>
      <c r="C84" s="95">
        <f>'B) D RI'!U86</f>
        <v>21232.684624593807</v>
      </c>
      <c r="D84" s="110">
        <f>'E) Fact soc'!G90/C84</f>
        <v>16.837404061235006</v>
      </c>
      <c r="E84" s="137">
        <f>'H) Péréquation directe'!I95/C84</f>
        <v>10.87776395971243</v>
      </c>
      <c r="F84" s="110">
        <f>+'I) Dépenses thématiques'!O84/'K) Plafonnement aide'!C84</f>
        <v>-6.1001406471842134</v>
      </c>
      <c r="G84" s="137">
        <f t="shared" si="5"/>
        <v>21.615027373763226</v>
      </c>
      <c r="H84" s="110">
        <f t="shared" si="6"/>
        <v>27.715168020947438</v>
      </c>
      <c r="I84" s="137">
        <f t="shared" si="7"/>
        <v>0</v>
      </c>
      <c r="J84" s="55">
        <f t="shared" si="8"/>
        <v>0</v>
      </c>
      <c r="K84" s="36"/>
    </row>
    <row r="85" spans="1:11" x14ac:dyDescent="0.25">
      <c r="A85" s="49">
        <f>'A) Base RI'!A87</f>
        <v>5530</v>
      </c>
      <c r="B85" s="294" t="str">
        <f>'A) Base RI'!B87</f>
        <v>Pailly</v>
      </c>
      <c r="C85" s="95">
        <f>'B) D RI'!U87</f>
        <v>16822.836054480296</v>
      </c>
      <c r="D85" s="110">
        <f>'E) Fact soc'!G91/C85</f>
        <v>20.992976418652056</v>
      </c>
      <c r="E85" s="137">
        <f>'H) Péréquation directe'!I96/C85</f>
        <v>4.3004224454181799</v>
      </c>
      <c r="F85" s="110">
        <f>+'I) Dépenses thématiques'!O85/'K) Plafonnement aide'!C85</f>
        <v>-13.782093073396563</v>
      </c>
      <c r="G85" s="137">
        <f t="shared" si="5"/>
        <v>11.511305790673671</v>
      </c>
      <c r="H85" s="110">
        <f t="shared" si="6"/>
        <v>25.293398864070234</v>
      </c>
      <c r="I85" s="137">
        <f t="shared" si="7"/>
        <v>0</v>
      </c>
      <c r="J85" s="55">
        <f t="shared" si="8"/>
        <v>0</v>
      </c>
      <c r="K85" s="36"/>
    </row>
    <row r="86" spans="1:11" x14ac:dyDescent="0.25">
      <c r="A86" s="49">
        <f>'A) Base RI'!A88</f>
        <v>5531</v>
      </c>
      <c r="B86" s="294" t="str">
        <f>'A) Base RI'!B88</f>
        <v>Penthéréaz</v>
      </c>
      <c r="C86" s="95">
        <f>'B) D RI'!U88</f>
        <v>14989.425098501475</v>
      </c>
      <c r="D86" s="110">
        <f>'E) Fact soc'!G92/C86</f>
        <v>17.582479324713002</v>
      </c>
      <c r="E86" s="137">
        <f>'H) Péréquation directe'!I97/C86</f>
        <v>10.509714521890526</v>
      </c>
      <c r="F86" s="110">
        <f>+'I) Dépenses thématiques'!O86/'K) Plafonnement aide'!C86</f>
        <v>-3.1937227981337952</v>
      </c>
      <c r="G86" s="137">
        <f t="shared" si="5"/>
        <v>24.898471048469734</v>
      </c>
      <c r="H86" s="110">
        <f t="shared" si="6"/>
        <v>28.092193846603529</v>
      </c>
      <c r="I86" s="137">
        <f t="shared" si="7"/>
        <v>0</v>
      </c>
      <c r="J86" s="55">
        <f t="shared" si="8"/>
        <v>0</v>
      </c>
      <c r="K86" s="36"/>
    </row>
    <row r="87" spans="1:11" x14ac:dyDescent="0.25">
      <c r="A87" s="49">
        <f>'A) Base RI'!A89</f>
        <v>5533</v>
      </c>
      <c r="B87" s="294" t="str">
        <f>'A) Base RI'!B89</f>
        <v>Poliez-Pittet</v>
      </c>
      <c r="C87" s="95">
        <f>'B) D RI'!U89</f>
        <v>25275.822973621725</v>
      </c>
      <c r="D87" s="110">
        <f>'E) Fact soc'!G93/C87</f>
        <v>16.77891980064561</v>
      </c>
      <c r="E87" s="137">
        <f>'H) Péréquation directe'!I98/C87</f>
        <v>6.0735641111199588</v>
      </c>
      <c r="F87" s="110">
        <f>+'I) Dépenses thématiques'!O87/'K) Plafonnement aide'!C87</f>
        <v>-1.2097923003354929</v>
      </c>
      <c r="G87" s="137">
        <f t="shared" si="5"/>
        <v>21.642691611430074</v>
      </c>
      <c r="H87" s="110">
        <f t="shared" si="6"/>
        <v>22.852483911765567</v>
      </c>
      <c r="I87" s="137">
        <f t="shared" si="7"/>
        <v>0</v>
      </c>
      <c r="J87" s="55">
        <f t="shared" si="8"/>
        <v>0</v>
      </c>
      <c r="K87" s="36"/>
    </row>
    <row r="88" spans="1:11" x14ac:dyDescent="0.25">
      <c r="A88" s="49">
        <f>'A) Base RI'!A90</f>
        <v>5534</v>
      </c>
      <c r="B88" s="294" t="str">
        <f>'A) Base RI'!B90</f>
        <v>Rueyres</v>
      </c>
      <c r="C88" s="95">
        <f>'B) D RI'!U90</f>
        <v>8313.1321594227738</v>
      </c>
      <c r="D88" s="110">
        <f>'E) Fact soc'!G94/C88</f>
        <v>16.9036773568501</v>
      </c>
      <c r="E88" s="137">
        <f>'H) Péréquation directe'!I99/C88</f>
        <v>8.5059325515179811</v>
      </c>
      <c r="F88" s="110">
        <f>+'I) Dépenses thématiques'!O88/'K) Plafonnement aide'!C88</f>
        <v>-2.7636164044088742</v>
      </c>
      <c r="G88" s="137">
        <f t="shared" si="5"/>
        <v>22.645993503959208</v>
      </c>
      <c r="H88" s="110">
        <f t="shared" si="6"/>
        <v>25.409609908368083</v>
      </c>
      <c r="I88" s="137">
        <f t="shared" si="7"/>
        <v>0</v>
      </c>
      <c r="J88" s="55">
        <f t="shared" si="8"/>
        <v>0</v>
      </c>
      <c r="K88" s="36"/>
    </row>
    <row r="89" spans="1:11" x14ac:dyDescent="0.25">
      <c r="A89" s="49">
        <f>'A) Base RI'!A91</f>
        <v>5535</v>
      </c>
      <c r="B89" s="294" t="str">
        <f>'A) Base RI'!B91</f>
        <v>Saint-Barthélemy</v>
      </c>
      <c r="C89" s="95">
        <f>'B) D RI'!U91</f>
        <v>21802.428816169639</v>
      </c>
      <c r="D89" s="110">
        <f>'E) Fact soc'!G95/C89</f>
        <v>19.394444856793847</v>
      </c>
      <c r="E89" s="137">
        <f>'H) Péréquation directe'!I100/C89</f>
        <v>1.6913281039971226</v>
      </c>
      <c r="F89" s="110">
        <f>+'I) Dépenses thématiques'!O89/'K) Plafonnement aide'!C89</f>
        <v>-7.2132443774958399E-3</v>
      </c>
      <c r="G89" s="137">
        <f t="shared" si="5"/>
        <v>21.078559716413473</v>
      </c>
      <c r="H89" s="110">
        <f t="shared" si="6"/>
        <v>21.085772960790969</v>
      </c>
      <c r="I89" s="137">
        <f t="shared" si="7"/>
        <v>0</v>
      </c>
      <c r="J89" s="55">
        <f t="shared" si="8"/>
        <v>0</v>
      </c>
      <c r="K89" s="36"/>
    </row>
    <row r="90" spans="1:11" x14ac:dyDescent="0.25">
      <c r="A90" s="49">
        <f>'A) Base RI'!A92</f>
        <v>5537</v>
      </c>
      <c r="B90" s="294" t="str">
        <f>'A) Base RI'!B92</f>
        <v>Villars-le-Terroir</v>
      </c>
      <c r="C90" s="95">
        <f>'B) D RI'!U92</f>
        <v>37312.302103659451</v>
      </c>
      <c r="D90" s="110">
        <f>'E) Fact soc'!G96/C90</f>
        <v>17.015235232545439</v>
      </c>
      <c r="E90" s="137">
        <f>'H) Péréquation directe'!I101/C90</f>
        <v>5.250621584192471</v>
      </c>
      <c r="F90" s="110">
        <f>+'I) Dépenses thématiques'!O90/'K) Plafonnement aide'!C90</f>
        <v>-0.59087499558141365</v>
      </c>
      <c r="G90" s="137">
        <f t="shared" si="5"/>
        <v>21.674981821156496</v>
      </c>
      <c r="H90" s="110">
        <f t="shared" si="6"/>
        <v>22.265856816737909</v>
      </c>
      <c r="I90" s="137">
        <f t="shared" si="7"/>
        <v>0</v>
      </c>
      <c r="J90" s="55">
        <f t="shared" si="8"/>
        <v>0</v>
      </c>
      <c r="K90" s="36"/>
    </row>
    <row r="91" spans="1:11" x14ac:dyDescent="0.25">
      <c r="A91" s="49">
        <f>'A) Base RI'!A93</f>
        <v>5539</v>
      </c>
      <c r="B91" s="294" t="str">
        <f>'A) Base RI'!B93</f>
        <v>Vuarrens</v>
      </c>
      <c r="C91" s="95">
        <f>'B) D RI'!U93</f>
        <v>28863.357859136209</v>
      </c>
      <c r="D91" s="110">
        <f>'E) Fact soc'!G97/C91</f>
        <v>18.368191799406482</v>
      </c>
      <c r="E91" s="137">
        <f>'H) Péréquation directe'!I102/C91</f>
        <v>3.5396853917351936</v>
      </c>
      <c r="F91" s="110">
        <f>+'I) Dépenses thématiques'!O91/'K) Plafonnement aide'!C91</f>
        <v>-2.7436133426233074</v>
      </c>
      <c r="G91" s="137">
        <f t="shared" si="5"/>
        <v>19.164263848518367</v>
      </c>
      <c r="H91" s="110">
        <f t="shared" si="6"/>
        <v>21.907877191141672</v>
      </c>
      <c r="I91" s="137">
        <f t="shared" si="7"/>
        <v>0</v>
      </c>
      <c r="J91" s="55">
        <f t="shared" si="8"/>
        <v>0</v>
      </c>
      <c r="K91" s="36"/>
    </row>
    <row r="92" spans="1:11" x14ac:dyDescent="0.25">
      <c r="A92" s="49">
        <f>'A) Base RI'!A94</f>
        <v>5540</v>
      </c>
      <c r="B92" s="294" t="str">
        <f>'A) Base RI'!B94</f>
        <v>Montilliez</v>
      </c>
      <c r="C92" s="95">
        <f>'B) D RI'!U94</f>
        <v>59091.740495657374</v>
      </c>
      <c r="D92" s="110">
        <f>'E) Fact soc'!G98/C92</f>
        <v>17.097790604060236</v>
      </c>
      <c r="E92" s="137">
        <f>'H) Péréquation directe'!I103/C92</f>
        <v>5.9047293221670758</v>
      </c>
      <c r="F92" s="110">
        <f>+'I) Dépenses thématiques'!O92/'K) Plafonnement aide'!C92</f>
        <v>-10.963933077325107</v>
      </c>
      <c r="G92" s="137">
        <f t="shared" si="5"/>
        <v>12.038586848902204</v>
      </c>
      <c r="H92" s="110">
        <f t="shared" si="6"/>
        <v>23.002519926227311</v>
      </c>
      <c r="I92" s="137">
        <f t="shared" si="7"/>
        <v>0</v>
      </c>
      <c r="J92" s="55">
        <f t="shared" si="8"/>
        <v>0</v>
      </c>
      <c r="K92" s="36"/>
    </row>
    <row r="93" spans="1:11" x14ac:dyDescent="0.25">
      <c r="A93" s="49">
        <f>'A) Base RI'!A95</f>
        <v>5541</v>
      </c>
      <c r="B93" s="294" t="str">
        <f>'A) Base RI'!B95</f>
        <v>Goumoëns</v>
      </c>
      <c r="C93" s="95">
        <f>'B) D RI'!U95</f>
        <v>35230.967112736034</v>
      </c>
      <c r="D93" s="110">
        <f>'E) Fact soc'!G99/C93</f>
        <v>17.309365178848179</v>
      </c>
      <c r="E93" s="137">
        <f>'H) Péréquation directe'!I104/C93</f>
        <v>5.5669950835979867</v>
      </c>
      <c r="F93" s="110">
        <f>+'I) Dépenses thématiques'!O93/'K) Plafonnement aide'!C93</f>
        <v>-2.2544759728024237</v>
      </c>
      <c r="G93" s="137">
        <f t="shared" si="5"/>
        <v>20.621884289643742</v>
      </c>
      <c r="H93" s="110">
        <f t="shared" si="6"/>
        <v>22.876360262446166</v>
      </c>
      <c r="I93" s="137">
        <f t="shared" si="7"/>
        <v>0</v>
      </c>
      <c r="J93" s="55">
        <f t="shared" si="8"/>
        <v>0</v>
      </c>
      <c r="K93" s="36"/>
    </row>
    <row r="94" spans="1:11" x14ac:dyDescent="0.25">
      <c r="A94" s="49">
        <f>'A) Base RI'!A96</f>
        <v>5551</v>
      </c>
      <c r="B94" s="294" t="str">
        <f>'A) Base RI'!B96</f>
        <v>Bonvillars</v>
      </c>
      <c r="C94" s="95">
        <f>'B) D RI'!U96</f>
        <v>21415.305138743261</v>
      </c>
      <c r="D94" s="110">
        <f>'E) Fact soc'!G100/C94</f>
        <v>17.410355198467798</v>
      </c>
      <c r="E94" s="137">
        <f>'H) Péréquation directe'!I105/C94</f>
        <v>16.651723363862345</v>
      </c>
      <c r="F94" s="110">
        <f>+'I) Dépenses thématiques'!O94/'K) Plafonnement aide'!C94</f>
        <v>-2.8533388452385768</v>
      </c>
      <c r="G94" s="137">
        <f t="shared" si="5"/>
        <v>31.208739717091568</v>
      </c>
      <c r="H94" s="110">
        <f t="shared" si="6"/>
        <v>34.062078562330143</v>
      </c>
      <c r="I94" s="137">
        <f t="shared" si="7"/>
        <v>0</v>
      </c>
      <c r="J94" s="55">
        <f t="shared" si="8"/>
        <v>0</v>
      </c>
      <c r="K94" s="36"/>
    </row>
    <row r="95" spans="1:11" x14ac:dyDescent="0.25">
      <c r="A95" s="49">
        <f>'A) Base RI'!A97</f>
        <v>5552</v>
      </c>
      <c r="B95" s="294" t="str">
        <f>'A) Base RI'!B97</f>
        <v>Bullet</v>
      </c>
      <c r="C95" s="95">
        <f>'B) D RI'!U97</f>
        <v>17732.087898586105</v>
      </c>
      <c r="D95" s="110">
        <f>'E) Fact soc'!G101/C95</f>
        <v>18.229717023325605</v>
      </c>
      <c r="E95" s="137">
        <f>'H) Péréquation directe'!I106/C95</f>
        <v>1.7734175509659273</v>
      </c>
      <c r="F95" s="110">
        <f>+'I) Dépenses thématiques'!O95/'K) Plafonnement aide'!C95</f>
        <v>-11.933932499585163</v>
      </c>
      <c r="G95" s="137">
        <f t="shared" si="5"/>
        <v>8.0692020747063697</v>
      </c>
      <c r="H95" s="110">
        <f t="shared" si="6"/>
        <v>20.003134574291533</v>
      </c>
      <c r="I95" s="137">
        <f t="shared" si="7"/>
        <v>0</v>
      </c>
      <c r="J95" s="55">
        <f t="shared" si="8"/>
        <v>0</v>
      </c>
      <c r="K95" s="36"/>
    </row>
    <row r="96" spans="1:11" x14ac:dyDescent="0.25">
      <c r="A96" s="49">
        <f>'A) Base RI'!A98</f>
        <v>5553</v>
      </c>
      <c r="B96" s="294" t="str">
        <f>'A) Base RI'!B98</f>
        <v>Champagne</v>
      </c>
      <c r="C96" s="95">
        <f>'B) D RI'!U98</f>
        <v>38083.02347761167</v>
      </c>
      <c r="D96" s="110">
        <f>'E) Fact soc'!G102/C96</f>
        <v>18.848869457953725</v>
      </c>
      <c r="E96" s="137">
        <f>'H) Péréquation directe'!I107/C96</f>
        <v>13.044624201580689</v>
      </c>
      <c r="F96" s="110">
        <f>+'I) Dépenses thématiques'!O96/'K) Plafonnement aide'!C96</f>
        <v>-7.8248787102970496</v>
      </c>
      <c r="G96" s="137">
        <f t="shared" si="5"/>
        <v>24.068614949237364</v>
      </c>
      <c r="H96" s="110">
        <f t="shared" si="6"/>
        <v>31.893493659534414</v>
      </c>
      <c r="I96" s="137">
        <f t="shared" si="7"/>
        <v>0</v>
      </c>
      <c r="J96" s="55">
        <f t="shared" si="8"/>
        <v>0</v>
      </c>
      <c r="K96" s="36"/>
    </row>
    <row r="97" spans="1:11" x14ac:dyDescent="0.25">
      <c r="A97" s="49">
        <f>'A) Base RI'!A99</f>
        <v>5554</v>
      </c>
      <c r="B97" s="294" t="str">
        <f>'A) Base RI'!B99</f>
        <v>Concise</v>
      </c>
      <c r="C97" s="95">
        <f>'B) D RI'!U99</f>
        <v>29757.199499444905</v>
      </c>
      <c r="D97" s="110">
        <f>'E) Fact soc'!G103/C97</f>
        <v>20.142156842594783</v>
      </c>
      <c r="E97" s="137">
        <f>'H) Péréquation directe'!I108/C97</f>
        <v>4.9493642014529895</v>
      </c>
      <c r="F97" s="110">
        <f>+'I) Dépenses thématiques'!O97/'K) Plafonnement aide'!C97</f>
        <v>-4.5131930494563992</v>
      </c>
      <c r="G97" s="137">
        <f t="shared" si="5"/>
        <v>20.578327994591376</v>
      </c>
      <c r="H97" s="110">
        <f t="shared" si="6"/>
        <v>25.091521044047774</v>
      </c>
      <c r="I97" s="137">
        <f t="shared" si="7"/>
        <v>0</v>
      </c>
      <c r="J97" s="55">
        <f t="shared" si="8"/>
        <v>0</v>
      </c>
      <c r="K97" s="36"/>
    </row>
    <row r="98" spans="1:11" x14ac:dyDescent="0.25">
      <c r="A98" s="49">
        <f>'A) Base RI'!A100</f>
        <v>5555</v>
      </c>
      <c r="B98" s="294" t="str">
        <f>'A) Base RI'!B100</f>
        <v>Corcelles-près-Concise</v>
      </c>
      <c r="C98" s="95">
        <f>'B) D RI'!U100</f>
        <v>13026.26930420642</v>
      </c>
      <c r="D98" s="110">
        <f>'E) Fact soc'!G104/C98</f>
        <v>18.967261422804253</v>
      </c>
      <c r="E98" s="137">
        <f>'H) Péréquation directe'!I109/C98</f>
        <v>8.8232189645852515</v>
      </c>
      <c r="F98" s="110">
        <f>+'I) Dépenses thématiques'!O98/'K) Plafonnement aide'!C98</f>
        <v>-12.053203806224044</v>
      </c>
      <c r="G98" s="137">
        <f t="shared" si="5"/>
        <v>15.73727658116546</v>
      </c>
      <c r="H98" s="110">
        <f t="shared" si="6"/>
        <v>27.790480387389504</v>
      </c>
      <c r="I98" s="137">
        <f t="shared" si="7"/>
        <v>0</v>
      </c>
      <c r="J98" s="55">
        <f t="shared" si="8"/>
        <v>0</v>
      </c>
      <c r="K98" s="36"/>
    </row>
    <row r="99" spans="1:11" x14ac:dyDescent="0.25">
      <c r="A99" s="49">
        <f>'A) Base RI'!A101</f>
        <v>5556</v>
      </c>
      <c r="B99" s="294" t="str">
        <f>'A) Base RI'!B101</f>
        <v>Fiez</v>
      </c>
      <c r="C99" s="95">
        <f>'B) D RI'!U101</f>
        <v>12681.485348367609</v>
      </c>
      <c r="D99" s="110">
        <f>'E) Fact soc'!G105/C99</f>
        <v>19.200160986016424</v>
      </c>
      <c r="E99" s="137">
        <f>'H) Péréquation directe'!I110/C99</f>
        <v>4.9002322135510461</v>
      </c>
      <c r="F99" s="110">
        <f>+'I) Dépenses thématiques'!O99/'K) Plafonnement aide'!C99</f>
        <v>-2.7167953974557966</v>
      </c>
      <c r="G99" s="137">
        <f t="shared" si="5"/>
        <v>21.383597802111673</v>
      </c>
      <c r="H99" s="110">
        <f t="shared" si="6"/>
        <v>24.100393199567471</v>
      </c>
      <c r="I99" s="137">
        <f t="shared" si="7"/>
        <v>0</v>
      </c>
      <c r="J99" s="55">
        <f t="shared" si="8"/>
        <v>0</v>
      </c>
      <c r="K99" s="36"/>
    </row>
    <row r="100" spans="1:11" x14ac:dyDescent="0.25">
      <c r="A100" s="49">
        <f>'A) Base RI'!A102</f>
        <v>5557</v>
      </c>
      <c r="B100" s="294" t="str">
        <f>'A) Base RI'!B102</f>
        <v>Fontaines-sur-Grandson</v>
      </c>
      <c r="C100" s="95">
        <f>'B) D RI'!U102</f>
        <v>5466.9806268353996</v>
      </c>
      <c r="D100" s="110">
        <f>'E) Fact soc'!G106/C100</f>
        <v>19.323439941164423</v>
      </c>
      <c r="E100" s="137">
        <f>'H) Péréquation directe'!I111/C100</f>
        <v>0.39535760907893724</v>
      </c>
      <c r="F100" s="110">
        <f>+'I) Dépenses thématiques'!O100/'K) Plafonnement aide'!C100</f>
        <v>-10.706592083439007</v>
      </c>
      <c r="G100" s="137">
        <f t="shared" si="5"/>
        <v>9.0122054668043514</v>
      </c>
      <c r="H100" s="110">
        <f t="shared" si="6"/>
        <v>19.718797550243359</v>
      </c>
      <c r="I100" s="137">
        <f t="shared" si="7"/>
        <v>0</v>
      </c>
      <c r="J100" s="55">
        <f t="shared" si="8"/>
        <v>0</v>
      </c>
      <c r="K100" s="36"/>
    </row>
    <row r="101" spans="1:11" x14ac:dyDescent="0.25">
      <c r="A101" s="49">
        <f>'A) Base RI'!A103</f>
        <v>5559</v>
      </c>
      <c r="B101" s="294" t="str">
        <f>'A) Base RI'!B103</f>
        <v>Giez</v>
      </c>
      <c r="C101" s="95">
        <f>'B) D RI'!U103</f>
        <v>19176.421195753639</v>
      </c>
      <c r="D101" s="110">
        <f>'E) Fact soc'!G107/C101</f>
        <v>21.947758245702271</v>
      </c>
      <c r="E101" s="137">
        <f>'H) Péréquation directe'!I112/C101</f>
        <v>17.599623845703601</v>
      </c>
      <c r="F101" s="110">
        <f>+'I) Dépenses thématiques'!O101/'K) Plafonnement aide'!C101</f>
        <v>-0.7971055063750605</v>
      </c>
      <c r="G101" s="137">
        <f t="shared" si="5"/>
        <v>38.750276585030811</v>
      </c>
      <c r="H101" s="110">
        <f t="shared" si="6"/>
        <v>39.547382091405872</v>
      </c>
      <c r="I101" s="137">
        <f t="shared" si="7"/>
        <v>0</v>
      </c>
      <c r="J101" s="55">
        <f t="shared" si="8"/>
        <v>0</v>
      </c>
      <c r="K101" s="36"/>
    </row>
    <row r="102" spans="1:11" x14ac:dyDescent="0.25">
      <c r="A102" s="49">
        <f>'A) Base RI'!A104</f>
        <v>5560</v>
      </c>
      <c r="B102" s="294" t="str">
        <f>'A) Base RI'!B104</f>
        <v>Grandevent</v>
      </c>
      <c r="C102" s="95">
        <f>'B) D RI'!U104</f>
        <v>7435.5518015193766</v>
      </c>
      <c r="D102" s="110">
        <f>'E) Fact soc'!G108/C102</f>
        <v>18.318850225557959</v>
      </c>
      <c r="E102" s="137">
        <f>'H) Péréquation directe'!I113/C102</f>
        <v>8.291074932144765</v>
      </c>
      <c r="F102" s="110">
        <f>+'I) Dépenses thématiques'!O102/'K) Plafonnement aide'!C102</f>
        <v>-3.8322436093043972</v>
      </c>
      <c r="G102" s="137">
        <f t="shared" si="5"/>
        <v>22.777681548398327</v>
      </c>
      <c r="H102" s="110">
        <f t="shared" si="6"/>
        <v>26.609925157702726</v>
      </c>
      <c r="I102" s="137">
        <f t="shared" si="7"/>
        <v>0</v>
      </c>
      <c r="J102" s="55">
        <f t="shared" si="8"/>
        <v>0</v>
      </c>
      <c r="K102" s="36"/>
    </row>
    <row r="103" spans="1:11" x14ac:dyDescent="0.25">
      <c r="A103" s="49">
        <f>'A) Base RI'!A105</f>
        <v>5561</v>
      </c>
      <c r="B103" s="294" t="str">
        <f>'A) Base RI'!B105</f>
        <v>Grandson</v>
      </c>
      <c r="C103" s="95">
        <f>'B) D RI'!U105</f>
        <v>121785.01104961828</v>
      </c>
      <c r="D103" s="110">
        <f>'E) Fact soc'!G109/C103</f>
        <v>19.379878879578229</v>
      </c>
      <c r="E103" s="137">
        <f>'H) Péréquation directe'!I114/C103</f>
        <v>7.5571694621570256</v>
      </c>
      <c r="F103" s="110">
        <f>+'I) Dépenses thématiques'!O103/'K) Plafonnement aide'!C103</f>
        <v>-6.5783976411467933</v>
      </c>
      <c r="G103" s="137">
        <f t="shared" si="5"/>
        <v>20.358650700588463</v>
      </c>
      <c r="H103" s="110">
        <f t="shared" si="6"/>
        <v>26.937048341735256</v>
      </c>
      <c r="I103" s="137">
        <f t="shared" si="7"/>
        <v>0</v>
      </c>
      <c r="J103" s="55">
        <f t="shared" si="8"/>
        <v>0</v>
      </c>
      <c r="K103" s="36"/>
    </row>
    <row r="104" spans="1:11" x14ac:dyDescent="0.25">
      <c r="A104" s="49">
        <f>'A) Base RI'!A106</f>
        <v>5562</v>
      </c>
      <c r="B104" s="294" t="str">
        <f>'A) Base RI'!B106</f>
        <v>Mauborget</v>
      </c>
      <c r="C104" s="95">
        <f>'B) D RI'!U106</f>
        <v>5293.9932786811205</v>
      </c>
      <c r="D104" s="110">
        <f>'E) Fact soc'!G110/C104</f>
        <v>18.632811424182176</v>
      </c>
      <c r="E104" s="137">
        <f>'H) Péréquation directe'!I115/C104</f>
        <v>16.761810700833635</v>
      </c>
      <c r="F104" s="110">
        <f>+'I) Dépenses thématiques'!O104/'K) Plafonnement aide'!C104</f>
        <v>-2.9576929110842096</v>
      </c>
      <c r="G104" s="137">
        <f t="shared" si="5"/>
        <v>32.436929213931606</v>
      </c>
      <c r="H104" s="110">
        <f t="shared" si="6"/>
        <v>35.394622125015815</v>
      </c>
      <c r="I104" s="137">
        <f t="shared" si="7"/>
        <v>0</v>
      </c>
      <c r="J104" s="55">
        <f t="shared" si="8"/>
        <v>0</v>
      </c>
      <c r="K104" s="36"/>
    </row>
    <row r="105" spans="1:11" x14ac:dyDescent="0.25">
      <c r="A105" s="49">
        <f>'A) Base RI'!A107</f>
        <v>5563</v>
      </c>
      <c r="B105" s="294" t="str">
        <f>'A) Base RI'!B107</f>
        <v>Mutrux</v>
      </c>
      <c r="C105" s="95">
        <f>'B) D RI'!U107</f>
        <v>3292.4675996165679</v>
      </c>
      <c r="D105" s="110">
        <f>'E) Fact soc'!G111/C105</f>
        <v>17.056511768457657</v>
      </c>
      <c r="E105" s="137">
        <f>'H) Péréquation directe'!I116/C105</f>
        <v>-13.916038601917569</v>
      </c>
      <c r="F105" s="110">
        <f>+'I) Dépenses thématiques'!O105/'K) Plafonnement aide'!C105</f>
        <v>-9.2053412191161819</v>
      </c>
      <c r="G105" s="137">
        <f t="shared" si="5"/>
        <v>-6.0648680525760934</v>
      </c>
      <c r="H105" s="110">
        <f t="shared" si="6"/>
        <v>3.1404731665400885</v>
      </c>
      <c r="I105" s="137">
        <f t="shared" si="7"/>
        <v>0</v>
      </c>
      <c r="J105" s="55">
        <f t="shared" si="8"/>
        <v>0</v>
      </c>
      <c r="K105" s="36"/>
    </row>
    <row r="106" spans="1:11" x14ac:dyDescent="0.25">
      <c r="A106" s="49">
        <f>'A) Base RI'!A108</f>
        <v>5564</v>
      </c>
      <c r="B106" s="294" t="str">
        <f>'A) Base RI'!B108</f>
        <v>Novalles</v>
      </c>
      <c r="C106" s="95">
        <f>'B) D RI'!U108</f>
        <v>2878.9025109575691</v>
      </c>
      <c r="D106" s="110">
        <f>'E) Fact soc'!G112/C106</f>
        <v>20.160067900553411</v>
      </c>
      <c r="E106" s="137">
        <f>'H) Péréquation directe'!I117/C106</f>
        <v>2.7502220404267614</v>
      </c>
      <c r="F106" s="110">
        <f>+'I) Dépenses thématiques'!O106/'K) Plafonnement aide'!C106</f>
        <v>-4.1619183175916303</v>
      </c>
      <c r="G106" s="137">
        <f t="shared" si="5"/>
        <v>18.74837162338854</v>
      </c>
      <c r="H106" s="110">
        <f t="shared" si="6"/>
        <v>22.910289940980171</v>
      </c>
      <c r="I106" s="137">
        <f t="shared" si="7"/>
        <v>0</v>
      </c>
      <c r="J106" s="55">
        <f t="shared" si="8"/>
        <v>0</v>
      </c>
      <c r="K106" s="36"/>
    </row>
    <row r="107" spans="1:11" x14ac:dyDescent="0.25">
      <c r="A107" s="49">
        <f>'A) Base RI'!A109</f>
        <v>5565</v>
      </c>
      <c r="B107" s="294" t="str">
        <f>'A) Base RI'!B109</f>
        <v>Onnens</v>
      </c>
      <c r="C107" s="95">
        <f>'B) D RI'!U109</f>
        <v>22496.162634074011</v>
      </c>
      <c r="D107" s="110">
        <f>'E) Fact soc'!G113/C107</f>
        <v>17.467071249518082</v>
      </c>
      <c r="E107" s="137">
        <f>'H) Péréquation directe'!I118/C107</f>
        <v>17.540360677768568</v>
      </c>
      <c r="F107" s="110">
        <f>+'I) Dépenses thématiques'!O107/'K) Plafonnement aide'!C107</f>
        <v>-3.7313547603998667</v>
      </c>
      <c r="G107" s="137">
        <f t="shared" si="5"/>
        <v>31.276077166886779</v>
      </c>
      <c r="H107" s="110">
        <f t="shared" si="6"/>
        <v>35.007431927286646</v>
      </c>
      <c r="I107" s="137">
        <f t="shared" si="7"/>
        <v>0</v>
      </c>
      <c r="J107" s="55">
        <f t="shared" si="8"/>
        <v>0</v>
      </c>
      <c r="K107" s="36"/>
    </row>
    <row r="108" spans="1:11" x14ac:dyDescent="0.25">
      <c r="A108" s="49">
        <f>'A) Base RI'!A110</f>
        <v>5566</v>
      </c>
      <c r="B108" s="294" t="str">
        <f>'A) Base RI'!B110</f>
        <v>Provence</v>
      </c>
      <c r="C108" s="95">
        <f>'B) D RI'!U110</f>
        <v>8235.6819296483191</v>
      </c>
      <c r="D108" s="110">
        <f>'E) Fact soc'!G114/C108</f>
        <v>20.947735447227185</v>
      </c>
      <c r="E108" s="137">
        <f>'H) Péréquation directe'!I119/C108</f>
        <v>-12.249609533071657</v>
      </c>
      <c r="F108" s="110">
        <f>+'I) Dépenses thématiques'!O108/'K) Plafonnement aide'!C108</f>
        <v>-15.072915787821719</v>
      </c>
      <c r="G108" s="137">
        <f t="shared" si="5"/>
        <v>-6.3747898736661917</v>
      </c>
      <c r="H108" s="110">
        <f t="shared" si="6"/>
        <v>8.6981259141555274</v>
      </c>
      <c r="I108" s="137">
        <f t="shared" si="7"/>
        <v>0</v>
      </c>
      <c r="J108" s="55">
        <f t="shared" si="8"/>
        <v>0</v>
      </c>
      <c r="K108" s="36"/>
    </row>
    <row r="109" spans="1:11" x14ac:dyDescent="0.25">
      <c r="A109" s="49">
        <f>'A) Base RI'!A111</f>
        <v>5568</v>
      </c>
      <c r="B109" s="294" t="str">
        <f>'A) Base RI'!B111</f>
        <v>Sainte-Croix</v>
      </c>
      <c r="C109" s="95">
        <f>'B) D RI'!U111</f>
        <v>101939.03540611925</v>
      </c>
      <c r="D109" s="110">
        <f>'E) Fact soc'!G115/C109</f>
        <v>23.308218217994401</v>
      </c>
      <c r="E109" s="137">
        <f>'H) Péréquation directe'!I120/C109</f>
        <v>-18.869585629708922</v>
      </c>
      <c r="F109" s="110">
        <f>+'I) Dépenses thématiques'!O109/'K) Plafonnement aide'!C109</f>
        <v>-10.555844762652422</v>
      </c>
      <c r="G109" s="137">
        <f t="shared" si="5"/>
        <v>-6.1172121743669425</v>
      </c>
      <c r="H109" s="110">
        <f t="shared" si="6"/>
        <v>4.4386325882854791</v>
      </c>
      <c r="I109" s="137">
        <f t="shared" si="7"/>
        <v>0</v>
      </c>
      <c r="J109" s="55">
        <f t="shared" si="8"/>
        <v>0</v>
      </c>
      <c r="K109" s="36"/>
    </row>
    <row r="110" spans="1:11" x14ac:dyDescent="0.25">
      <c r="A110" s="49">
        <f>'A) Base RI'!A112</f>
        <v>5571</v>
      </c>
      <c r="B110" s="294" t="str">
        <f>'A) Base RI'!B112</f>
        <v>Tévenon</v>
      </c>
      <c r="C110" s="95">
        <f>'B) D RI'!U112</f>
        <v>22492.192645834311</v>
      </c>
      <c r="D110" s="110">
        <f>'E) Fact soc'!G116/C110</f>
        <v>19.168112380300339</v>
      </c>
      <c r="E110" s="137">
        <f>'H) Péréquation directe'!I121/C110</f>
        <v>-0.43261649569685662</v>
      </c>
      <c r="F110" s="110">
        <f>+'I) Dépenses thématiques'!O110/'K) Plafonnement aide'!C110</f>
        <v>-5.2424994907209506</v>
      </c>
      <c r="G110" s="137">
        <f t="shared" si="5"/>
        <v>13.492996393882533</v>
      </c>
      <c r="H110" s="110">
        <f t="shared" si="6"/>
        <v>18.735495884603484</v>
      </c>
      <c r="I110" s="137">
        <f t="shared" si="7"/>
        <v>0</v>
      </c>
      <c r="J110" s="55">
        <f t="shared" si="8"/>
        <v>0</v>
      </c>
      <c r="K110" s="36"/>
    </row>
    <row r="111" spans="1:11" x14ac:dyDescent="0.25">
      <c r="A111" s="49">
        <f>'A) Base RI'!A113</f>
        <v>5581</v>
      </c>
      <c r="B111" s="294" t="str">
        <f>'A) Base RI'!B113</f>
        <v>Belmont-sur-Lausanne</v>
      </c>
      <c r="C111" s="95">
        <f>'B) D RI'!U113</f>
        <v>185422.93708910214</v>
      </c>
      <c r="D111" s="110">
        <f>'E) Fact soc'!G117/C111</f>
        <v>20.280333628033468</v>
      </c>
      <c r="E111" s="137">
        <f>'H) Péréquation directe'!I122/C111</f>
        <v>13.865820141335879</v>
      </c>
      <c r="F111" s="110">
        <f>+'I) Dépenses thématiques'!O111/'K) Plafonnement aide'!C111</f>
        <v>-4.2141339900804091</v>
      </c>
      <c r="G111" s="137">
        <f t="shared" si="5"/>
        <v>29.93201977928894</v>
      </c>
      <c r="H111" s="110">
        <f t="shared" si="6"/>
        <v>34.146153769369349</v>
      </c>
      <c r="I111" s="137">
        <f t="shared" si="7"/>
        <v>0</v>
      </c>
      <c r="J111" s="55">
        <f t="shared" si="8"/>
        <v>0</v>
      </c>
      <c r="K111" s="36"/>
    </row>
    <row r="112" spans="1:11" x14ac:dyDescent="0.25">
      <c r="A112" s="49">
        <f>'A) Base RI'!A114</f>
        <v>5582</v>
      </c>
      <c r="B112" s="294" t="str">
        <f>'A) Base RI'!B114</f>
        <v>Cheseaux-sur-Lausanne</v>
      </c>
      <c r="C112" s="95">
        <f>'B) D RI'!U114</f>
        <v>172785.13258345879</v>
      </c>
      <c r="D112" s="110">
        <f>'E) Fact soc'!G118/C112</f>
        <v>17.763605499114941</v>
      </c>
      <c r="E112" s="137">
        <f>'H) Péréquation directe'!I123/C112</f>
        <v>8.8770444926818239</v>
      </c>
      <c r="F112" s="110">
        <f>+'I) Dépenses thématiques'!O112/'K) Plafonnement aide'!C112</f>
        <v>-1.5607093628261017</v>
      </c>
      <c r="G112" s="137">
        <f t="shared" si="5"/>
        <v>25.079940628970661</v>
      </c>
      <c r="H112" s="110">
        <f t="shared" si="6"/>
        <v>26.640649991796764</v>
      </c>
      <c r="I112" s="137">
        <f t="shared" si="7"/>
        <v>0</v>
      </c>
      <c r="J112" s="55">
        <f t="shared" si="8"/>
        <v>0</v>
      </c>
      <c r="K112" s="36"/>
    </row>
    <row r="113" spans="1:11" x14ac:dyDescent="0.25">
      <c r="A113" s="49">
        <f>'A) Base RI'!A115</f>
        <v>5583</v>
      </c>
      <c r="B113" s="294" t="str">
        <f>'A) Base RI'!B115</f>
        <v>Crissier</v>
      </c>
      <c r="C113" s="95">
        <f>'B) D RI'!U115</f>
        <v>311434.56630958844</v>
      </c>
      <c r="D113" s="110">
        <f>'E) Fact soc'!G119/C113</f>
        <v>22.215360825815406</v>
      </c>
      <c r="E113" s="137">
        <f>'H) Péréquation directe'!I124/C113</f>
        <v>6.5226035299222058</v>
      </c>
      <c r="F113" s="110">
        <f>+'I) Dépenses thématiques'!O113/'K) Plafonnement aide'!C113</f>
        <v>-7.4361182013744562</v>
      </c>
      <c r="G113" s="137">
        <f t="shared" si="5"/>
        <v>21.301846154363155</v>
      </c>
      <c r="H113" s="110">
        <f t="shared" si="6"/>
        <v>28.73796435573761</v>
      </c>
      <c r="I113" s="137">
        <f t="shared" si="7"/>
        <v>0</v>
      </c>
      <c r="J113" s="55">
        <f t="shared" si="8"/>
        <v>0</v>
      </c>
      <c r="K113" s="36"/>
    </row>
    <row r="114" spans="1:11" x14ac:dyDescent="0.25">
      <c r="A114" s="49">
        <f>'A) Base RI'!A116</f>
        <v>5584</v>
      </c>
      <c r="B114" s="294" t="str">
        <f>'A) Base RI'!B116</f>
        <v>Epalinges</v>
      </c>
      <c r="C114" s="95">
        <f>'B) D RI'!U116</f>
        <v>462898.41144046158</v>
      </c>
      <c r="D114" s="110">
        <f>'E) Fact soc'!G120/C114</f>
        <v>24.575957126615613</v>
      </c>
      <c r="E114" s="137">
        <f>'H) Péréquation directe'!I125/C114</f>
        <v>10.019750500436412</v>
      </c>
      <c r="F114" s="110">
        <f>+'I) Dépenses thématiques'!O114/'K) Plafonnement aide'!C114</f>
        <v>-7.3507886431649156</v>
      </c>
      <c r="G114" s="137">
        <f t="shared" si="5"/>
        <v>27.244918983887107</v>
      </c>
      <c r="H114" s="110">
        <f t="shared" si="6"/>
        <v>34.595707627052022</v>
      </c>
      <c r="I114" s="137">
        <f t="shared" si="7"/>
        <v>0</v>
      </c>
      <c r="J114" s="55">
        <f t="shared" si="8"/>
        <v>0</v>
      </c>
      <c r="K114" s="36"/>
    </row>
    <row r="115" spans="1:11" x14ac:dyDescent="0.25">
      <c r="A115" s="49">
        <f>'A) Base RI'!A117</f>
        <v>5585</v>
      </c>
      <c r="B115" s="294" t="str">
        <f>'A) Base RI'!B117</f>
        <v>Jouxtens-Mézery</v>
      </c>
      <c r="C115" s="95">
        <f>'B) D RI'!U117</f>
        <v>219524.13851096807</v>
      </c>
      <c r="D115" s="110">
        <f>'E) Fact soc'!G121/C115</f>
        <v>32.869304875898031</v>
      </c>
      <c r="E115" s="137">
        <f>'H) Péréquation directe'!I126/C115</f>
        <v>18.963484171532794</v>
      </c>
      <c r="F115" s="110">
        <f>+'I) Dépenses thématiques'!O115/'K) Plafonnement aide'!C115</f>
        <v>0</v>
      </c>
      <c r="G115" s="137">
        <f t="shared" si="5"/>
        <v>51.832789047430822</v>
      </c>
      <c r="H115" s="110">
        <f t="shared" si="6"/>
        <v>51.832789047430822</v>
      </c>
      <c r="I115" s="137">
        <f t="shared" si="7"/>
        <v>0</v>
      </c>
      <c r="J115" s="55">
        <f t="shared" si="8"/>
        <v>0</v>
      </c>
      <c r="K115" s="36"/>
    </row>
    <row r="116" spans="1:11" x14ac:dyDescent="0.25">
      <c r="A116" s="49">
        <f>'A) Base RI'!A118</f>
        <v>5586</v>
      </c>
      <c r="B116" s="294" t="str">
        <f>'A) Base RI'!B118</f>
        <v>Lausanne</v>
      </c>
      <c r="C116" s="95">
        <f>'B) D RI'!U118</f>
        <v>5631743.9365920834</v>
      </c>
      <c r="D116" s="110">
        <f>'E) Fact soc'!G122/C116</f>
        <v>19.436827474805757</v>
      </c>
      <c r="E116" s="137">
        <f>'H) Péréquation directe'!I127/C116</f>
        <v>-7.4629135698641864</v>
      </c>
      <c r="F116" s="110">
        <f>+'I) Dépenses thématiques'!O116/'K) Plafonnement aide'!C116</f>
        <v>-9.4940371164212944</v>
      </c>
      <c r="G116" s="137">
        <f t="shared" si="5"/>
        <v>2.4798767885202757</v>
      </c>
      <c r="H116" s="110">
        <f t="shared" si="6"/>
        <v>11.97391390494157</v>
      </c>
      <c r="I116" s="137">
        <f t="shared" si="7"/>
        <v>0</v>
      </c>
      <c r="J116" s="55">
        <f t="shared" si="8"/>
        <v>0</v>
      </c>
      <c r="K116" s="36"/>
    </row>
    <row r="117" spans="1:11" x14ac:dyDescent="0.25">
      <c r="A117" s="49">
        <f>'A) Base RI'!A119</f>
        <v>5587</v>
      </c>
      <c r="B117" s="294" t="str">
        <f>'A) Base RI'!B119</f>
        <v>Le Mont-sur-Lausanne</v>
      </c>
      <c r="C117" s="95">
        <f>'B) D RI'!U119</f>
        <v>419159.15757031104</v>
      </c>
      <c r="D117" s="110">
        <f>'E) Fact soc'!G123/C117</f>
        <v>19.107396621744929</v>
      </c>
      <c r="E117" s="137">
        <f>'H) Péréquation directe'!I128/C117</f>
        <v>10.905067491750033</v>
      </c>
      <c r="F117" s="110">
        <f>+'I) Dépenses thématiques'!O117/'K) Plafonnement aide'!C117</f>
        <v>-5.7274595792628871</v>
      </c>
      <c r="G117" s="137">
        <f t="shared" si="5"/>
        <v>24.285004534232076</v>
      </c>
      <c r="H117" s="110">
        <f t="shared" si="6"/>
        <v>30.012464113494964</v>
      </c>
      <c r="I117" s="137">
        <f t="shared" si="7"/>
        <v>0</v>
      </c>
      <c r="J117" s="55">
        <f t="shared" si="8"/>
        <v>0</v>
      </c>
      <c r="K117" s="36"/>
    </row>
    <row r="118" spans="1:11" x14ac:dyDescent="0.25">
      <c r="A118" s="49">
        <f>'A) Base RI'!A120</f>
        <v>5588</v>
      </c>
      <c r="B118" s="294" t="str">
        <f>'A) Base RI'!B120</f>
        <v>Paudex</v>
      </c>
      <c r="C118" s="95">
        <f>'B) D RI'!U120</f>
        <v>128424.0019189813</v>
      </c>
      <c r="D118" s="110">
        <f>'E) Fact soc'!G124/C118</f>
        <v>26.663385557371814</v>
      </c>
      <c r="E118" s="137">
        <f>'H) Péréquation directe'!I129/C118</f>
        <v>17.929791733458224</v>
      </c>
      <c r="F118" s="110">
        <f>+'I) Dépenses thématiques'!O118/'K) Plafonnement aide'!C118</f>
        <v>0</v>
      </c>
      <c r="G118" s="137">
        <f t="shared" si="5"/>
        <v>44.593177290830042</v>
      </c>
      <c r="H118" s="110">
        <f t="shared" si="6"/>
        <v>44.593177290830042</v>
      </c>
      <c r="I118" s="137">
        <f t="shared" si="7"/>
        <v>0</v>
      </c>
      <c r="J118" s="55">
        <f t="shared" si="8"/>
        <v>0</v>
      </c>
      <c r="K118" s="36"/>
    </row>
    <row r="119" spans="1:11" x14ac:dyDescent="0.25">
      <c r="A119" s="49">
        <f>'A) Base RI'!A121</f>
        <v>5589</v>
      </c>
      <c r="B119" s="294" t="str">
        <f>'A) Base RI'!B121</f>
        <v>Prilly</v>
      </c>
      <c r="C119" s="95">
        <f>'B) D RI'!U121</f>
        <v>381105.28464677284</v>
      </c>
      <c r="D119" s="110">
        <f>'E) Fact soc'!G125/C119</f>
        <v>18.655045472327402</v>
      </c>
      <c r="E119" s="137">
        <f>'H) Péréquation directe'!I130/C119</f>
        <v>-8.3330676094002296</v>
      </c>
      <c r="F119" s="110">
        <f>+'I) Dépenses thématiques'!O119/'K) Plafonnement aide'!C119</f>
        <v>-7.0097743750480808</v>
      </c>
      <c r="G119" s="137">
        <f t="shared" si="5"/>
        <v>3.3122034878790911</v>
      </c>
      <c r="H119" s="110">
        <f t="shared" si="6"/>
        <v>10.321977862927172</v>
      </c>
      <c r="I119" s="137">
        <f t="shared" si="7"/>
        <v>0</v>
      </c>
      <c r="J119" s="55">
        <f t="shared" si="8"/>
        <v>0</v>
      </c>
      <c r="K119" s="36"/>
    </row>
    <row r="120" spans="1:11" x14ac:dyDescent="0.25">
      <c r="A120" s="49">
        <f>'A) Base RI'!A122</f>
        <v>5590</v>
      </c>
      <c r="B120" s="294" t="str">
        <f>'A) Base RI'!B122</f>
        <v>Pully</v>
      </c>
      <c r="C120" s="95">
        <f>'B) D RI'!U122</f>
        <v>1400746.467371441</v>
      </c>
      <c r="D120" s="110">
        <f>'E) Fact soc'!G126/C120</f>
        <v>27.941476111737558</v>
      </c>
      <c r="E120" s="137">
        <f>'H) Péréquation directe'!I131/C120</f>
        <v>10.812959398445489</v>
      </c>
      <c r="F120" s="110">
        <f>+'I) Dépenses thématiques'!O120/'K) Plafonnement aide'!C120</f>
        <v>-1.5920558885376506</v>
      </c>
      <c r="G120" s="137">
        <f t="shared" si="5"/>
        <v>37.162379621645393</v>
      </c>
      <c r="H120" s="110">
        <f t="shared" si="6"/>
        <v>38.754435510183043</v>
      </c>
      <c r="I120" s="137">
        <f t="shared" si="7"/>
        <v>0</v>
      </c>
      <c r="J120" s="55">
        <f t="shared" si="8"/>
        <v>0</v>
      </c>
      <c r="K120" s="36"/>
    </row>
    <row r="121" spans="1:11" x14ac:dyDescent="0.25">
      <c r="A121" s="49">
        <f>'A) Base RI'!A123</f>
        <v>5591</v>
      </c>
      <c r="B121" s="294" t="str">
        <f>'A) Base RI'!B123</f>
        <v>Renens</v>
      </c>
      <c r="C121" s="95">
        <f>'B) D RI'!U123</f>
        <v>542865.69746271567</v>
      </c>
      <c r="D121" s="110">
        <f>'E) Fact soc'!G127/C121</f>
        <v>20.907725478921552</v>
      </c>
      <c r="E121" s="137">
        <f>'H) Péréquation directe'!I132/C121</f>
        <v>-27.158354877826536</v>
      </c>
      <c r="F121" s="110">
        <f>+'I) Dépenses thématiques'!O121/'K) Plafonnement aide'!C121</f>
        <v>-10.911434039132795</v>
      </c>
      <c r="G121" s="137">
        <f t="shared" si="5"/>
        <v>-17.162063438037777</v>
      </c>
      <c r="H121" s="110">
        <f t="shared" si="6"/>
        <v>-6.2506293989049819</v>
      </c>
      <c r="I121" s="137">
        <f t="shared" si="7"/>
        <v>0</v>
      </c>
      <c r="J121" s="55">
        <f t="shared" si="8"/>
        <v>0</v>
      </c>
      <c r="K121" s="36"/>
    </row>
    <row r="122" spans="1:11" x14ac:dyDescent="0.25">
      <c r="A122" s="49">
        <f>'A) Base RI'!A124</f>
        <v>5592</v>
      </c>
      <c r="B122" s="294" t="str">
        <f>'A) Base RI'!B124</f>
        <v>Romanel-sur-Lausanne</v>
      </c>
      <c r="C122" s="95">
        <f>'B) D RI'!U124</f>
        <v>113665.67141569764</v>
      </c>
      <c r="D122" s="110">
        <f>'E) Fact soc'!G128/C122</f>
        <v>17.648044591655697</v>
      </c>
      <c r="E122" s="137">
        <f>'H) Péréquation directe'!I133/C122</f>
        <v>5.7080228415268239</v>
      </c>
      <c r="F122" s="110">
        <f>+'I) Dépenses thématiques'!O122/'K) Plafonnement aide'!C122</f>
        <v>-2.0843766225791671</v>
      </c>
      <c r="G122" s="137">
        <f t="shared" si="5"/>
        <v>21.271690810603353</v>
      </c>
      <c r="H122" s="110">
        <f t="shared" si="6"/>
        <v>23.35606743318252</v>
      </c>
      <c r="I122" s="137">
        <f t="shared" si="7"/>
        <v>0</v>
      </c>
      <c r="J122" s="55">
        <f t="shared" si="8"/>
        <v>0</v>
      </c>
      <c r="K122" s="36"/>
    </row>
    <row r="123" spans="1:11" x14ac:dyDescent="0.25">
      <c r="A123" s="49">
        <f>'A) Base RI'!A125</f>
        <v>5601</v>
      </c>
      <c r="B123" s="294" t="str">
        <f>'A) Base RI'!B125</f>
        <v>Chexbres</v>
      </c>
      <c r="C123" s="95">
        <f>'B) D RI'!U125</f>
        <v>102425.76498358055</v>
      </c>
      <c r="D123" s="110">
        <f>'E) Fact soc'!G129/C123</f>
        <v>19.273330483843072</v>
      </c>
      <c r="E123" s="137">
        <f>'H) Péréquation directe'!I134/C123</f>
        <v>14.837218502362742</v>
      </c>
      <c r="F123" s="110">
        <f>+'I) Dépenses thématiques'!O123/'K) Plafonnement aide'!C123</f>
        <v>-2.2359675041572262</v>
      </c>
      <c r="G123" s="137">
        <f t="shared" si="5"/>
        <v>31.874581482048587</v>
      </c>
      <c r="H123" s="110">
        <f t="shared" si="6"/>
        <v>34.110548986205814</v>
      </c>
      <c r="I123" s="137">
        <f t="shared" si="7"/>
        <v>0</v>
      </c>
      <c r="J123" s="55">
        <f t="shared" si="8"/>
        <v>0</v>
      </c>
      <c r="K123" s="36"/>
    </row>
    <row r="124" spans="1:11" x14ac:dyDescent="0.25">
      <c r="A124" s="49">
        <f>'A) Base RI'!A126</f>
        <v>5604</v>
      </c>
      <c r="B124" s="294" t="str">
        <f>'A) Base RI'!B126</f>
        <v>Forel (Lavaux)</v>
      </c>
      <c r="C124" s="95">
        <f>'B) D RI'!U126</f>
        <v>73155.644895461912</v>
      </c>
      <c r="D124" s="110">
        <f>'E) Fact soc'!G130/C124</f>
        <v>18.135064302912699</v>
      </c>
      <c r="E124" s="137">
        <f>'H) Péréquation directe'!I135/C124</f>
        <v>8.0317964335131826</v>
      </c>
      <c r="F124" s="110">
        <f>+'I) Dépenses thématiques'!O124/'K) Plafonnement aide'!C124</f>
        <v>-4.4135954846827454</v>
      </c>
      <c r="G124" s="137">
        <f t="shared" si="5"/>
        <v>21.753265251743137</v>
      </c>
      <c r="H124" s="110">
        <f t="shared" si="6"/>
        <v>26.166860736425882</v>
      </c>
      <c r="I124" s="137">
        <f t="shared" si="7"/>
        <v>0</v>
      </c>
      <c r="J124" s="55">
        <f t="shared" si="8"/>
        <v>0</v>
      </c>
      <c r="K124" s="36"/>
    </row>
    <row r="125" spans="1:11" x14ac:dyDescent="0.25">
      <c r="A125" s="49">
        <f>'A) Base RI'!A127</f>
        <v>5606</v>
      </c>
      <c r="B125" s="294" t="str">
        <f>'A) Base RI'!B127</f>
        <v>Lutry</v>
      </c>
      <c r="C125" s="95">
        <f>'B) D RI'!U127</f>
        <v>811441.75973886927</v>
      </c>
      <c r="D125" s="110">
        <f>'E) Fact soc'!G131/C125</f>
        <v>27.444894085865652</v>
      </c>
      <c r="E125" s="137">
        <f>'H) Péréquation directe'!I136/C125</f>
        <v>13.736261742283061</v>
      </c>
      <c r="F125" s="110">
        <f>+'I) Dépenses thématiques'!O125/'K) Plafonnement aide'!C125</f>
        <v>-2.6121521211210581</v>
      </c>
      <c r="G125" s="137">
        <f t="shared" si="5"/>
        <v>38.569003707027655</v>
      </c>
      <c r="H125" s="110">
        <f t="shared" si="6"/>
        <v>41.181155828148711</v>
      </c>
      <c r="I125" s="137">
        <f t="shared" si="7"/>
        <v>0</v>
      </c>
      <c r="J125" s="55">
        <f t="shared" si="8"/>
        <v>0</v>
      </c>
      <c r="K125" s="36"/>
    </row>
    <row r="126" spans="1:11" x14ac:dyDescent="0.25">
      <c r="A126" s="49">
        <f>'A) Base RI'!A128</f>
        <v>5607</v>
      </c>
      <c r="B126" s="294" t="str">
        <f>'A) Base RI'!B128</f>
        <v>Puidoux</v>
      </c>
      <c r="C126" s="95">
        <f>'B) D RI'!U128</f>
        <v>106681.90706629901</v>
      </c>
      <c r="D126" s="110">
        <f>'E) Fact soc'!G132/C126</f>
        <v>19.386780140319004</v>
      </c>
      <c r="E126" s="137">
        <f>'H) Péréquation directe'!I137/C126</f>
        <v>8.8564112724494866</v>
      </c>
      <c r="F126" s="110">
        <f>+'I) Dépenses thématiques'!O126/'K) Plafonnement aide'!C126</f>
        <v>-7.3052344886751497</v>
      </c>
      <c r="G126" s="137">
        <f t="shared" si="5"/>
        <v>20.937956924093339</v>
      </c>
      <c r="H126" s="110">
        <f t="shared" si="6"/>
        <v>28.243191412768489</v>
      </c>
      <c r="I126" s="137">
        <f t="shared" si="7"/>
        <v>0</v>
      </c>
      <c r="J126" s="55">
        <f t="shared" si="8"/>
        <v>0</v>
      </c>
      <c r="K126" s="36"/>
    </row>
    <row r="127" spans="1:11" x14ac:dyDescent="0.25">
      <c r="A127" s="49">
        <f>'A) Base RI'!A129</f>
        <v>5609</v>
      </c>
      <c r="B127" s="294" t="str">
        <f>'A) Base RI'!B129</f>
        <v>Rivaz</v>
      </c>
      <c r="C127" s="95">
        <f>'B) D RI'!U129</f>
        <v>13473.763444719882</v>
      </c>
      <c r="D127" s="110">
        <f>'E) Fact soc'!G133/C127</f>
        <v>16.130199853864717</v>
      </c>
      <c r="E127" s="137">
        <f>'H) Péréquation directe'!I138/C127</f>
        <v>13.901840942249429</v>
      </c>
      <c r="F127" s="110">
        <f>+'I) Dépenses thématiques'!O127/'K) Plafonnement aide'!C127</f>
        <v>-2.1963736605790758</v>
      </c>
      <c r="G127" s="137">
        <f t="shared" si="5"/>
        <v>27.835667135535068</v>
      </c>
      <c r="H127" s="110">
        <f t="shared" si="6"/>
        <v>30.032040796114146</v>
      </c>
      <c r="I127" s="137">
        <f t="shared" si="7"/>
        <v>0</v>
      </c>
      <c r="J127" s="55">
        <f t="shared" si="8"/>
        <v>0</v>
      </c>
      <c r="K127" s="36"/>
    </row>
    <row r="128" spans="1:11" x14ac:dyDescent="0.25">
      <c r="A128" s="49">
        <f>'A) Base RI'!A130</f>
        <v>5610</v>
      </c>
      <c r="B128" s="294" t="str">
        <f>'A) Base RI'!B130</f>
        <v>St-Saphorin (Lavaux)</v>
      </c>
      <c r="C128" s="95">
        <f>'B) D RI'!U130</f>
        <v>21538.059608526812</v>
      </c>
      <c r="D128" s="110">
        <f>'E) Fact soc'!G134/C128</f>
        <v>19.055848315613655</v>
      </c>
      <c r="E128" s="137">
        <f>'H) Péréquation directe'!I139/C128</f>
        <v>18.015555945953789</v>
      </c>
      <c r="F128" s="110">
        <f>+'I) Dépenses thématiques'!O128/'K) Plafonnement aide'!C128</f>
        <v>-1.1353326216222126</v>
      </c>
      <c r="G128" s="137">
        <f t="shared" si="5"/>
        <v>35.936071639945233</v>
      </c>
      <c r="H128" s="110">
        <f t="shared" si="6"/>
        <v>37.071404261567444</v>
      </c>
      <c r="I128" s="137">
        <f t="shared" si="7"/>
        <v>0</v>
      </c>
      <c r="J128" s="55">
        <f t="shared" si="8"/>
        <v>0</v>
      </c>
      <c r="K128" s="36"/>
    </row>
    <row r="129" spans="1:11" x14ac:dyDescent="0.25">
      <c r="A129" s="49">
        <f>'A) Base RI'!A131</f>
        <v>5611</v>
      </c>
      <c r="B129" s="294" t="str">
        <f>'A) Base RI'!B131</f>
        <v>Savigny</v>
      </c>
      <c r="C129" s="95">
        <f>'B) D RI'!U131</f>
        <v>135057.67308998347</v>
      </c>
      <c r="D129" s="110">
        <f>'E) Fact soc'!G135/C129</f>
        <v>21.632889510708029</v>
      </c>
      <c r="E129" s="137">
        <f>'H) Péréquation directe'!I140/C129</f>
        <v>10.73811152501982</v>
      </c>
      <c r="F129" s="110">
        <f>+'I) Dépenses thématiques'!O129/'K) Plafonnement aide'!C129</f>
        <v>-3.2289950640521594</v>
      </c>
      <c r="G129" s="137">
        <f t="shared" si="5"/>
        <v>29.14200597167569</v>
      </c>
      <c r="H129" s="110">
        <f t="shared" si="6"/>
        <v>32.371001035727851</v>
      </c>
      <c r="I129" s="137">
        <f t="shared" si="7"/>
        <v>0</v>
      </c>
      <c r="J129" s="55">
        <f t="shared" si="8"/>
        <v>0</v>
      </c>
      <c r="K129" s="36"/>
    </row>
    <row r="130" spans="1:11" x14ac:dyDescent="0.25">
      <c r="A130" s="49">
        <f>'A) Base RI'!A132</f>
        <v>5613</v>
      </c>
      <c r="B130" s="294" t="str">
        <f>'A) Base RI'!B132</f>
        <v>Bourg-en-Lavaux</v>
      </c>
      <c r="C130" s="95">
        <f>'B) D RI'!U132</f>
        <v>293013.05852938921</v>
      </c>
      <c r="D130" s="110">
        <f>'E) Fact soc'!G136/C130</f>
        <v>21.400423957597273</v>
      </c>
      <c r="E130" s="137">
        <f>'H) Péréquation directe'!I141/C130</f>
        <v>13.309640114577579</v>
      </c>
      <c r="F130" s="110">
        <f>+'I) Dépenses thématiques'!O130/'K) Plafonnement aide'!C130</f>
        <v>-0.2701654026106301</v>
      </c>
      <c r="G130" s="137">
        <f t="shared" si="5"/>
        <v>34.439898669564222</v>
      </c>
      <c r="H130" s="110">
        <f t="shared" si="6"/>
        <v>34.710064072174852</v>
      </c>
      <c r="I130" s="137">
        <f t="shared" si="7"/>
        <v>0</v>
      </c>
      <c r="J130" s="55">
        <f t="shared" si="8"/>
        <v>0</v>
      </c>
      <c r="K130" s="36"/>
    </row>
    <row r="131" spans="1:11" x14ac:dyDescent="0.25">
      <c r="A131" s="49">
        <f>'A) Base RI'!A133</f>
        <v>5621</v>
      </c>
      <c r="B131" s="294" t="str">
        <f>'A) Base RI'!B133</f>
        <v>Aclens</v>
      </c>
      <c r="C131" s="95">
        <f>'B) D RI'!U133</f>
        <v>33712.724093262899</v>
      </c>
      <c r="D131" s="110">
        <f>'E) Fact soc'!G137/C131</f>
        <v>27.322359680196769</v>
      </c>
      <c r="E131" s="137">
        <f>'H) Péréquation directe'!I142/C131</f>
        <v>18.300835040012306</v>
      </c>
      <c r="F131" s="110">
        <f>+'I) Dépenses thématiques'!O131/'K) Plafonnement aide'!C131</f>
        <v>-1.7745946085861408</v>
      </c>
      <c r="G131" s="137">
        <f t="shared" si="5"/>
        <v>43.848600111622929</v>
      </c>
      <c r="H131" s="110">
        <f t="shared" si="6"/>
        <v>45.623194720209071</v>
      </c>
      <c r="I131" s="137">
        <f t="shared" si="7"/>
        <v>0</v>
      </c>
      <c r="J131" s="55">
        <f t="shared" si="8"/>
        <v>0</v>
      </c>
      <c r="K131" s="36"/>
    </row>
    <row r="132" spans="1:11" x14ac:dyDescent="0.25">
      <c r="A132" s="49">
        <f>'A) Base RI'!A134</f>
        <v>5622</v>
      </c>
      <c r="B132" s="294" t="str">
        <f>'A) Base RI'!B134</f>
        <v>Bremblens</v>
      </c>
      <c r="C132" s="95">
        <f>'B) D RI'!U134</f>
        <v>25760.394087687673</v>
      </c>
      <c r="D132" s="110">
        <f>'E) Fact soc'!G138/C132</f>
        <v>21.163556601186471</v>
      </c>
      <c r="E132" s="137">
        <f>'H) Péréquation directe'!I143/C132</f>
        <v>17.626066146016093</v>
      </c>
      <c r="F132" s="110">
        <f>+'I) Dépenses thématiques'!O132/'K) Plafonnement aide'!C132</f>
        <v>-0.20712087339568439</v>
      </c>
      <c r="G132" s="137">
        <f t="shared" si="5"/>
        <v>38.582501873806883</v>
      </c>
      <c r="H132" s="110">
        <f t="shared" si="6"/>
        <v>38.789622747202564</v>
      </c>
      <c r="I132" s="137">
        <f t="shared" si="7"/>
        <v>0</v>
      </c>
      <c r="J132" s="55">
        <f t="shared" si="8"/>
        <v>0</v>
      </c>
      <c r="K132" s="36"/>
    </row>
    <row r="133" spans="1:11" x14ac:dyDescent="0.25">
      <c r="A133" s="49">
        <f>'A) Base RI'!A135</f>
        <v>5623</v>
      </c>
      <c r="B133" s="294" t="str">
        <f>'A) Base RI'!B135</f>
        <v>Buchillon</v>
      </c>
      <c r="C133" s="95">
        <f>'B) D RI'!U135</f>
        <v>119048.13355212047</v>
      </c>
      <c r="D133" s="110">
        <f>'E) Fact soc'!G139/C133</f>
        <v>35.762795628246508</v>
      </c>
      <c r="E133" s="137">
        <f>'H) Péréquation directe'!I144/C133</f>
        <v>19.600701350863311</v>
      </c>
      <c r="F133" s="110">
        <f>+'I) Dépenses thématiques'!O133/'K) Plafonnement aide'!C133</f>
        <v>0</v>
      </c>
      <c r="G133" s="137">
        <f t="shared" si="5"/>
        <v>55.363496979109819</v>
      </c>
      <c r="H133" s="110">
        <f t="shared" si="6"/>
        <v>55.363496979109819</v>
      </c>
      <c r="I133" s="137">
        <f t="shared" si="7"/>
        <v>0</v>
      </c>
      <c r="J133" s="55">
        <f t="shared" si="8"/>
        <v>0</v>
      </c>
      <c r="K133" s="36"/>
    </row>
    <row r="134" spans="1:11" x14ac:dyDescent="0.25">
      <c r="A134" s="49">
        <f>'A) Base RI'!A136</f>
        <v>5624</v>
      </c>
      <c r="B134" s="294" t="str">
        <f>'A) Base RI'!B136</f>
        <v>Bussigny</v>
      </c>
      <c r="C134" s="95">
        <f>'B) D RI'!U136</f>
        <v>356482.21982509014</v>
      </c>
      <c r="D134" s="110">
        <f>'E) Fact soc'!G140/C134</f>
        <v>19.99688117376737</v>
      </c>
      <c r="E134" s="137">
        <f>'H) Péréquation directe'!I145/C134</f>
        <v>7.2475886294380603</v>
      </c>
      <c r="F134" s="110">
        <f>+'I) Dépenses thématiques'!O134/'K) Plafonnement aide'!C134</f>
        <v>-3.7170561926967252</v>
      </c>
      <c r="G134" s="137">
        <f t="shared" ref="G134:G197" si="9">SUM(D134:F134)</f>
        <v>23.527413610508706</v>
      </c>
      <c r="H134" s="110">
        <f t="shared" ref="H134:H197" si="10">G134-F134</f>
        <v>27.24446980320543</v>
      </c>
      <c r="I134" s="137">
        <f t="shared" ref="I134:I197" si="11">IF(H134&lt;I$4,H134-I$4,0)</f>
        <v>0</v>
      </c>
      <c r="J134" s="55">
        <f t="shared" ref="J134:J197" si="12">-I134*C134</f>
        <v>0</v>
      </c>
      <c r="K134" s="36"/>
    </row>
    <row r="135" spans="1:11" x14ac:dyDescent="0.25">
      <c r="A135" s="49">
        <f>'A) Base RI'!A137</f>
        <v>5625</v>
      </c>
      <c r="B135" s="294" t="str">
        <f>'A) Base RI'!B137</f>
        <v>Bussy-Chardonney</v>
      </c>
      <c r="C135" s="95">
        <f>'B) D RI'!U137</f>
        <v>13370.312366998642</v>
      </c>
      <c r="D135" s="110">
        <f>'E) Fact soc'!G141/C135</f>
        <v>20.326107229308828</v>
      </c>
      <c r="E135" s="137">
        <f>'H) Péréquation directe'!I146/C135</f>
        <v>10.466737677355757</v>
      </c>
      <c r="F135" s="110">
        <f>+'I) Dépenses thématiques'!O135/'K) Plafonnement aide'!C135</f>
        <v>-5.1172774672091874</v>
      </c>
      <c r="G135" s="137">
        <f t="shared" si="9"/>
        <v>25.675567439455396</v>
      </c>
      <c r="H135" s="110">
        <f t="shared" si="10"/>
        <v>30.792844906664584</v>
      </c>
      <c r="I135" s="137">
        <f t="shared" si="11"/>
        <v>0</v>
      </c>
      <c r="J135" s="55">
        <f t="shared" si="12"/>
        <v>0</v>
      </c>
      <c r="K135" s="36"/>
    </row>
    <row r="136" spans="1:11" x14ac:dyDescent="0.25">
      <c r="A136" s="49">
        <f>'A) Base RI'!A138</f>
        <v>5627</v>
      </c>
      <c r="B136" s="294" t="str">
        <f>'A) Base RI'!B138</f>
        <v>Chavannes-près-Renens</v>
      </c>
      <c r="C136" s="95">
        <f>'B) D RI'!U138</f>
        <v>173390.58290122479</v>
      </c>
      <c r="D136" s="110">
        <f>'E) Fact soc'!G142/C136</f>
        <v>19.124841423949491</v>
      </c>
      <c r="E136" s="137">
        <f>'H) Péréquation directe'!I147/C136</f>
        <v>-24.5548356615881</v>
      </c>
      <c r="F136" s="110">
        <f>+'I) Dépenses thématiques'!O136/'K) Plafonnement aide'!C136</f>
        <v>-8.1671227811295619</v>
      </c>
      <c r="G136" s="137">
        <f t="shared" si="9"/>
        <v>-13.597117018768172</v>
      </c>
      <c r="H136" s="110">
        <f t="shared" si="10"/>
        <v>-5.4299942376386099</v>
      </c>
      <c r="I136" s="137">
        <f t="shared" si="11"/>
        <v>0</v>
      </c>
      <c r="J136" s="55">
        <f t="shared" si="12"/>
        <v>0</v>
      </c>
      <c r="K136" s="36"/>
    </row>
    <row r="137" spans="1:11" x14ac:dyDescent="0.25">
      <c r="A137" s="49">
        <f>'A) Base RI'!A139</f>
        <v>5628</v>
      </c>
      <c r="B137" s="294" t="str">
        <f>'A) Base RI'!B139</f>
        <v>Chigny</v>
      </c>
      <c r="C137" s="95">
        <f>'B) D RI'!U139</f>
        <v>21894.357951349266</v>
      </c>
      <c r="D137" s="110">
        <f>'E) Fact soc'!G143/C137</f>
        <v>21.221570970535893</v>
      </c>
      <c r="E137" s="137">
        <f>'H) Péréquation directe'!I148/C137</f>
        <v>18.240662465179906</v>
      </c>
      <c r="F137" s="110">
        <f>+'I) Dépenses thématiques'!O137/'K) Plafonnement aide'!C137</f>
        <v>0</v>
      </c>
      <c r="G137" s="137">
        <f t="shared" si="9"/>
        <v>39.462233435715802</v>
      </c>
      <c r="H137" s="110">
        <f t="shared" si="10"/>
        <v>39.462233435715802</v>
      </c>
      <c r="I137" s="137">
        <f t="shared" si="11"/>
        <v>0</v>
      </c>
      <c r="J137" s="55">
        <f t="shared" si="12"/>
        <v>0</v>
      </c>
      <c r="K137" s="36"/>
    </row>
    <row r="138" spans="1:11" x14ac:dyDescent="0.25">
      <c r="A138" s="49">
        <f>'A) Base RI'!A140</f>
        <v>5629</v>
      </c>
      <c r="B138" s="294" t="str">
        <f>'A) Base RI'!B140</f>
        <v>Clarmont</v>
      </c>
      <c r="C138" s="95">
        <f>'B) D RI'!U140</f>
        <v>6916.2311229358211</v>
      </c>
      <c r="D138" s="110">
        <f>'E) Fact soc'!G144/C138</f>
        <v>19.738615299797907</v>
      </c>
      <c r="E138" s="137">
        <f>'H) Péréquation directe'!I149/C138</f>
        <v>11.67566118596114</v>
      </c>
      <c r="F138" s="110">
        <f>+'I) Dépenses thématiques'!O138/'K) Plafonnement aide'!C138</f>
        <v>-6.0589651195687013</v>
      </c>
      <c r="G138" s="137">
        <f t="shared" si="9"/>
        <v>25.355311366190346</v>
      </c>
      <c r="H138" s="110">
        <f t="shared" si="10"/>
        <v>31.414276485759046</v>
      </c>
      <c r="I138" s="137">
        <f t="shared" si="11"/>
        <v>0</v>
      </c>
      <c r="J138" s="55">
        <f t="shared" si="12"/>
        <v>0</v>
      </c>
      <c r="K138" s="36"/>
    </row>
    <row r="139" spans="1:11" x14ac:dyDescent="0.25">
      <c r="A139" s="49">
        <f>'A) Base RI'!A141</f>
        <v>5631</v>
      </c>
      <c r="B139" s="294" t="str">
        <f>'A) Base RI'!B141</f>
        <v>Denens</v>
      </c>
      <c r="C139" s="95">
        <f>'B) D RI'!U141</f>
        <v>43815.97689546422</v>
      </c>
      <c r="D139" s="110">
        <f>'E) Fact soc'!G145/C139</f>
        <v>21.7999270089968</v>
      </c>
      <c r="E139" s="137">
        <f>'H) Péréquation directe'!I150/C139</f>
        <v>18.153583754616431</v>
      </c>
      <c r="F139" s="110">
        <f>+'I) Dépenses thématiques'!O139/'K) Plafonnement aide'!C139</f>
        <v>0</v>
      </c>
      <c r="G139" s="137">
        <f t="shared" si="9"/>
        <v>39.953510763613231</v>
      </c>
      <c r="H139" s="110">
        <f t="shared" si="10"/>
        <v>39.953510763613231</v>
      </c>
      <c r="I139" s="137">
        <f t="shared" si="11"/>
        <v>0</v>
      </c>
      <c r="J139" s="55">
        <f t="shared" si="12"/>
        <v>0</v>
      </c>
      <c r="K139" s="36"/>
    </row>
    <row r="140" spans="1:11" x14ac:dyDescent="0.25">
      <c r="A140" s="49">
        <f>'A) Base RI'!A142</f>
        <v>5632</v>
      </c>
      <c r="B140" s="294" t="str">
        <f>'A) Base RI'!B142</f>
        <v>Denges</v>
      </c>
      <c r="C140" s="95">
        <f>'B) D RI'!U142</f>
        <v>67687.396226466764</v>
      </c>
      <c r="D140" s="110">
        <f>'E) Fact soc'!G146/C140</f>
        <v>19.193953564616809</v>
      </c>
      <c r="E140" s="137">
        <f>'H) Péréquation directe'!I151/C140</f>
        <v>14.274607479956897</v>
      </c>
      <c r="F140" s="110">
        <f>+'I) Dépenses thématiques'!O140/'K) Plafonnement aide'!C140</f>
        <v>-1.4118908068937854</v>
      </c>
      <c r="G140" s="137">
        <f t="shared" si="9"/>
        <v>32.056670237679917</v>
      </c>
      <c r="H140" s="110">
        <f t="shared" si="10"/>
        <v>33.468561044573704</v>
      </c>
      <c r="I140" s="137">
        <f t="shared" si="11"/>
        <v>0</v>
      </c>
      <c r="J140" s="55">
        <f t="shared" si="12"/>
        <v>0</v>
      </c>
      <c r="K140" s="36"/>
    </row>
    <row r="141" spans="1:11" x14ac:dyDescent="0.25">
      <c r="A141" s="49">
        <f>'A) Base RI'!A143</f>
        <v>5633</v>
      </c>
      <c r="B141" s="294" t="str">
        <f>'A) Base RI'!B143</f>
        <v>Echandens</v>
      </c>
      <c r="C141" s="95">
        <f>'B) D RI'!U143</f>
        <v>137438.92097427152</v>
      </c>
      <c r="D141" s="110">
        <f>'E) Fact soc'!G147/C141</f>
        <v>17.981543491751719</v>
      </c>
      <c r="E141" s="137">
        <f>'H) Péréquation directe'!I152/C141</f>
        <v>14.822673257101737</v>
      </c>
      <c r="F141" s="110">
        <f>+'I) Dépenses thématiques'!O141/'K) Plafonnement aide'!C141</f>
        <v>-3.9303337276450323</v>
      </c>
      <c r="G141" s="137">
        <f t="shared" si="9"/>
        <v>28.873883021208425</v>
      </c>
      <c r="H141" s="110">
        <f t="shared" si="10"/>
        <v>32.804216748853456</v>
      </c>
      <c r="I141" s="137">
        <f t="shared" si="11"/>
        <v>0</v>
      </c>
      <c r="J141" s="55">
        <f t="shared" si="12"/>
        <v>0</v>
      </c>
      <c r="K141" s="36"/>
    </row>
    <row r="142" spans="1:11" x14ac:dyDescent="0.25">
      <c r="A142" s="49">
        <f>'A) Base RI'!A144</f>
        <v>5634</v>
      </c>
      <c r="B142" s="294" t="str">
        <f>'A) Base RI'!B144</f>
        <v>Echichens</v>
      </c>
      <c r="C142" s="95">
        <f>'B) D RI'!U144</f>
        <v>172707.41089939879</v>
      </c>
      <c r="D142" s="110">
        <f>'E) Fact soc'!G148/C142</f>
        <v>21.47539501123115</v>
      </c>
      <c r="E142" s="137">
        <f>'H) Péréquation directe'!I153/C142</f>
        <v>15.365844544812518</v>
      </c>
      <c r="F142" s="110">
        <f>+'I) Dépenses thématiques'!O142/'K) Plafonnement aide'!C142</f>
        <v>0</v>
      </c>
      <c r="G142" s="137">
        <f t="shared" si="9"/>
        <v>36.841239556043668</v>
      </c>
      <c r="H142" s="110">
        <f t="shared" si="10"/>
        <v>36.841239556043668</v>
      </c>
      <c r="I142" s="137">
        <f t="shared" si="11"/>
        <v>0</v>
      </c>
      <c r="J142" s="55">
        <f t="shared" si="12"/>
        <v>0</v>
      </c>
      <c r="K142" s="36"/>
    </row>
    <row r="143" spans="1:11" x14ac:dyDescent="0.25">
      <c r="A143" s="49">
        <f>'A) Base RI'!A145</f>
        <v>5635</v>
      </c>
      <c r="B143" s="294" t="str">
        <f>'A) Base RI'!B145</f>
        <v>Ecublens</v>
      </c>
      <c r="C143" s="95">
        <f>'B) D RI'!U145</f>
        <v>425804.36099449953</v>
      </c>
      <c r="D143" s="110">
        <f>'E) Fact soc'!G149/C143</f>
        <v>18.630238775269916</v>
      </c>
      <c r="E143" s="137">
        <f>'H) Péréquation directe'!I154/C143</f>
        <v>-3.7135073503010139</v>
      </c>
      <c r="F143" s="110">
        <f>+'I) Dépenses thématiques'!O143/'K) Plafonnement aide'!C143</f>
        <v>-7.1981655088233012</v>
      </c>
      <c r="G143" s="137">
        <f t="shared" si="9"/>
        <v>7.7185659161456002</v>
      </c>
      <c r="H143" s="110">
        <f t="shared" si="10"/>
        <v>14.916731424968901</v>
      </c>
      <c r="I143" s="137">
        <f t="shared" si="11"/>
        <v>0</v>
      </c>
      <c r="J143" s="55">
        <f t="shared" si="12"/>
        <v>0</v>
      </c>
      <c r="K143" s="36"/>
    </row>
    <row r="144" spans="1:11" x14ac:dyDescent="0.25">
      <c r="A144" s="49">
        <f>'A) Base RI'!A146</f>
        <v>5636</v>
      </c>
      <c r="B144" s="294" t="str">
        <f>'A) Base RI'!B146</f>
        <v>Etoy</v>
      </c>
      <c r="C144" s="95">
        <f>'B) D RI'!U146</f>
        <v>163508.07491244882</v>
      </c>
      <c r="D144" s="110">
        <f>'E) Fact soc'!G150/C144</f>
        <v>24.591781179638375</v>
      </c>
      <c r="E144" s="137">
        <f>'H) Péréquation directe'!I155/C144</f>
        <v>15.445114785891651</v>
      </c>
      <c r="F144" s="110">
        <f>+'I) Dépenses thématiques'!O144/'K) Plafonnement aide'!C144</f>
        <v>0</v>
      </c>
      <c r="G144" s="137">
        <f t="shared" si="9"/>
        <v>40.036895965530022</v>
      </c>
      <c r="H144" s="110">
        <f t="shared" si="10"/>
        <v>40.036895965530022</v>
      </c>
      <c r="I144" s="137">
        <f t="shared" si="11"/>
        <v>0</v>
      </c>
      <c r="J144" s="55">
        <f t="shared" si="12"/>
        <v>0</v>
      </c>
      <c r="K144" s="36"/>
    </row>
    <row r="145" spans="1:11" x14ac:dyDescent="0.25">
      <c r="A145" s="49">
        <f>'A) Base RI'!A147</f>
        <v>5637</v>
      </c>
      <c r="B145" s="294" t="str">
        <f>'A) Base RI'!B147</f>
        <v>Lavigny</v>
      </c>
      <c r="C145" s="95">
        <f>'B) D RI'!U147</f>
        <v>35527.670702114687</v>
      </c>
      <c r="D145" s="110">
        <f>'E) Fact soc'!G151/C145</f>
        <v>19.234274750464735</v>
      </c>
      <c r="E145" s="137">
        <f>'H) Péréquation directe'!I156/C145</f>
        <v>11.023223057055315</v>
      </c>
      <c r="F145" s="110">
        <f>+'I) Dépenses thématiques'!O145/'K) Plafonnement aide'!C145</f>
        <v>-6.0554500339893993</v>
      </c>
      <c r="G145" s="137">
        <f t="shared" si="9"/>
        <v>24.202047773530651</v>
      </c>
      <c r="H145" s="110">
        <f t="shared" si="10"/>
        <v>30.25749780752005</v>
      </c>
      <c r="I145" s="137">
        <f t="shared" si="11"/>
        <v>0</v>
      </c>
      <c r="J145" s="55">
        <f t="shared" si="12"/>
        <v>0</v>
      </c>
      <c r="K145" s="36"/>
    </row>
    <row r="146" spans="1:11" x14ac:dyDescent="0.25">
      <c r="A146" s="49">
        <f>'A) Base RI'!A148</f>
        <v>5638</v>
      </c>
      <c r="B146" s="294" t="str">
        <f>'A) Base RI'!B148</f>
        <v>Lonay</v>
      </c>
      <c r="C146" s="95">
        <f>'B) D RI'!U148</f>
        <v>156801.12521319877</v>
      </c>
      <c r="D146" s="110">
        <f>'E) Fact soc'!G152/C146</f>
        <v>26.800458831459721</v>
      </c>
      <c r="E146" s="137">
        <f>'H) Péréquation directe'!I157/C146</f>
        <v>15.933924814493693</v>
      </c>
      <c r="F146" s="110">
        <f>+'I) Dépenses thématiques'!O146/'K) Plafonnement aide'!C146</f>
        <v>-2.4708139750252385</v>
      </c>
      <c r="G146" s="137">
        <f t="shared" si="9"/>
        <v>40.263569670928177</v>
      </c>
      <c r="H146" s="110">
        <f t="shared" si="10"/>
        <v>42.734383645953415</v>
      </c>
      <c r="I146" s="137">
        <f t="shared" si="11"/>
        <v>0</v>
      </c>
      <c r="J146" s="55">
        <f t="shared" si="12"/>
        <v>0</v>
      </c>
      <c r="K146" s="36"/>
    </row>
    <row r="147" spans="1:11" x14ac:dyDescent="0.25">
      <c r="A147" s="49">
        <f>'A) Base RI'!A149</f>
        <v>5639</v>
      </c>
      <c r="B147" s="294" t="str">
        <f>'A) Base RI'!B149</f>
        <v>Lully</v>
      </c>
      <c r="C147" s="95">
        <f>'B) D RI'!U149</f>
        <v>44733.650298121938</v>
      </c>
      <c r="D147" s="110">
        <f>'E) Fact soc'!G153/C147</f>
        <v>20.558883188749817</v>
      </c>
      <c r="E147" s="137">
        <f>'H) Péréquation directe'!I158/C147</f>
        <v>18.077222181094108</v>
      </c>
      <c r="F147" s="110">
        <f>+'I) Dépenses thématiques'!O147/'K) Plafonnement aide'!C147</f>
        <v>0</v>
      </c>
      <c r="G147" s="137">
        <f t="shared" si="9"/>
        <v>38.636105369843925</v>
      </c>
      <c r="H147" s="110">
        <f t="shared" si="10"/>
        <v>38.636105369843925</v>
      </c>
      <c r="I147" s="137">
        <f t="shared" si="11"/>
        <v>0</v>
      </c>
      <c r="J147" s="55">
        <f t="shared" si="12"/>
        <v>0</v>
      </c>
      <c r="K147" s="36"/>
    </row>
    <row r="148" spans="1:11" x14ac:dyDescent="0.25">
      <c r="A148" s="49">
        <f>'A) Base RI'!A150</f>
        <v>5640</v>
      </c>
      <c r="B148" s="294" t="str">
        <f>'A) Base RI'!B150</f>
        <v>Lussy-sur-Morges</v>
      </c>
      <c r="C148" s="95">
        <f>'B) D RI'!U150</f>
        <v>53214.189880771395</v>
      </c>
      <c r="D148" s="110">
        <f>'E) Fact soc'!G154/C148</f>
        <v>27.013012191180238</v>
      </c>
      <c r="E148" s="137">
        <f>'H) Péréquation directe'!I159/C148</f>
        <v>18.670373991298586</v>
      </c>
      <c r="F148" s="110">
        <f>+'I) Dépenses thématiques'!O148/'K) Plafonnement aide'!C148</f>
        <v>0</v>
      </c>
      <c r="G148" s="137">
        <f t="shared" si="9"/>
        <v>45.683386182478827</v>
      </c>
      <c r="H148" s="110">
        <f t="shared" si="10"/>
        <v>45.683386182478827</v>
      </c>
      <c r="I148" s="137">
        <f t="shared" si="11"/>
        <v>0</v>
      </c>
      <c r="J148" s="55">
        <f t="shared" si="12"/>
        <v>0</v>
      </c>
      <c r="K148" s="36"/>
    </row>
    <row r="149" spans="1:11" x14ac:dyDescent="0.25">
      <c r="A149" s="49">
        <f>'A) Base RI'!A151</f>
        <v>5642</v>
      </c>
      <c r="B149" s="294" t="str">
        <f>'A) Base RI'!B151</f>
        <v>Morges</v>
      </c>
      <c r="C149" s="95">
        <f>'B) D RI'!U151</f>
        <v>729290.95553024486</v>
      </c>
      <c r="D149" s="110">
        <f>'E) Fact soc'!G155/C149</f>
        <v>20.944136596545793</v>
      </c>
      <c r="E149" s="137">
        <f>'H) Péréquation directe'!I160/C149</f>
        <v>5.8497945389203068</v>
      </c>
      <c r="F149" s="110">
        <f>+'I) Dépenses thématiques'!O149/'K) Plafonnement aide'!C149</f>
        <v>-2.1184616079009837</v>
      </c>
      <c r="G149" s="137">
        <f t="shared" si="9"/>
        <v>24.675469527565117</v>
      </c>
      <c r="H149" s="110">
        <f t="shared" si="10"/>
        <v>26.793931135466099</v>
      </c>
      <c r="I149" s="137">
        <f t="shared" si="11"/>
        <v>0</v>
      </c>
      <c r="J149" s="55">
        <f t="shared" si="12"/>
        <v>0</v>
      </c>
      <c r="K149" s="36"/>
    </row>
    <row r="150" spans="1:11" x14ac:dyDescent="0.25">
      <c r="A150" s="49">
        <f>'A) Base RI'!A152</f>
        <v>5643</v>
      </c>
      <c r="B150" s="294" t="str">
        <f>'A) Base RI'!B152</f>
        <v>Préverenges</v>
      </c>
      <c r="C150" s="95">
        <f>'B) D RI'!U152</f>
        <v>256716.54312991558</v>
      </c>
      <c r="D150" s="110">
        <f>'E) Fact soc'!G156/C150</f>
        <v>17.409237083847422</v>
      </c>
      <c r="E150" s="137">
        <f>'H) Péréquation directe'!I161/C150</f>
        <v>12.484868203649025</v>
      </c>
      <c r="F150" s="110">
        <f>+'I) Dépenses thématiques'!O150/'K) Plafonnement aide'!C150</f>
        <v>0</v>
      </c>
      <c r="G150" s="137">
        <f t="shared" si="9"/>
        <v>29.894105287496448</v>
      </c>
      <c r="H150" s="110">
        <f t="shared" si="10"/>
        <v>29.894105287496448</v>
      </c>
      <c r="I150" s="137">
        <f t="shared" si="11"/>
        <v>0</v>
      </c>
      <c r="J150" s="55">
        <f t="shared" si="12"/>
        <v>0</v>
      </c>
      <c r="K150" s="36"/>
    </row>
    <row r="151" spans="1:11" x14ac:dyDescent="0.25">
      <c r="A151" s="49">
        <f>'A) Base RI'!A153</f>
        <v>5644</v>
      </c>
      <c r="B151" s="294" t="str">
        <f>'A) Base RI'!B153</f>
        <v>Reverolle</v>
      </c>
      <c r="C151" s="95">
        <f>'B) D RI'!U153</f>
        <v>13425.23260136249</v>
      </c>
      <c r="D151" s="110">
        <f>'E) Fact soc'!G157/C151</f>
        <v>18.619283907116458</v>
      </c>
      <c r="E151" s="137">
        <f>'H) Péréquation directe'!I162/C151</f>
        <v>8.9409511499154632</v>
      </c>
      <c r="F151" s="110">
        <f>+'I) Dépenses thématiques'!O151/'K) Plafonnement aide'!C151</f>
        <v>-4.2382886873568468</v>
      </c>
      <c r="G151" s="137">
        <f t="shared" si="9"/>
        <v>23.321946369675075</v>
      </c>
      <c r="H151" s="110">
        <f t="shared" si="10"/>
        <v>27.560235057031921</v>
      </c>
      <c r="I151" s="137">
        <f t="shared" si="11"/>
        <v>0</v>
      </c>
      <c r="J151" s="55">
        <f t="shared" si="12"/>
        <v>0</v>
      </c>
      <c r="K151" s="36"/>
    </row>
    <row r="152" spans="1:11" x14ac:dyDescent="0.25">
      <c r="A152" s="49">
        <f>'A) Base RI'!A154</f>
        <v>5645</v>
      </c>
      <c r="B152" s="294" t="str">
        <f>'A) Base RI'!B154</f>
        <v>Romanel-sur-Morges</v>
      </c>
      <c r="C152" s="95">
        <f>'B) D RI'!U154</f>
        <v>24229.852670127519</v>
      </c>
      <c r="D152" s="110">
        <f>'E) Fact soc'!G158/C152</f>
        <v>20.165854053709882</v>
      </c>
      <c r="E152" s="137">
        <f>'H) Péréquation directe'!I163/C152</f>
        <v>17.922101046312722</v>
      </c>
      <c r="F152" s="110">
        <f>+'I) Dépenses thématiques'!O152/'K) Plafonnement aide'!C152</f>
        <v>-0.16509121294379725</v>
      </c>
      <c r="G152" s="137">
        <f t="shared" si="9"/>
        <v>37.922863887078805</v>
      </c>
      <c r="H152" s="110">
        <f t="shared" si="10"/>
        <v>38.087955100022604</v>
      </c>
      <c r="I152" s="137">
        <f t="shared" si="11"/>
        <v>0</v>
      </c>
      <c r="J152" s="55">
        <f t="shared" si="12"/>
        <v>0</v>
      </c>
      <c r="K152" s="36"/>
    </row>
    <row r="153" spans="1:11" x14ac:dyDescent="0.25">
      <c r="A153" s="49">
        <f>'A) Base RI'!A155</f>
        <v>5646</v>
      </c>
      <c r="B153" s="294" t="str">
        <f>'A) Base RI'!B155</f>
        <v>Saint-Prex</v>
      </c>
      <c r="C153" s="95">
        <f>'B) D RI'!U155</f>
        <v>461684.29365699238</v>
      </c>
      <c r="D153" s="110">
        <f>'E) Fact soc'!G159/C153</f>
        <v>24.99366318358382</v>
      </c>
      <c r="E153" s="137">
        <f>'H) Péréquation directe'!I164/C153</f>
        <v>15.445546054163948</v>
      </c>
      <c r="F153" s="110">
        <f>+'I) Dépenses thématiques'!O153/'K) Plafonnement aide'!C153</f>
        <v>0</v>
      </c>
      <c r="G153" s="137">
        <f t="shared" si="9"/>
        <v>40.439209237747768</v>
      </c>
      <c r="H153" s="110">
        <f t="shared" si="10"/>
        <v>40.439209237747768</v>
      </c>
      <c r="I153" s="137">
        <f t="shared" si="11"/>
        <v>0</v>
      </c>
      <c r="J153" s="55">
        <f t="shared" si="12"/>
        <v>0</v>
      </c>
      <c r="K153" s="36"/>
    </row>
    <row r="154" spans="1:11" x14ac:dyDescent="0.25">
      <c r="A154" s="49">
        <f>'A) Base RI'!A156</f>
        <v>5648</v>
      </c>
      <c r="B154" s="294" t="str">
        <f>'A) Base RI'!B156</f>
        <v>Saint-Sulpice</v>
      </c>
      <c r="C154" s="95">
        <f>'B) D RI'!U156</f>
        <v>359984.01578722027</v>
      </c>
      <c r="D154" s="110">
        <f>'E) Fact soc'!G160/C154</f>
        <v>25.897162946069724</v>
      </c>
      <c r="E154" s="137">
        <f>'H) Péréquation directe'!I165/C154</f>
        <v>15.677222632195598</v>
      </c>
      <c r="F154" s="110">
        <f>+'I) Dépenses thématiques'!O154/'K) Plafonnement aide'!C154</f>
        <v>-1.8492194858163228E-2</v>
      </c>
      <c r="G154" s="137">
        <f t="shared" si="9"/>
        <v>41.55589338340716</v>
      </c>
      <c r="H154" s="110">
        <f t="shared" si="10"/>
        <v>41.574385578265321</v>
      </c>
      <c r="I154" s="137">
        <f t="shared" si="11"/>
        <v>0</v>
      </c>
      <c r="J154" s="55">
        <f t="shared" si="12"/>
        <v>0</v>
      </c>
      <c r="K154" s="36"/>
    </row>
    <row r="155" spans="1:11" x14ac:dyDescent="0.25">
      <c r="A155" s="49">
        <f>'A) Base RI'!A157</f>
        <v>5649</v>
      </c>
      <c r="B155" s="294" t="str">
        <f>'A) Base RI'!B157</f>
        <v>Tolochenaz</v>
      </c>
      <c r="C155" s="95">
        <f>'B) D RI'!U157</f>
        <v>113998.65852486389</v>
      </c>
      <c r="D155" s="110">
        <f>'E) Fact soc'!G161/C155</f>
        <v>20.474381296257995</v>
      </c>
      <c r="E155" s="137">
        <f>'H) Péréquation directe'!I166/C155</f>
        <v>16.325485182726371</v>
      </c>
      <c r="F155" s="110">
        <f>+'I) Dépenses thématiques'!O155/'K) Plafonnement aide'!C155</f>
        <v>-0.56663434893705911</v>
      </c>
      <c r="G155" s="137">
        <f t="shared" si="9"/>
        <v>36.233232130047313</v>
      </c>
      <c r="H155" s="110">
        <f t="shared" si="10"/>
        <v>36.79986647898437</v>
      </c>
      <c r="I155" s="137">
        <f t="shared" si="11"/>
        <v>0</v>
      </c>
      <c r="J155" s="55">
        <f t="shared" si="12"/>
        <v>0</v>
      </c>
      <c r="K155" s="36"/>
    </row>
    <row r="156" spans="1:11" x14ac:dyDescent="0.25">
      <c r="A156" s="49">
        <f>'A) Base RI'!A158</f>
        <v>5650</v>
      </c>
      <c r="B156" s="294" t="str">
        <f>'A) Base RI'!B158</f>
        <v>Vaux-sur-Morges</v>
      </c>
      <c r="C156" s="95">
        <f>'B) D RI'!U158</f>
        <v>185104.32562171915</v>
      </c>
      <c r="D156" s="110">
        <f>'E) Fact soc'!G162/C156</f>
        <v>46.583216495308015</v>
      </c>
      <c r="E156" s="137">
        <f>'H) Péréquation directe'!I167/C156</f>
        <v>20.15838253416932</v>
      </c>
      <c r="F156" s="110">
        <f>+'I) Dépenses thématiques'!O156/'K) Plafonnement aide'!C156</f>
        <v>0</v>
      </c>
      <c r="G156" s="137">
        <f t="shared" si="9"/>
        <v>66.741599029477328</v>
      </c>
      <c r="H156" s="110">
        <f t="shared" si="10"/>
        <v>66.741599029477328</v>
      </c>
      <c r="I156" s="137">
        <f t="shared" si="11"/>
        <v>0</v>
      </c>
      <c r="J156" s="55">
        <f t="shared" si="12"/>
        <v>0</v>
      </c>
      <c r="K156" s="36"/>
    </row>
    <row r="157" spans="1:11" x14ac:dyDescent="0.25">
      <c r="A157" s="49">
        <f>'A) Base RI'!A159</f>
        <v>5651</v>
      </c>
      <c r="B157" s="294" t="str">
        <f>'A) Base RI'!B159</f>
        <v>Villars-Sainte-Croix</v>
      </c>
      <c r="C157" s="95">
        <f>'B) D RI'!U159</f>
        <v>50327.012990433635</v>
      </c>
      <c r="D157" s="110">
        <f>'E) Fact soc'!G163/C157</f>
        <v>19.660780473093435</v>
      </c>
      <c r="E157" s="137">
        <f>'H) Péréquation directe'!I168/C157</f>
        <v>17.89306144269916</v>
      </c>
      <c r="F157" s="110">
        <f>+'I) Dépenses thématiques'!O157/'K) Plafonnement aide'!C157</f>
        <v>0</v>
      </c>
      <c r="G157" s="137">
        <f t="shared" si="9"/>
        <v>37.553841915792596</v>
      </c>
      <c r="H157" s="110">
        <f t="shared" si="10"/>
        <v>37.553841915792596</v>
      </c>
      <c r="I157" s="137">
        <f t="shared" si="11"/>
        <v>0</v>
      </c>
      <c r="J157" s="55">
        <f t="shared" si="12"/>
        <v>0</v>
      </c>
      <c r="K157" s="36"/>
    </row>
    <row r="158" spans="1:11" x14ac:dyDescent="0.25">
      <c r="A158" s="49">
        <f>'A) Base RI'!A160</f>
        <v>5652</v>
      </c>
      <c r="B158" s="294" t="str">
        <f>'A) Base RI'!B160</f>
        <v>Villars-sous-Yens</v>
      </c>
      <c r="C158" s="95">
        <f>'B) D RI'!U160</f>
        <v>29665.347417842095</v>
      </c>
      <c r="D158" s="110">
        <f>'E) Fact soc'!G164/C158</f>
        <v>17.709198337010697</v>
      </c>
      <c r="E158" s="137">
        <f>'H) Péréquation directe'!I169/C158</f>
        <v>17.723177481788124</v>
      </c>
      <c r="F158" s="110">
        <f>+'I) Dépenses thématiques'!O158/'K) Plafonnement aide'!C158</f>
        <v>0</v>
      </c>
      <c r="G158" s="137">
        <f t="shared" si="9"/>
        <v>35.432375818798818</v>
      </c>
      <c r="H158" s="110">
        <f t="shared" si="10"/>
        <v>35.432375818798818</v>
      </c>
      <c r="I158" s="137">
        <f t="shared" si="11"/>
        <v>0</v>
      </c>
      <c r="J158" s="55">
        <f t="shared" si="12"/>
        <v>0</v>
      </c>
      <c r="K158" s="36"/>
    </row>
    <row r="159" spans="1:11" x14ac:dyDescent="0.25">
      <c r="A159" s="49">
        <f>'A) Base RI'!A161</f>
        <v>5653</v>
      </c>
      <c r="B159" s="294" t="str">
        <f>'A) Base RI'!B161</f>
        <v>Vufflens-le-Château</v>
      </c>
      <c r="C159" s="95">
        <f>'B) D RI'!U161</f>
        <v>61628.734956407359</v>
      </c>
      <c r="D159" s="110">
        <f>'E) Fact soc'!G165/C159</f>
        <v>22.915319307192629</v>
      </c>
      <c r="E159" s="137">
        <f>'H) Péréquation directe'!I170/C159</f>
        <v>18.4872683551324</v>
      </c>
      <c r="F159" s="110">
        <f>+'I) Dépenses thématiques'!O159/'K) Plafonnement aide'!C159</f>
        <v>0</v>
      </c>
      <c r="G159" s="137">
        <f t="shared" si="9"/>
        <v>41.402587662325033</v>
      </c>
      <c r="H159" s="110">
        <f t="shared" si="10"/>
        <v>41.402587662325033</v>
      </c>
      <c r="I159" s="137">
        <f t="shared" si="11"/>
        <v>0</v>
      </c>
      <c r="J159" s="55">
        <f t="shared" si="12"/>
        <v>0</v>
      </c>
      <c r="K159" s="36"/>
    </row>
    <row r="160" spans="1:11" x14ac:dyDescent="0.25">
      <c r="A160" s="49">
        <f>'A) Base RI'!A162</f>
        <v>5654</v>
      </c>
      <c r="B160" s="294" t="str">
        <f>'A) Base RI'!B162</f>
        <v>Vullierens</v>
      </c>
      <c r="C160" s="95">
        <f>'B) D RI'!U162</f>
        <v>19147.575291748301</v>
      </c>
      <c r="D160" s="110">
        <f>'E) Fact soc'!G166/C160</f>
        <v>18.374547925895488</v>
      </c>
      <c r="E160" s="137">
        <f>'H) Péréquation directe'!I171/C160</f>
        <v>12.683108600401537</v>
      </c>
      <c r="F160" s="110">
        <f>+'I) Dépenses thématiques'!O160/'K) Plafonnement aide'!C160</f>
        <v>0</v>
      </c>
      <c r="G160" s="137">
        <f t="shared" si="9"/>
        <v>31.057656526297023</v>
      </c>
      <c r="H160" s="110">
        <f t="shared" si="10"/>
        <v>31.057656526297023</v>
      </c>
      <c r="I160" s="137">
        <f t="shared" si="11"/>
        <v>0</v>
      </c>
      <c r="J160" s="55">
        <f t="shared" si="12"/>
        <v>0</v>
      </c>
      <c r="K160" s="36"/>
    </row>
    <row r="161" spans="1:11" x14ac:dyDescent="0.25">
      <c r="A161" s="49">
        <f>'A) Base RI'!A163</f>
        <v>5655</v>
      </c>
      <c r="B161" s="294" t="str">
        <f>'A) Base RI'!B163</f>
        <v>Yens</v>
      </c>
      <c r="C161" s="95">
        <f>'B) D RI'!U163</f>
        <v>86097.458084051032</v>
      </c>
      <c r="D161" s="110">
        <f>'E) Fact soc'!G167/C161</f>
        <v>21.629937446352997</v>
      </c>
      <c r="E161" s="137">
        <f>'H) Péréquation directe'!I172/C161</f>
        <v>17.089929851721276</v>
      </c>
      <c r="F161" s="110">
        <f>+'I) Dépenses thématiques'!O161/'K) Plafonnement aide'!C161</f>
        <v>0</v>
      </c>
      <c r="G161" s="137">
        <f t="shared" si="9"/>
        <v>38.719867298074277</v>
      </c>
      <c r="H161" s="110">
        <f t="shared" si="10"/>
        <v>38.719867298074277</v>
      </c>
      <c r="I161" s="137">
        <f t="shared" si="11"/>
        <v>0</v>
      </c>
      <c r="J161" s="55">
        <f t="shared" si="12"/>
        <v>0</v>
      </c>
      <c r="K161" s="36"/>
    </row>
    <row r="162" spans="1:11" x14ac:dyDescent="0.25">
      <c r="A162" s="49">
        <f>'A) Base RI'!A164</f>
        <v>5661</v>
      </c>
      <c r="B162" s="294" t="str">
        <f>'A) Base RI'!B164</f>
        <v>Boulens</v>
      </c>
      <c r="C162" s="95">
        <f>'B) D RI'!U164</f>
        <v>10242.097149449037</v>
      </c>
      <c r="D162" s="110">
        <f>'E) Fact soc'!G168/C162</f>
        <v>16.845158896360669</v>
      </c>
      <c r="E162" s="137">
        <f>'H) Péréquation directe'!I173/C162</f>
        <v>-1.2898138775686316</v>
      </c>
      <c r="F162" s="110">
        <f>+'I) Dépenses thématiques'!O162/'K) Plafonnement aide'!C162</f>
        <v>-1.4391007417844242</v>
      </c>
      <c r="G162" s="137">
        <f t="shared" si="9"/>
        <v>14.116244277007613</v>
      </c>
      <c r="H162" s="110">
        <f t="shared" si="10"/>
        <v>15.555345018792037</v>
      </c>
      <c r="I162" s="137">
        <f t="shared" si="11"/>
        <v>0</v>
      </c>
      <c r="J162" s="55">
        <f t="shared" si="12"/>
        <v>0</v>
      </c>
      <c r="K162" s="36"/>
    </row>
    <row r="163" spans="1:11" x14ac:dyDescent="0.25">
      <c r="A163" s="49">
        <f>'A) Base RI'!A165</f>
        <v>5663</v>
      </c>
      <c r="B163" s="294" t="str">
        <f>'A) Base RI'!B165</f>
        <v>Bussy-sur-Moudon</v>
      </c>
      <c r="C163" s="95">
        <f>'B) D RI'!U165</f>
        <v>5275.6077688756623</v>
      </c>
      <c r="D163" s="110">
        <f>'E) Fact soc'!G169/C163</f>
        <v>16.778610016990299</v>
      </c>
      <c r="E163" s="137">
        <f>'H) Péréquation directe'!I174/C163</f>
        <v>-5.6078224790369129</v>
      </c>
      <c r="F163" s="110">
        <f>+'I) Dépenses thématiques'!O163/'K) Plafonnement aide'!C163</f>
        <v>-13.202611586435289</v>
      </c>
      <c r="G163" s="137">
        <f t="shared" si="9"/>
        <v>-2.0318240484819015</v>
      </c>
      <c r="H163" s="110">
        <f t="shared" si="10"/>
        <v>11.170787537953387</v>
      </c>
      <c r="I163" s="137">
        <f t="shared" si="11"/>
        <v>0</v>
      </c>
      <c r="J163" s="55">
        <f t="shared" si="12"/>
        <v>0</v>
      </c>
      <c r="K163" s="36"/>
    </row>
    <row r="164" spans="1:11" x14ac:dyDescent="0.25">
      <c r="A164" s="49">
        <f>'A) Base RI'!A166</f>
        <v>5665</v>
      </c>
      <c r="B164" s="294" t="str">
        <f>'A) Base RI'!B166</f>
        <v>Chavannes-sur-Moudon</v>
      </c>
      <c r="C164" s="95">
        <f>'B) D RI'!U166</f>
        <v>4607.2565465259731</v>
      </c>
      <c r="D164" s="110">
        <f>'E) Fact soc'!G170/C164</f>
        <v>17.489876663137377</v>
      </c>
      <c r="E164" s="137">
        <f>'H) Péréquation directe'!I175/C164</f>
        <v>-8.9136577116305755</v>
      </c>
      <c r="F164" s="110">
        <f>+'I) Dépenses thématiques'!O164/'K) Plafonnement aide'!C164</f>
        <v>-2.22567911691339</v>
      </c>
      <c r="G164" s="137">
        <f t="shared" si="9"/>
        <v>6.3505398345934108</v>
      </c>
      <c r="H164" s="110">
        <f t="shared" si="10"/>
        <v>8.5762189515068012</v>
      </c>
      <c r="I164" s="137">
        <f t="shared" si="11"/>
        <v>0</v>
      </c>
      <c r="J164" s="55">
        <f t="shared" si="12"/>
        <v>0</v>
      </c>
      <c r="K164" s="36"/>
    </row>
    <row r="165" spans="1:11" x14ac:dyDescent="0.25">
      <c r="A165" s="49">
        <f>'A) Base RI'!A167</f>
        <v>5669</v>
      </c>
      <c r="B165" s="294" t="str">
        <f>'A) Base RI'!B167</f>
        <v>Curtilles</v>
      </c>
      <c r="C165" s="95">
        <f>'B) D RI'!U167</f>
        <v>7730.4977240355793</v>
      </c>
      <c r="D165" s="110">
        <f>'E) Fact soc'!G171/C165</f>
        <v>16.841559782107783</v>
      </c>
      <c r="E165" s="137">
        <f>'H) Péréquation directe'!I176/C165</f>
        <v>-3.0014206964252383</v>
      </c>
      <c r="F165" s="110">
        <f>+'I) Dépenses thématiques'!O165/'K) Plafonnement aide'!C165</f>
        <v>-2.4668528575036128</v>
      </c>
      <c r="G165" s="137">
        <f t="shared" si="9"/>
        <v>11.373286228178932</v>
      </c>
      <c r="H165" s="110">
        <f t="shared" si="10"/>
        <v>13.840139085682544</v>
      </c>
      <c r="I165" s="137">
        <f t="shared" si="11"/>
        <v>0</v>
      </c>
      <c r="J165" s="55">
        <f t="shared" si="12"/>
        <v>0</v>
      </c>
      <c r="K165" s="36"/>
    </row>
    <row r="166" spans="1:11" x14ac:dyDescent="0.25">
      <c r="A166" s="49">
        <f>'A) Base RI'!A168</f>
        <v>5671</v>
      </c>
      <c r="B166" s="294" t="str">
        <f>'A) Base RI'!B168</f>
        <v>Dompierre</v>
      </c>
      <c r="C166" s="95">
        <f>'B) D RI'!U168</f>
        <v>6107.4315082005251</v>
      </c>
      <c r="D166" s="110">
        <f>'E) Fact soc'!G172/C166</f>
        <v>18.22702759599623</v>
      </c>
      <c r="E166" s="137">
        <f>'H) Péréquation directe'!I177/C166</f>
        <v>-3.7961954306953305</v>
      </c>
      <c r="F166" s="110">
        <f>+'I) Dépenses thématiques'!O166/'K) Plafonnement aide'!C166</f>
        <v>-11.401279004884735</v>
      </c>
      <c r="G166" s="137">
        <f t="shared" si="9"/>
        <v>3.0295531604161638</v>
      </c>
      <c r="H166" s="110">
        <f t="shared" si="10"/>
        <v>14.430832165300899</v>
      </c>
      <c r="I166" s="137">
        <f t="shared" si="11"/>
        <v>0</v>
      </c>
      <c r="J166" s="55">
        <f t="shared" si="12"/>
        <v>0</v>
      </c>
      <c r="K166" s="36"/>
    </row>
    <row r="167" spans="1:11" x14ac:dyDescent="0.25">
      <c r="A167" s="49">
        <f>'A) Base RI'!A169</f>
        <v>5673</v>
      </c>
      <c r="B167" s="294" t="str">
        <f>'A) Base RI'!B169</f>
        <v>Hermenches</v>
      </c>
      <c r="C167" s="95">
        <f>'B) D RI'!U169</f>
        <v>9275.5467189326828</v>
      </c>
      <c r="D167" s="110">
        <f>'E) Fact soc'!G173/C167</f>
        <v>16.793521173961413</v>
      </c>
      <c r="E167" s="137">
        <f>'H) Péréquation directe'!I178/C167</f>
        <v>-1.5965402999249465</v>
      </c>
      <c r="F167" s="110">
        <f>+'I) Dépenses thématiques'!O167/'K) Plafonnement aide'!C167</f>
        <v>-19.895296731315888</v>
      </c>
      <c r="G167" s="137">
        <f t="shared" si="9"/>
        <v>-4.6983158572794217</v>
      </c>
      <c r="H167" s="110">
        <f t="shared" si="10"/>
        <v>15.196980874036466</v>
      </c>
      <c r="I167" s="137">
        <f t="shared" si="11"/>
        <v>0</v>
      </c>
      <c r="J167" s="55">
        <f t="shared" si="12"/>
        <v>0</v>
      </c>
      <c r="K167" s="36"/>
    </row>
    <row r="168" spans="1:11" x14ac:dyDescent="0.25">
      <c r="A168" s="49">
        <f>'A) Base RI'!A170</f>
        <v>5674</v>
      </c>
      <c r="B168" s="294" t="str">
        <f>'A) Base RI'!B170</f>
        <v>Lovatens</v>
      </c>
      <c r="C168" s="95">
        <f>'B) D RI'!U170</f>
        <v>3271.992985930126</v>
      </c>
      <c r="D168" s="110">
        <f>'E) Fact soc'!G174/C168</f>
        <v>19.548583943574872</v>
      </c>
      <c r="E168" s="137">
        <f>'H) Péréquation directe'!I179/C168</f>
        <v>-7.6604041222596955</v>
      </c>
      <c r="F168" s="110">
        <f>+'I) Dépenses thématiques'!O168/'K) Plafonnement aide'!C168</f>
        <v>-5.6478837534353339</v>
      </c>
      <c r="G168" s="137">
        <f t="shared" si="9"/>
        <v>6.2402960678798429</v>
      </c>
      <c r="H168" s="110">
        <f t="shared" si="10"/>
        <v>11.888179821315177</v>
      </c>
      <c r="I168" s="137">
        <f t="shared" si="11"/>
        <v>0</v>
      </c>
      <c r="J168" s="55">
        <f t="shared" si="12"/>
        <v>0</v>
      </c>
      <c r="K168" s="36"/>
    </row>
    <row r="169" spans="1:11" x14ac:dyDescent="0.25">
      <c r="A169" s="49">
        <f>'A) Base RI'!A171</f>
        <v>5675</v>
      </c>
      <c r="B169" s="294" t="str">
        <f>'A) Base RI'!B171</f>
        <v>Lucens</v>
      </c>
      <c r="C169" s="95">
        <f>'B) D RI'!U171</f>
        <v>90143.04189619486</v>
      </c>
      <c r="D169" s="110">
        <f>'E) Fact soc'!G175/C169</f>
        <v>19.232710255073581</v>
      </c>
      <c r="E169" s="137">
        <f>'H) Péréquation directe'!I180/C169</f>
        <v>-16.102607665831673</v>
      </c>
      <c r="F169" s="110">
        <f>+'I) Dépenses thématiques'!O169/'K) Plafonnement aide'!C169</f>
        <v>-5.2161425730546016</v>
      </c>
      <c r="G169" s="137">
        <f t="shared" si="9"/>
        <v>-2.086039983812694</v>
      </c>
      <c r="H169" s="110">
        <f t="shared" si="10"/>
        <v>3.1301025892419077</v>
      </c>
      <c r="I169" s="137">
        <f t="shared" si="11"/>
        <v>0</v>
      </c>
      <c r="J169" s="55">
        <f t="shared" si="12"/>
        <v>0</v>
      </c>
      <c r="K169" s="36"/>
    </row>
    <row r="170" spans="1:11" x14ac:dyDescent="0.25">
      <c r="A170" s="49">
        <f>'A) Base RI'!A172</f>
        <v>5678</v>
      </c>
      <c r="B170" s="294" t="str">
        <f>'A) Base RI'!B172</f>
        <v>Moudon</v>
      </c>
      <c r="C170" s="95">
        <f>'B) D RI'!U172</f>
        <v>115752.26296280598</v>
      </c>
      <c r="D170" s="110">
        <f>'E) Fact soc'!G176/C170</f>
        <v>18.99307204297769</v>
      </c>
      <c r="E170" s="137">
        <f>'H) Péréquation directe'!I181/C170</f>
        <v>-32.11827913112888</v>
      </c>
      <c r="F170" s="110">
        <f>+'I) Dépenses thématiques'!O170/'K) Plafonnement aide'!C170</f>
        <v>-11.293278522807999</v>
      </c>
      <c r="G170" s="137">
        <f t="shared" si="9"/>
        <v>-24.418485610959188</v>
      </c>
      <c r="H170" s="110">
        <f t="shared" si="10"/>
        <v>-13.125207088151189</v>
      </c>
      <c r="I170" s="137">
        <f t="shared" si="11"/>
        <v>-5.1252070881511891</v>
      </c>
      <c r="J170" s="55">
        <f t="shared" si="12"/>
        <v>593254.31860651355</v>
      </c>
      <c r="K170" s="36"/>
    </row>
    <row r="171" spans="1:11" x14ac:dyDescent="0.25">
      <c r="A171" s="49">
        <f>'A) Base RI'!A173</f>
        <v>5680</v>
      </c>
      <c r="B171" s="294" t="str">
        <f>'A) Base RI'!B173</f>
        <v>Ogens</v>
      </c>
      <c r="C171" s="95">
        <f>'B) D RI'!U173</f>
        <v>6425.0974128432881</v>
      </c>
      <c r="D171" s="110">
        <f>'E) Fact soc'!G177/C171</f>
        <v>19.905238592695184</v>
      </c>
      <c r="E171" s="137">
        <f>'H) Péréquation directe'!I182/C171</f>
        <v>-11.801869526206257</v>
      </c>
      <c r="F171" s="110">
        <f>+'I) Dépenses thématiques'!O171/'K) Plafonnement aide'!C171</f>
        <v>-2.4081737409054425</v>
      </c>
      <c r="G171" s="137">
        <f t="shared" si="9"/>
        <v>5.6951953255834846</v>
      </c>
      <c r="H171" s="110">
        <f t="shared" si="10"/>
        <v>8.1033690664889271</v>
      </c>
      <c r="I171" s="137">
        <f t="shared" si="11"/>
        <v>0</v>
      </c>
      <c r="J171" s="55">
        <f t="shared" si="12"/>
        <v>0</v>
      </c>
      <c r="K171" s="36"/>
    </row>
    <row r="172" spans="1:11" x14ac:dyDescent="0.25">
      <c r="A172" s="49">
        <f>'A) Base RI'!A174</f>
        <v>5683</v>
      </c>
      <c r="B172" s="294" t="str">
        <f>'A) Base RI'!B174</f>
        <v>Prévonloup</v>
      </c>
      <c r="C172" s="95">
        <f>'B) D RI'!U174</f>
        <v>3739.7592858383009</v>
      </c>
      <c r="D172" s="110">
        <f>'E) Fact soc'!G178/C172</f>
        <v>19.202175925308495</v>
      </c>
      <c r="E172" s="137">
        <f>'H) Péréquation directe'!I183/C172</f>
        <v>-12.11002923909543</v>
      </c>
      <c r="F172" s="110">
        <f>+'I) Dépenses thématiques'!O172/'K) Plafonnement aide'!C172</f>
        <v>-4.2112602606849672</v>
      </c>
      <c r="G172" s="137">
        <f t="shared" si="9"/>
        <v>2.8808864255280975</v>
      </c>
      <c r="H172" s="110">
        <f t="shared" si="10"/>
        <v>7.0921466862130647</v>
      </c>
      <c r="I172" s="137">
        <f t="shared" si="11"/>
        <v>0</v>
      </c>
      <c r="J172" s="55">
        <f t="shared" si="12"/>
        <v>0</v>
      </c>
      <c r="K172" s="36"/>
    </row>
    <row r="173" spans="1:11" x14ac:dyDescent="0.25">
      <c r="A173" s="49">
        <f>'A) Base RI'!A175</f>
        <v>5684</v>
      </c>
      <c r="B173" s="294" t="str">
        <f>'A) Base RI'!B175</f>
        <v>Rossenges</v>
      </c>
      <c r="C173" s="95">
        <f>'B) D RI'!U175</f>
        <v>1960.0054491323369</v>
      </c>
      <c r="D173" s="110">
        <f>'E) Fact soc'!G179/C173</f>
        <v>18.444869619204365</v>
      </c>
      <c r="E173" s="137">
        <f>'H) Péréquation directe'!I184/C173</f>
        <v>5.2584266870447331</v>
      </c>
      <c r="F173" s="110">
        <f>+'I) Dépenses thématiques'!O173/'K) Plafonnement aide'!C173</f>
        <v>0</v>
      </c>
      <c r="G173" s="137">
        <f t="shared" si="9"/>
        <v>23.703296306249097</v>
      </c>
      <c r="H173" s="110">
        <f t="shared" si="10"/>
        <v>23.703296306249097</v>
      </c>
      <c r="I173" s="137">
        <f t="shared" si="11"/>
        <v>0</v>
      </c>
      <c r="J173" s="55">
        <f t="shared" si="12"/>
        <v>0</v>
      </c>
      <c r="K173" s="36"/>
    </row>
    <row r="174" spans="1:11" x14ac:dyDescent="0.25">
      <c r="A174" s="49">
        <f>'A) Base RI'!A176</f>
        <v>5688</v>
      </c>
      <c r="B174" s="294" t="str">
        <f>'A) Base RI'!B176</f>
        <v>Syens</v>
      </c>
      <c r="C174" s="95">
        <f>'B) D RI'!U176</f>
        <v>3766.5702445621059</v>
      </c>
      <c r="D174" s="110">
        <f>'E) Fact soc'!G180/C174</f>
        <v>20.101875489202062</v>
      </c>
      <c r="E174" s="137">
        <f>'H) Péréquation directe'!I185/C174</f>
        <v>-5.266365243829835</v>
      </c>
      <c r="F174" s="110">
        <f>+'I) Dépenses thématiques'!O174/'K) Plafonnement aide'!C174</f>
        <v>-9.481025785811136</v>
      </c>
      <c r="G174" s="137">
        <f t="shared" si="9"/>
        <v>5.3544844595610908</v>
      </c>
      <c r="H174" s="110">
        <f t="shared" si="10"/>
        <v>14.835510245372227</v>
      </c>
      <c r="I174" s="137">
        <f t="shared" si="11"/>
        <v>0</v>
      </c>
      <c r="J174" s="55">
        <f t="shared" si="12"/>
        <v>0</v>
      </c>
      <c r="K174" s="36"/>
    </row>
    <row r="175" spans="1:11" x14ac:dyDescent="0.25">
      <c r="A175" s="49">
        <f>'A) Base RI'!A177</f>
        <v>5690</v>
      </c>
      <c r="B175" s="294" t="str">
        <f>'A) Base RI'!B177</f>
        <v>Villars-le-Comte</v>
      </c>
      <c r="C175" s="95">
        <f>'B) D RI'!U177</f>
        <v>4066.8729144140357</v>
      </c>
      <c r="D175" s="110">
        <f>'E) Fact soc'!G181/C175</f>
        <v>16.660938386529921</v>
      </c>
      <c r="E175" s="137">
        <f>'H) Péréquation directe'!I186/C175</f>
        <v>7.3656895860692497</v>
      </c>
      <c r="F175" s="110">
        <f>+'I) Dépenses thématiques'!O175/'K) Plafonnement aide'!C175</f>
        <v>0</v>
      </c>
      <c r="G175" s="137">
        <f t="shared" si="9"/>
        <v>24.026627972599172</v>
      </c>
      <c r="H175" s="110">
        <f t="shared" si="10"/>
        <v>24.026627972599172</v>
      </c>
      <c r="I175" s="137">
        <f t="shared" si="11"/>
        <v>0</v>
      </c>
      <c r="J175" s="55">
        <f t="shared" si="12"/>
        <v>0</v>
      </c>
      <c r="K175" s="36"/>
    </row>
    <row r="176" spans="1:11" x14ac:dyDescent="0.25">
      <c r="A176" s="49">
        <f>'A) Base RI'!A178</f>
        <v>5692</v>
      </c>
      <c r="B176" s="294" t="str">
        <f>'A) Base RI'!B178</f>
        <v>Vucherens</v>
      </c>
      <c r="C176" s="95">
        <f>'B) D RI'!U178</f>
        <v>16181.962340912567</v>
      </c>
      <c r="D176" s="110">
        <f>'E) Fact soc'!G182/C176</f>
        <v>20.277430493042729</v>
      </c>
      <c r="E176" s="137">
        <f>'H) Péréquation directe'!I187/C176</f>
        <v>0.98104345731269416</v>
      </c>
      <c r="F176" s="110">
        <f>+'I) Dépenses thématiques'!O176/'K) Plafonnement aide'!C176</f>
        <v>-4.8191266064630938</v>
      </c>
      <c r="G176" s="137">
        <f t="shared" si="9"/>
        <v>16.439347343892329</v>
      </c>
      <c r="H176" s="110">
        <f t="shared" si="10"/>
        <v>21.258473950355423</v>
      </c>
      <c r="I176" s="137">
        <f t="shared" si="11"/>
        <v>0</v>
      </c>
      <c r="J176" s="55">
        <f t="shared" si="12"/>
        <v>0</v>
      </c>
      <c r="K176" s="36"/>
    </row>
    <row r="177" spans="1:11" x14ac:dyDescent="0.25">
      <c r="A177" s="49">
        <f>'A) Base RI'!A179</f>
        <v>5693</v>
      </c>
      <c r="B177" s="294" t="str">
        <f>'A) Base RI'!B179</f>
        <v>Montanaire</v>
      </c>
      <c r="C177" s="95">
        <f>'B) D RI'!U179</f>
        <v>69189.830336889005</v>
      </c>
      <c r="D177" s="110">
        <f>'E) Fact soc'!G183/C177</f>
        <v>17.85817831869651</v>
      </c>
      <c r="E177" s="137">
        <f>'H) Péréquation directe'!I188/C177</f>
        <v>-5.2813544190283075</v>
      </c>
      <c r="F177" s="110">
        <f>+'I) Dépenses thématiques'!O177/'K) Plafonnement aide'!C177</f>
        <v>-8.9487345996252916</v>
      </c>
      <c r="G177" s="137">
        <f t="shared" si="9"/>
        <v>3.6280893000429106</v>
      </c>
      <c r="H177" s="110">
        <f t="shared" si="10"/>
        <v>12.576823899668202</v>
      </c>
      <c r="I177" s="137">
        <f t="shared" si="11"/>
        <v>0</v>
      </c>
      <c r="J177" s="55">
        <f t="shared" si="12"/>
        <v>0</v>
      </c>
      <c r="K177" s="36"/>
    </row>
    <row r="178" spans="1:11" x14ac:dyDescent="0.25">
      <c r="A178" s="49">
        <f>'A) Base RI'!A180</f>
        <v>5701</v>
      </c>
      <c r="B178" s="294" t="str">
        <f>'A) Base RI'!B180</f>
        <v>Arnex-sur-Nyon</v>
      </c>
      <c r="C178" s="95">
        <f>'B) D RI'!U180</f>
        <v>13494.151628023246</v>
      </c>
      <c r="D178" s="110">
        <f>'E) Fact soc'!G184/C178</f>
        <v>24.463269924627902</v>
      </c>
      <c r="E178" s="137">
        <f>'H) Péréquation directe'!I189/C178</f>
        <v>18.107832820202017</v>
      </c>
      <c r="F178" s="110">
        <f>+'I) Dépenses thématiques'!O178/'K) Plafonnement aide'!C178</f>
        <v>0</v>
      </c>
      <c r="G178" s="137">
        <f t="shared" si="9"/>
        <v>42.571102744829915</v>
      </c>
      <c r="H178" s="110">
        <f t="shared" si="10"/>
        <v>42.571102744829915</v>
      </c>
      <c r="I178" s="137">
        <f t="shared" si="11"/>
        <v>0</v>
      </c>
      <c r="J178" s="55">
        <f t="shared" si="12"/>
        <v>0</v>
      </c>
      <c r="K178" s="36"/>
    </row>
    <row r="179" spans="1:11" x14ac:dyDescent="0.25">
      <c r="A179" s="49">
        <f>'A) Base RI'!A181</f>
        <v>5702</v>
      </c>
      <c r="B179" s="294" t="str">
        <f>'A) Base RI'!B181</f>
        <v>Arzier-Le Muids</v>
      </c>
      <c r="C179" s="95">
        <f>'B) D RI'!U181</f>
        <v>176187.34911477199</v>
      </c>
      <c r="D179" s="110">
        <f>'E) Fact soc'!G185/C179</f>
        <v>24.381168921725514</v>
      </c>
      <c r="E179" s="137">
        <f>'H) Péréquation directe'!I190/C179</f>
        <v>16.206017564708823</v>
      </c>
      <c r="F179" s="110">
        <f>+'I) Dépenses thématiques'!O179/'K) Plafonnement aide'!C179</f>
        <v>-1.5310301406058904</v>
      </c>
      <c r="G179" s="137">
        <f t="shared" si="9"/>
        <v>39.056156345828441</v>
      </c>
      <c r="H179" s="110">
        <f t="shared" si="10"/>
        <v>40.587186486434334</v>
      </c>
      <c r="I179" s="137">
        <f t="shared" si="11"/>
        <v>0</v>
      </c>
      <c r="J179" s="55">
        <f t="shared" si="12"/>
        <v>0</v>
      </c>
      <c r="K179" s="36"/>
    </row>
    <row r="180" spans="1:11" x14ac:dyDescent="0.25">
      <c r="A180" s="49">
        <f>'A) Base RI'!A182</f>
        <v>5703</v>
      </c>
      <c r="B180" s="294" t="str">
        <f>'A) Base RI'!B182</f>
        <v>Bassins</v>
      </c>
      <c r="C180" s="95">
        <f>'B) D RI'!U182</f>
        <v>55300.638649310058</v>
      </c>
      <c r="D180" s="110">
        <f>'E) Fact soc'!G186/C180</f>
        <v>18.964686844816693</v>
      </c>
      <c r="E180" s="137">
        <f>'H) Péréquation directe'!I191/C180</f>
        <v>13.830527254983839</v>
      </c>
      <c r="F180" s="110">
        <f>+'I) Dépenses thématiques'!O180/'K) Plafonnement aide'!C180</f>
        <v>-3.6980073038904884</v>
      </c>
      <c r="G180" s="137">
        <f t="shared" si="9"/>
        <v>29.097206795910044</v>
      </c>
      <c r="H180" s="110">
        <f t="shared" si="10"/>
        <v>32.795214099800532</v>
      </c>
      <c r="I180" s="137">
        <f t="shared" si="11"/>
        <v>0</v>
      </c>
      <c r="J180" s="55">
        <f t="shared" si="12"/>
        <v>0</v>
      </c>
      <c r="K180" s="36"/>
    </row>
    <row r="181" spans="1:11" x14ac:dyDescent="0.25">
      <c r="A181" s="49">
        <f>'A) Base RI'!A183</f>
        <v>5704</v>
      </c>
      <c r="B181" s="294" t="str">
        <f>'A) Base RI'!B183</f>
        <v>Begnins</v>
      </c>
      <c r="C181" s="95">
        <f>'B) D RI'!U183</f>
        <v>122435.43857401636</v>
      </c>
      <c r="D181" s="110">
        <f>'E) Fact soc'!G187/C181</f>
        <v>25.02180676297446</v>
      </c>
      <c r="E181" s="137">
        <f>'H) Péréquation directe'!I192/C181</f>
        <v>16.543896237073536</v>
      </c>
      <c r="F181" s="110">
        <f>+'I) Dépenses thématiques'!O181/'K) Plafonnement aide'!C181</f>
        <v>0</v>
      </c>
      <c r="G181" s="137">
        <f t="shared" si="9"/>
        <v>41.565703000047996</v>
      </c>
      <c r="H181" s="110">
        <f t="shared" si="10"/>
        <v>41.565703000047996</v>
      </c>
      <c r="I181" s="137">
        <f t="shared" si="11"/>
        <v>0</v>
      </c>
      <c r="J181" s="55">
        <f t="shared" si="12"/>
        <v>0</v>
      </c>
      <c r="K181" s="36"/>
    </row>
    <row r="182" spans="1:11" x14ac:dyDescent="0.25">
      <c r="A182" s="49">
        <f>'A) Base RI'!A184</f>
        <v>5705</v>
      </c>
      <c r="B182" s="294" t="str">
        <f>'A) Base RI'!B184</f>
        <v>Bogis-Bossey</v>
      </c>
      <c r="C182" s="95">
        <f>'B) D RI'!U184</f>
        <v>49357.057232158906</v>
      </c>
      <c r="D182" s="110">
        <f>'E) Fact soc'!G188/C182</f>
        <v>22.328636318586756</v>
      </c>
      <c r="E182" s="137">
        <f>'H) Péréquation directe'!I193/C182</f>
        <v>18.088986138974988</v>
      </c>
      <c r="F182" s="110">
        <f>+'I) Dépenses thématiques'!O182/'K) Plafonnement aide'!C182</f>
        <v>0</v>
      </c>
      <c r="G182" s="137">
        <f t="shared" si="9"/>
        <v>40.417622457561748</v>
      </c>
      <c r="H182" s="110">
        <f t="shared" si="10"/>
        <v>40.417622457561748</v>
      </c>
      <c r="I182" s="137">
        <f t="shared" si="11"/>
        <v>0</v>
      </c>
      <c r="J182" s="55">
        <f t="shared" si="12"/>
        <v>0</v>
      </c>
      <c r="K182" s="36"/>
    </row>
    <row r="183" spans="1:11" x14ac:dyDescent="0.25">
      <c r="A183" s="49">
        <f>'A) Base RI'!A185</f>
        <v>5706</v>
      </c>
      <c r="B183" s="294" t="str">
        <f>'A) Base RI'!B185</f>
        <v>Borex</v>
      </c>
      <c r="C183" s="95">
        <f>'B) D RI'!U185</f>
        <v>70814.792156181808</v>
      </c>
      <c r="D183" s="110">
        <f>'E) Fact soc'!G189/C183</f>
        <v>21.353565121267</v>
      </c>
      <c r="E183" s="137">
        <f>'H) Péréquation directe'!I194/C183</f>
        <v>17.827869972985816</v>
      </c>
      <c r="F183" s="110">
        <f>+'I) Dépenses thématiques'!O183/'K) Plafonnement aide'!C183</f>
        <v>0</v>
      </c>
      <c r="G183" s="137">
        <f t="shared" si="9"/>
        <v>39.181435094252819</v>
      </c>
      <c r="H183" s="110">
        <f t="shared" si="10"/>
        <v>39.181435094252819</v>
      </c>
      <c r="I183" s="137">
        <f t="shared" si="11"/>
        <v>0</v>
      </c>
      <c r="J183" s="55">
        <f t="shared" si="12"/>
        <v>0</v>
      </c>
      <c r="K183" s="36"/>
    </row>
    <row r="184" spans="1:11" x14ac:dyDescent="0.25">
      <c r="A184" s="49">
        <f>'A) Base RI'!A186</f>
        <v>5707</v>
      </c>
      <c r="B184" s="294" t="str">
        <f>'A) Base RI'!B186</f>
        <v>Chavannes-de-Bogis</v>
      </c>
      <c r="C184" s="95">
        <f>'B) D RI'!U186</f>
        <v>74977.772605941107</v>
      </c>
      <c r="D184" s="110">
        <f>'E) Fact soc'!G190/C184</f>
        <v>24.516341692080125</v>
      </c>
      <c r="E184" s="137">
        <f>'H) Péréquation directe'!I195/C184</f>
        <v>17.306625811123304</v>
      </c>
      <c r="F184" s="110">
        <f>+'I) Dépenses thématiques'!O184/'K) Plafonnement aide'!C184</f>
        <v>0</v>
      </c>
      <c r="G184" s="137">
        <f t="shared" si="9"/>
        <v>41.822967503203429</v>
      </c>
      <c r="H184" s="110">
        <f t="shared" si="10"/>
        <v>41.822967503203429</v>
      </c>
      <c r="I184" s="137">
        <f t="shared" si="11"/>
        <v>0</v>
      </c>
      <c r="J184" s="55">
        <f t="shared" si="12"/>
        <v>0</v>
      </c>
      <c r="K184" s="36"/>
    </row>
    <row r="185" spans="1:11" x14ac:dyDescent="0.25">
      <c r="A185" s="49">
        <f>'A) Base RI'!A187</f>
        <v>5708</v>
      </c>
      <c r="B185" s="294" t="str">
        <f>'A) Base RI'!B187</f>
        <v>Chavannes-des-Bois</v>
      </c>
      <c r="C185" s="95">
        <f>'B) D RI'!U187</f>
        <v>57043.960322475032</v>
      </c>
      <c r="D185" s="110">
        <f>'E) Fact soc'!G191/C185</f>
        <v>22.038815754358868</v>
      </c>
      <c r="E185" s="137">
        <f>'H) Péréquation directe'!I196/C185</f>
        <v>18.172231012320747</v>
      </c>
      <c r="F185" s="110">
        <f>+'I) Dépenses thématiques'!O185/'K) Plafonnement aide'!C185</f>
        <v>0</v>
      </c>
      <c r="G185" s="137">
        <f t="shared" si="9"/>
        <v>40.211046766679615</v>
      </c>
      <c r="H185" s="110">
        <f t="shared" si="10"/>
        <v>40.211046766679615</v>
      </c>
      <c r="I185" s="137">
        <f t="shared" si="11"/>
        <v>0</v>
      </c>
      <c r="J185" s="55">
        <f t="shared" si="12"/>
        <v>0</v>
      </c>
      <c r="K185" s="36"/>
    </row>
    <row r="186" spans="1:11" x14ac:dyDescent="0.25">
      <c r="A186" s="49">
        <f>'A) Base RI'!A188</f>
        <v>5709</v>
      </c>
      <c r="B186" s="294" t="str">
        <f>'A) Base RI'!B188</f>
        <v>Chéserex</v>
      </c>
      <c r="C186" s="95">
        <f>'B) D RI'!U188</f>
        <v>106115.90679849937</v>
      </c>
      <c r="D186" s="110">
        <f>'E) Fact soc'!G192/C186</f>
        <v>26.129688312351213</v>
      </c>
      <c r="E186" s="137">
        <f>'H) Péréquation directe'!I197/C186</f>
        <v>18.357783230030826</v>
      </c>
      <c r="F186" s="110">
        <f>+'I) Dépenses thématiques'!O186/'K) Plafonnement aide'!C186</f>
        <v>0</v>
      </c>
      <c r="G186" s="137">
        <f t="shared" si="9"/>
        <v>44.487471542382039</v>
      </c>
      <c r="H186" s="110">
        <f t="shared" si="10"/>
        <v>44.487471542382039</v>
      </c>
      <c r="I186" s="137">
        <f t="shared" si="11"/>
        <v>0</v>
      </c>
      <c r="J186" s="55">
        <f t="shared" si="12"/>
        <v>0</v>
      </c>
      <c r="K186" s="36"/>
    </row>
    <row r="187" spans="1:11" x14ac:dyDescent="0.25">
      <c r="A187" s="49">
        <f>'A) Base RI'!A189</f>
        <v>5710</v>
      </c>
      <c r="B187" s="294" t="str">
        <f>'A) Base RI'!B189</f>
        <v>Coinsins</v>
      </c>
      <c r="C187" s="95">
        <f>'B) D RI'!U189</f>
        <v>136110.49360949438</v>
      </c>
      <c r="D187" s="110">
        <f>'E) Fact soc'!G193/C187</f>
        <v>38.317632853794372</v>
      </c>
      <c r="E187" s="137">
        <f>'H) Péréquation directe'!I198/C187</f>
        <v>19.824705432892141</v>
      </c>
      <c r="F187" s="110">
        <f>+'I) Dépenses thématiques'!O187/'K) Plafonnement aide'!C187</f>
        <v>0</v>
      </c>
      <c r="G187" s="137">
        <f t="shared" si="9"/>
        <v>58.14233828668651</v>
      </c>
      <c r="H187" s="110">
        <f t="shared" si="10"/>
        <v>58.14233828668651</v>
      </c>
      <c r="I187" s="137">
        <f t="shared" si="11"/>
        <v>0</v>
      </c>
      <c r="J187" s="55">
        <f t="shared" si="12"/>
        <v>0</v>
      </c>
      <c r="K187" s="36"/>
    </row>
    <row r="188" spans="1:11" x14ac:dyDescent="0.25">
      <c r="A188" s="49">
        <f>'A) Base RI'!A190</f>
        <v>5711</v>
      </c>
      <c r="B188" s="294" t="str">
        <f>'A) Base RI'!B190</f>
        <v>Commugny</v>
      </c>
      <c r="C188" s="95">
        <f>'B) D RI'!U190</f>
        <v>277708.93037627928</v>
      </c>
      <c r="D188" s="110">
        <f>'E) Fact soc'!G194/C188</f>
        <v>28.581848309035021</v>
      </c>
      <c r="E188" s="137">
        <f>'H) Péréquation directe'!I199/C188</f>
        <v>17.469626621140176</v>
      </c>
      <c r="F188" s="110">
        <f>+'I) Dépenses thématiques'!O188/'K) Plafonnement aide'!C188</f>
        <v>0</v>
      </c>
      <c r="G188" s="137">
        <f t="shared" si="9"/>
        <v>46.051474930175196</v>
      </c>
      <c r="H188" s="110">
        <f t="shared" si="10"/>
        <v>46.051474930175196</v>
      </c>
      <c r="I188" s="137">
        <f t="shared" si="11"/>
        <v>0</v>
      </c>
      <c r="J188" s="55">
        <f t="shared" si="12"/>
        <v>0</v>
      </c>
      <c r="K188" s="36"/>
    </row>
    <row r="189" spans="1:11" x14ac:dyDescent="0.25">
      <c r="A189" s="49">
        <f>'A) Base RI'!A191</f>
        <v>5712</v>
      </c>
      <c r="B189" s="294" t="str">
        <f>'A) Base RI'!B191</f>
        <v>Coppet</v>
      </c>
      <c r="C189" s="95">
        <f>'B) D RI'!U191</f>
        <v>337534.69243130391</v>
      </c>
      <c r="D189" s="110">
        <f>'E) Fact soc'!G195/C189</f>
        <v>32.985489383972627</v>
      </c>
      <c r="E189" s="137">
        <f>'H) Péréquation directe'!I200/C189</f>
        <v>17.654317824765311</v>
      </c>
      <c r="F189" s="110">
        <f>+'I) Dépenses thématiques'!O189/'K) Plafonnement aide'!C189</f>
        <v>0</v>
      </c>
      <c r="G189" s="137">
        <f t="shared" si="9"/>
        <v>50.639807208737935</v>
      </c>
      <c r="H189" s="110">
        <f t="shared" si="10"/>
        <v>50.639807208737935</v>
      </c>
      <c r="I189" s="137">
        <f t="shared" si="11"/>
        <v>0</v>
      </c>
      <c r="J189" s="55">
        <f t="shared" si="12"/>
        <v>0</v>
      </c>
      <c r="K189" s="36"/>
    </row>
    <row r="190" spans="1:11" x14ac:dyDescent="0.25">
      <c r="A190" s="49">
        <f>'A) Base RI'!A192</f>
        <v>5713</v>
      </c>
      <c r="B190" s="294" t="str">
        <f>'A) Base RI'!B192</f>
        <v>Crans-près-Céligny</v>
      </c>
      <c r="C190" s="95">
        <f>'B) D RI'!U192</f>
        <v>273158.77225218777</v>
      </c>
      <c r="D190" s="110">
        <f>'E) Fact soc'!G196/C190</f>
        <v>31.6386135063408</v>
      </c>
      <c r="E190" s="137">
        <f>'H) Péréquation directe'!I201/C190</f>
        <v>18.298302488970368</v>
      </c>
      <c r="F190" s="110">
        <f>+'I) Dépenses thématiques'!O190/'K) Plafonnement aide'!C190</f>
        <v>0</v>
      </c>
      <c r="G190" s="137">
        <f t="shared" si="9"/>
        <v>49.936915995311168</v>
      </c>
      <c r="H190" s="110">
        <f t="shared" si="10"/>
        <v>49.936915995311168</v>
      </c>
      <c r="I190" s="137">
        <f t="shared" si="11"/>
        <v>0</v>
      </c>
      <c r="J190" s="55">
        <f t="shared" si="12"/>
        <v>0</v>
      </c>
      <c r="K190" s="36"/>
    </row>
    <row r="191" spans="1:11" x14ac:dyDescent="0.25">
      <c r="A191" s="49">
        <f>'A) Base RI'!A193</f>
        <v>5714</v>
      </c>
      <c r="B191" s="294" t="str">
        <f>'A) Base RI'!B193</f>
        <v>Crassier</v>
      </c>
      <c r="C191" s="95">
        <f>'B) D RI'!U193</f>
        <v>74464.147646326936</v>
      </c>
      <c r="D191" s="110">
        <f>'E) Fact soc'!G197/C191</f>
        <v>22.313336587571531</v>
      </c>
      <c r="E191" s="137">
        <f>'H) Péréquation directe'!I202/C191</f>
        <v>17.783824407583889</v>
      </c>
      <c r="F191" s="110">
        <f>+'I) Dépenses thématiques'!O191/'K) Plafonnement aide'!C191</f>
        <v>0</v>
      </c>
      <c r="G191" s="137">
        <f t="shared" si="9"/>
        <v>40.09716099515542</v>
      </c>
      <c r="H191" s="110">
        <f t="shared" si="10"/>
        <v>40.09716099515542</v>
      </c>
      <c r="I191" s="137">
        <f t="shared" si="11"/>
        <v>0</v>
      </c>
      <c r="J191" s="55">
        <f t="shared" si="12"/>
        <v>0</v>
      </c>
      <c r="K191" s="36"/>
    </row>
    <row r="192" spans="1:11" x14ac:dyDescent="0.25">
      <c r="A192" s="49">
        <f>'A) Base RI'!A194</f>
        <v>5715</v>
      </c>
      <c r="B192" s="294" t="str">
        <f>'A) Base RI'!B194</f>
        <v>Duillier</v>
      </c>
      <c r="C192" s="95">
        <f>'B) D RI'!U194</f>
        <v>77556.587804651164</v>
      </c>
      <c r="D192" s="110">
        <f>'E) Fact soc'!G198/C192</f>
        <v>26.165659432100938</v>
      </c>
      <c r="E192" s="137">
        <f>'H) Péréquation directe'!I203/C192</f>
        <v>18.289201863658452</v>
      </c>
      <c r="F192" s="110">
        <f>+'I) Dépenses thématiques'!O192/'K) Plafonnement aide'!C192</f>
        <v>0</v>
      </c>
      <c r="G192" s="137">
        <f t="shared" si="9"/>
        <v>44.454861295759386</v>
      </c>
      <c r="H192" s="110">
        <f t="shared" si="10"/>
        <v>44.454861295759386</v>
      </c>
      <c r="I192" s="137">
        <f t="shared" si="11"/>
        <v>0</v>
      </c>
      <c r="J192" s="55">
        <f t="shared" si="12"/>
        <v>0</v>
      </c>
      <c r="K192" s="36"/>
    </row>
    <row r="193" spans="1:11" x14ac:dyDescent="0.25">
      <c r="A193" s="49">
        <f>'A) Base RI'!A195</f>
        <v>5716</v>
      </c>
      <c r="B193" s="294" t="str">
        <f>'A) Base RI'!B195</f>
        <v>Eysins</v>
      </c>
      <c r="C193" s="95">
        <f>'B) D RI'!U195</f>
        <v>177981.86327972834</v>
      </c>
      <c r="D193" s="110">
        <f>'E) Fact soc'!G199/C193</f>
        <v>31.754080024117656</v>
      </c>
      <c r="E193" s="137">
        <f>'H) Péréquation directe'!I204/C193</f>
        <v>18.366829851738434</v>
      </c>
      <c r="F193" s="110">
        <f>+'I) Dépenses thématiques'!O193/'K) Plafonnement aide'!C193</f>
        <v>0</v>
      </c>
      <c r="G193" s="137">
        <f t="shared" si="9"/>
        <v>50.120909875856086</v>
      </c>
      <c r="H193" s="110">
        <f t="shared" si="10"/>
        <v>50.120909875856086</v>
      </c>
      <c r="I193" s="137">
        <f t="shared" si="11"/>
        <v>0</v>
      </c>
      <c r="J193" s="55">
        <f t="shared" si="12"/>
        <v>0</v>
      </c>
      <c r="K193" s="36"/>
    </row>
    <row r="194" spans="1:11" x14ac:dyDescent="0.25">
      <c r="A194" s="49">
        <f>'A) Base RI'!A196</f>
        <v>5717</v>
      </c>
      <c r="B194" s="294" t="str">
        <f>'A) Base RI'!B196</f>
        <v>Founex</v>
      </c>
      <c r="C194" s="95">
        <f>'B) D RI'!U196</f>
        <v>372726.48546710185</v>
      </c>
      <c r="D194" s="110">
        <f>'E) Fact soc'!G200/C194</f>
        <v>28.132110623406195</v>
      </c>
      <c r="E194" s="137">
        <f>'H) Péréquation directe'!I205/C194</f>
        <v>17.012627074540713</v>
      </c>
      <c r="F194" s="110">
        <f>+'I) Dépenses thématiques'!O194/'K) Plafonnement aide'!C194</f>
        <v>0</v>
      </c>
      <c r="G194" s="137">
        <f t="shared" si="9"/>
        <v>45.144737697946908</v>
      </c>
      <c r="H194" s="110">
        <f t="shared" si="10"/>
        <v>45.144737697946908</v>
      </c>
      <c r="I194" s="137">
        <f t="shared" si="11"/>
        <v>0</v>
      </c>
      <c r="J194" s="55">
        <f t="shared" si="12"/>
        <v>0</v>
      </c>
      <c r="K194" s="36"/>
    </row>
    <row r="195" spans="1:11" x14ac:dyDescent="0.25">
      <c r="A195" s="49">
        <f>'A) Base RI'!A197</f>
        <v>5718</v>
      </c>
      <c r="B195" s="294" t="str">
        <f>'A) Base RI'!B197</f>
        <v>Genolier</v>
      </c>
      <c r="C195" s="95">
        <f>'B) D RI'!U197</f>
        <v>170666.41821719555</v>
      </c>
      <c r="D195" s="110">
        <f>'E) Fact soc'!G201/C195</f>
        <v>28.443561924934397</v>
      </c>
      <c r="E195" s="137">
        <f>'H) Péréquation directe'!I206/C195</f>
        <v>17.582004736830104</v>
      </c>
      <c r="F195" s="110">
        <f>+'I) Dépenses thématiques'!O195/'K) Plafonnement aide'!C195</f>
        <v>0</v>
      </c>
      <c r="G195" s="137">
        <f t="shared" si="9"/>
        <v>46.025566661764501</v>
      </c>
      <c r="H195" s="110">
        <f t="shared" si="10"/>
        <v>46.025566661764501</v>
      </c>
      <c r="I195" s="137">
        <f t="shared" si="11"/>
        <v>0</v>
      </c>
      <c r="J195" s="55">
        <f t="shared" si="12"/>
        <v>0</v>
      </c>
      <c r="K195" s="36"/>
    </row>
    <row r="196" spans="1:11" x14ac:dyDescent="0.25">
      <c r="A196" s="49">
        <f>'A) Base RI'!A198</f>
        <v>5719</v>
      </c>
      <c r="B196" s="294" t="str">
        <f>'A) Base RI'!B198</f>
        <v>Gingins</v>
      </c>
      <c r="C196" s="95">
        <f>'B) D RI'!U198</f>
        <v>110505.6531809626</v>
      </c>
      <c r="D196" s="110">
        <f>'E) Fact soc'!G202/C196</f>
        <v>29.048586240316887</v>
      </c>
      <c r="E196" s="137">
        <f>'H) Péréquation directe'!I207/C196</f>
        <v>18.437405564663717</v>
      </c>
      <c r="F196" s="110">
        <f>+'I) Dépenses thématiques'!O196/'K) Plafonnement aide'!C196</f>
        <v>0</v>
      </c>
      <c r="G196" s="137">
        <f t="shared" si="9"/>
        <v>47.4859918049806</v>
      </c>
      <c r="H196" s="110">
        <f t="shared" si="10"/>
        <v>47.4859918049806</v>
      </c>
      <c r="I196" s="137">
        <f t="shared" si="11"/>
        <v>0</v>
      </c>
      <c r="J196" s="55">
        <f t="shared" si="12"/>
        <v>0</v>
      </c>
      <c r="K196" s="36"/>
    </row>
    <row r="197" spans="1:11" x14ac:dyDescent="0.25">
      <c r="A197" s="49">
        <f>'A) Base RI'!A199</f>
        <v>5720</v>
      </c>
      <c r="B197" s="294" t="str">
        <f>'A) Base RI'!B199</f>
        <v>Givrins</v>
      </c>
      <c r="C197" s="95">
        <f>'B) D RI'!U199</f>
        <v>66980.280368955675</v>
      </c>
      <c r="D197" s="110">
        <f>'E) Fact soc'!G203/C197</f>
        <v>23.114140978329146</v>
      </c>
      <c r="E197" s="137">
        <f>'H) Péréquation directe'!I208/C197</f>
        <v>18.245903024353602</v>
      </c>
      <c r="F197" s="110">
        <f>+'I) Dépenses thématiques'!O197/'K) Plafonnement aide'!C197</f>
        <v>-0.42194352682489739</v>
      </c>
      <c r="G197" s="137">
        <f t="shared" si="9"/>
        <v>40.938100475857851</v>
      </c>
      <c r="H197" s="110">
        <f t="shared" si="10"/>
        <v>41.360044002682748</v>
      </c>
      <c r="I197" s="137">
        <f t="shared" si="11"/>
        <v>0</v>
      </c>
      <c r="J197" s="55">
        <f t="shared" si="12"/>
        <v>0</v>
      </c>
      <c r="K197" s="36"/>
    </row>
    <row r="198" spans="1:11" x14ac:dyDescent="0.25">
      <c r="A198" s="49">
        <f>'A) Base RI'!A200</f>
        <v>5721</v>
      </c>
      <c r="B198" s="294" t="str">
        <f>'A) Base RI'!B200</f>
        <v>Gland</v>
      </c>
      <c r="C198" s="95">
        <f>'B) D RI'!U200</f>
        <v>636120.41665849148</v>
      </c>
      <c r="D198" s="110">
        <f>'E) Fact soc'!G204/C198</f>
        <v>19.641797375070762</v>
      </c>
      <c r="E198" s="137">
        <f>'H) Péréquation directe'!I209/C198</f>
        <v>7.913664231859511</v>
      </c>
      <c r="F198" s="110">
        <f>+'I) Dépenses thématiques'!O198/'K) Plafonnement aide'!C198</f>
        <v>0</v>
      </c>
      <c r="G198" s="137">
        <f t="shared" ref="G198:G261" si="13">SUM(D198:F198)</f>
        <v>27.555461606930272</v>
      </c>
      <c r="H198" s="110">
        <f t="shared" ref="H198:H261" si="14">G198-F198</f>
        <v>27.555461606930272</v>
      </c>
      <c r="I198" s="137">
        <f t="shared" ref="I198:I261" si="15">IF(H198&lt;I$4,H198-I$4,0)</f>
        <v>0</v>
      </c>
      <c r="J198" s="55">
        <f t="shared" ref="J198:J261" si="16">-I198*C198</f>
        <v>0</v>
      </c>
      <c r="K198" s="36"/>
    </row>
    <row r="199" spans="1:11" x14ac:dyDescent="0.25">
      <c r="A199" s="49">
        <f>'A) Base RI'!A201</f>
        <v>5722</v>
      </c>
      <c r="B199" s="294" t="str">
        <f>'A) Base RI'!B201</f>
        <v>Grens</v>
      </c>
      <c r="C199" s="95">
        <f>'B) D RI'!U201</f>
        <v>22061.884042906917</v>
      </c>
      <c r="D199" s="110">
        <f>'E) Fact soc'!G205/C199</f>
        <v>18.939960745372534</v>
      </c>
      <c r="E199" s="137">
        <f>'H) Péréquation directe'!I210/C199</f>
        <v>18.069381215707107</v>
      </c>
      <c r="F199" s="110">
        <f>+'I) Dépenses thématiques'!O199/'K) Plafonnement aide'!C199</f>
        <v>0</v>
      </c>
      <c r="G199" s="137">
        <f t="shared" si="13"/>
        <v>37.009341961079642</v>
      </c>
      <c r="H199" s="110">
        <f t="shared" si="14"/>
        <v>37.009341961079642</v>
      </c>
      <c r="I199" s="137">
        <f t="shared" si="15"/>
        <v>0</v>
      </c>
      <c r="J199" s="55">
        <f t="shared" si="16"/>
        <v>0</v>
      </c>
      <c r="K199" s="36"/>
    </row>
    <row r="200" spans="1:11" x14ac:dyDescent="0.25">
      <c r="A200" s="49">
        <f>'A) Base RI'!A202</f>
        <v>5723</v>
      </c>
      <c r="B200" s="294" t="str">
        <f>'A) Base RI'!B202</f>
        <v>Mies</v>
      </c>
      <c r="C200" s="95">
        <f>'B) D RI'!U202</f>
        <v>508753.19533233909</v>
      </c>
      <c r="D200" s="110">
        <f>'E) Fact soc'!G206/C200</f>
        <v>37.77968377252904</v>
      </c>
      <c r="E200" s="137">
        <f>'H) Péréquation directe'!I211/C200</f>
        <v>19.298251186325718</v>
      </c>
      <c r="F200" s="110">
        <f>+'I) Dépenses thématiques'!O200/'K) Plafonnement aide'!C200</f>
        <v>0</v>
      </c>
      <c r="G200" s="137">
        <f t="shared" si="13"/>
        <v>57.077934958854755</v>
      </c>
      <c r="H200" s="110">
        <f t="shared" si="14"/>
        <v>57.077934958854755</v>
      </c>
      <c r="I200" s="137">
        <f t="shared" si="15"/>
        <v>0</v>
      </c>
      <c r="J200" s="55">
        <f t="shared" si="16"/>
        <v>0</v>
      </c>
      <c r="K200" s="36"/>
    </row>
    <row r="201" spans="1:11" x14ac:dyDescent="0.25">
      <c r="A201" s="49">
        <f>'A) Base RI'!A203</f>
        <v>5724</v>
      </c>
      <c r="B201" s="294" t="str">
        <f>'A) Base RI'!B203</f>
        <v>Nyon</v>
      </c>
      <c r="C201" s="95">
        <f>'B) D RI'!U203</f>
        <v>1284648.9485752215</v>
      </c>
      <c r="D201" s="110">
        <f>'E) Fact soc'!G207/C201</f>
        <v>23.750860101351972</v>
      </c>
      <c r="E201" s="137">
        <f>'H) Péréquation directe'!I212/C201</f>
        <v>7.586805676505227</v>
      </c>
      <c r="F201" s="110">
        <f>+'I) Dépenses thématiques'!O201/'K) Plafonnement aide'!C201</f>
        <v>-0.61310471429285696</v>
      </c>
      <c r="G201" s="137">
        <f t="shared" si="13"/>
        <v>30.724561063564341</v>
      </c>
      <c r="H201" s="110">
        <f t="shared" si="14"/>
        <v>31.337665777857197</v>
      </c>
      <c r="I201" s="137">
        <f t="shared" si="15"/>
        <v>0</v>
      </c>
      <c r="J201" s="55">
        <f t="shared" si="16"/>
        <v>0</v>
      </c>
      <c r="K201" s="36"/>
    </row>
    <row r="202" spans="1:11" x14ac:dyDescent="0.25">
      <c r="A202" s="49">
        <f>'A) Base RI'!A204</f>
        <v>5725</v>
      </c>
      <c r="B202" s="294" t="str">
        <f>'A) Base RI'!B204</f>
        <v>Prangins</v>
      </c>
      <c r="C202" s="95">
        <f>'B) D RI'!U204</f>
        <v>331424.63115044968</v>
      </c>
      <c r="D202" s="110">
        <f>'E) Fact soc'!G208/C202</f>
        <v>27.750264244697956</v>
      </c>
      <c r="E202" s="137">
        <f>'H) Péréquation directe'!I213/C202</f>
        <v>16.228356616149139</v>
      </c>
      <c r="F202" s="110">
        <f>+'I) Dépenses thématiques'!O202/'K) Plafonnement aide'!C202</f>
        <v>0</v>
      </c>
      <c r="G202" s="137">
        <f t="shared" si="13"/>
        <v>43.978620860847094</v>
      </c>
      <c r="H202" s="110">
        <f t="shared" si="14"/>
        <v>43.978620860847094</v>
      </c>
      <c r="I202" s="137">
        <f t="shared" si="15"/>
        <v>0</v>
      </c>
      <c r="J202" s="55">
        <f t="shared" si="16"/>
        <v>0</v>
      </c>
      <c r="K202" s="36"/>
    </row>
    <row r="203" spans="1:11" x14ac:dyDescent="0.25">
      <c r="A203" s="49">
        <f>'A) Base RI'!A205</f>
        <v>5726</v>
      </c>
      <c r="B203" s="294" t="str">
        <f>'A) Base RI'!B205</f>
        <v>La Rippe</v>
      </c>
      <c r="C203" s="95">
        <f>'B) D RI'!U205</f>
        <v>59775.654047436234</v>
      </c>
      <c r="D203" s="110">
        <f>'E) Fact soc'!G209/C203</f>
        <v>18.060870694481636</v>
      </c>
      <c r="E203" s="137">
        <f>'H) Péréquation directe'!I214/C203</f>
        <v>17.251720098139486</v>
      </c>
      <c r="F203" s="110">
        <f>+'I) Dépenses thématiques'!O203/'K) Plafonnement aide'!C203</f>
        <v>-0.42527987092817765</v>
      </c>
      <c r="G203" s="137">
        <f t="shared" si="13"/>
        <v>34.887310921692944</v>
      </c>
      <c r="H203" s="110">
        <f t="shared" si="14"/>
        <v>35.312590792621123</v>
      </c>
      <c r="I203" s="137">
        <f t="shared" si="15"/>
        <v>0</v>
      </c>
      <c r="J203" s="55">
        <f t="shared" si="16"/>
        <v>0</v>
      </c>
      <c r="K203" s="36"/>
    </row>
    <row r="204" spans="1:11" x14ac:dyDescent="0.25">
      <c r="A204" s="49">
        <f>'A) Base RI'!A206</f>
        <v>5727</v>
      </c>
      <c r="B204" s="294" t="str">
        <f>'A) Base RI'!B206</f>
        <v>Saint-Cergue</v>
      </c>
      <c r="C204" s="95">
        <f>'B) D RI'!U206</f>
        <v>84837.616861897855</v>
      </c>
      <c r="D204" s="110">
        <f>'E) Fact soc'!G210/C204</f>
        <v>19.068644104786948</v>
      </c>
      <c r="E204" s="137">
        <f>'H) Péréquation directe'!I215/C204</f>
        <v>5.9681559730736504</v>
      </c>
      <c r="F204" s="110">
        <f>+'I) Dépenses thématiques'!O204/'K) Plafonnement aide'!C204</f>
        <v>-3.3842918066404302</v>
      </c>
      <c r="G204" s="137">
        <f t="shared" si="13"/>
        <v>21.652508271220167</v>
      </c>
      <c r="H204" s="110">
        <f t="shared" si="14"/>
        <v>25.036800077860597</v>
      </c>
      <c r="I204" s="137">
        <f t="shared" si="15"/>
        <v>0</v>
      </c>
      <c r="J204" s="55">
        <f t="shared" si="16"/>
        <v>0</v>
      </c>
      <c r="K204" s="36"/>
    </row>
    <row r="205" spans="1:11" x14ac:dyDescent="0.25">
      <c r="A205" s="49">
        <f>'A) Base RI'!A207</f>
        <v>5728</v>
      </c>
      <c r="B205" s="294" t="str">
        <f>'A) Base RI'!B207</f>
        <v>Signy-Avenex</v>
      </c>
      <c r="C205" s="95">
        <f>'B) D RI'!U207</f>
        <v>43642.129855163919</v>
      </c>
      <c r="D205" s="110">
        <f>'E) Fact soc'!G211/C205</f>
        <v>25.827657230686039</v>
      </c>
      <c r="E205" s="137">
        <f>'H) Péréquation directe'!I216/C205</f>
        <v>18.588608357547002</v>
      </c>
      <c r="F205" s="110">
        <f>+'I) Dépenses thématiques'!O205/'K) Plafonnement aide'!C205</f>
        <v>0</v>
      </c>
      <c r="G205" s="137">
        <f t="shared" si="13"/>
        <v>44.416265588233045</v>
      </c>
      <c r="H205" s="110">
        <f t="shared" si="14"/>
        <v>44.416265588233045</v>
      </c>
      <c r="I205" s="137">
        <f t="shared" si="15"/>
        <v>0</v>
      </c>
      <c r="J205" s="55">
        <f t="shared" si="16"/>
        <v>0</v>
      </c>
      <c r="K205" s="36"/>
    </row>
    <row r="206" spans="1:11" x14ac:dyDescent="0.25">
      <c r="A206" s="49">
        <f>'A) Base RI'!A208</f>
        <v>5729</v>
      </c>
      <c r="B206" s="294" t="str">
        <f>'A) Base RI'!B208</f>
        <v>Tannay</v>
      </c>
      <c r="C206" s="95">
        <f>'B) D RI'!U208</f>
        <v>140788.91539066879</v>
      </c>
      <c r="D206" s="110">
        <f>'E) Fact soc'!G212/C206</f>
        <v>27.177091719247731</v>
      </c>
      <c r="E206" s="137">
        <f>'H) Péréquation directe'!I217/C206</f>
        <v>17.922841339293544</v>
      </c>
      <c r="F206" s="110">
        <f>+'I) Dépenses thématiques'!O206/'K) Plafonnement aide'!C206</f>
        <v>0</v>
      </c>
      <c r="G206" s="137">
        <f t="shared" si="13"/>
        <v>45.099933058541275</v>
      </c>
      <c r="H206" s="110">
        <f t="shared" si="14"/>
        <v>45.099933058541275</v>
      </c>
      <c r="I206" s="137">
        <f t="shared" si="15"/>
        <v>0</v>
      </c>
      <c r="J206" s="55">
        <f t="shared" si="16"/>
        <v>0</v>
      </c>
      <c r="K206" s="36"/>
    </row>
    <row r="207" spans="1:11" x14ac:dyDescent="0.25">
      <c r="A207" s="49">
        <f>'A) Base RI'!A209</f>
        <v>5730</v>
      </c>
      <c r="B207" s="294" t="str">
        <f>'A) Base RI'!B209</f>
        <v>Trélex</v>
      </c>
      <c r="C207" s="95">
        <f>'B) D RI'!U209</f>
        <v>159385.15609090315</v>
      </c>
      <c r="D207" s="110">
        <f>'E) Fact soc'!G213/C207</f>
        <v>30.506248873775821</v>
      </c>
      <c r="E207" s="137">
        <f>'H) Péréquation directe'!I218/C207</f>
        <v>18.603995478043814</v>
      </c>
      <c r="F207" s="110">
        <f>+'I) Dépenses thématiques'!O207/'K) Plafonnement aide'!C207</f>
        <v>0</v>
      </c>
      <c r="G207" s="137">
        <f t="shared" si="13"/>
        <v>49.110244351819631</v>
      </c>
      <c r="H207" s="110">
        <f t="shared" si="14"/>
        <v>49.110244351819631</v>
      </c>
      <c r="I207" s="137">
        <f t="shared" si="15"/>
        <v>0</v>
      </c>
      <c r="J207" s="55">
        <f t="shared" si="16"/>
        <v>0</v>
      </c>
      <c r="K207" s="36"/>
    </row>
    <row r="208" spans="1:11" x14ac:dyDescent="0.25">
      <c r="A208" s="49">
        <f>'A) Base RI'!A210</f>
        <v>5731</v>
      </c>
      <c r="B208" s="294" t="str">
        <f>'A) Base RI'!B210</f>
        <v>Le Vaud</v>
      </c>
      <c r="C208" s="95">
        <f>'B) D RI'!U210</f>
        <v>52787.084696622871</v>
      </c>
      <c r="D208" s="110">
        <f>'E) Fact soc'!G214/C208</f>
        <v>22.448641556963654</v>
      </c>
      <c r="E208" s="137">
        <f>'H) Péréquation directe'!I219/C208</f>
        <v>13.118522373591224</v>
      </c>
      <c r="F208" s="110">
        <f>+'I) Dépenses thématiques'!O208/'K) Plafonnement aide'!C208</f>
        <v>-2.2348696419806244</v>
      </c>
      <c r="G208" s="137">
        <f t="shared" si="13"/>
        <v>33.332294288574253</v>
      </c>
      <c r="H208" s="110">
        <f t="shared" si="14"/>
        <v>35.567163930554877</v>
      </c>
      <c r="I208" s="137">
        <f t="shared" si="15"/>
        <v>0</v>
      </c>
      <c r="J208" s="55">
        <f t="shared" si="16"/>
        <v>0</v>
      </c>
      <c r="K208" s="36"/>
    </row>
    <row r="209" spans="1:11" x14ac:dyDescent="0.25">
      <c r="A209" s="49">
        <f>'A) Base RI'!A211</f>
        <v>5732</v>
      </c>
      <c r="B209" s="294" t="str">
        <f>'A) Base RI'!B211</f>
        <v>Vich</v>
      </c>
      <c r="C209" s="95">
        <f>'B) D RI'!U211</f>
        <v>63679.159894206758</v>
      </c>
      <c r="D209" s="110">
        <f>'E) Fact soc'!G215/C209</f>
        <v>26.149258555222865</v>
      </c>
      <c r="E209" s="137">
        <f>'H) Péréquation directe'!I220/C209</f>
        <v>18.10738081056067</v>
      </c>
      <c r="F209" s="110">
        <f>+'I) Dépenses thématiques'!O209/'K) Plafonnement aide'!C209</f>
        <v>0</v>
      </c>
      <c r="G209" s="137">
        <f t="shared" si="13"/>
        <v>44.256639365783535</v>
      </c>
      <c r="H209" s="110">
        <f t="shared" si="14"/>
        <v>44.256639365783535</v>
      </c>
      <c r="I209" s="137">
        <f t="shared" si="15"/>
        <v>0</v>
      </c>
      <c r="J209" s="55">
        <f t="shared" si="16"/>
        <v>0</v>
      </c>
      <c r="K209" s="36"/>
    </row>
    <row r="210" spans="1:11" x14ac:dyDescent="0.25">
      <c r="A210" s="49">
        <f>'A) Base RI'!A212</f>
        <v>5741</v>
      </c>
      <c r="B210" s="294" t="str">
        <f>'A) Base RI'!B212</f>
        <v>L'Abergement</v>
      </c>
      <c r="C210" s="95">
        <f>'B) D RI'!U212</f>
        <v>7417.8594757266228</v>
      </c>
      <c r="D210" s="110">
        <f>'E) Fact soc'!G216/C210</f>
        <v>18.614552445122552</v>
      </c>
      <c r="E210" s="137">
        <f>'H) Péréquation directe'!I221/C210</f>
        <v>3.0984983679365574</v>
      </c>
      <c r="F210" s="110">
        <f>+'I) Dépenses thématiques'!O210/'K) Plafonnement aide'!C210</f>
        <v>-16.830542403880955</v>
      </c>
      <c r="G210" s="137">
        <f t="shared" si="13"/>
        <v>4.8825084091781541</v>
      </c>
      <c r="H210" s="110">
        <f t="shared" si="14"/>
        <v>21.713050813059109</v>
      </c>
      <c r="I210" s="137">
        <f t="shared" si="15"/>
        <v>0</v>
      </c>
      <c r="J210" s="55">
        <f t="shared" si="16"/>
        <v>0</v>
      </c>
      <c r="K210" s="36"/>
    </row>
    <row r="211" spans="1:11" x14ac:dyDescent="0.25">
      <c r="A211" s="49">
        <f>'A) Base RI'!A213</f>
        <v>5742</v>
      </c>
      <c r="B211" s="294" t="str">
        <f>'A) Base RI'!B213</f>
        <v>Agiez</v>
      </c>
      <c r="C211" s="95">
        <f>'B) D RI'!U213</f>
        <v>9044.2293566491917</v>
      </c>
      <c r="D211" s="110">
        <f>'E) Fact soc'!G217/C211</f>
        <v>16.618974219084649</v>
      </c>
      <c r="E211" s="137">
        <f>'H) Péréquation directe'!I222/C211</f>
        <v>1.5117231751486007</v>
      </c>
      <c r="F211" s="110">
        <f>+'I) Dépenses thématiques'!O211/'K) Plafonnement aide'!C211</f>
        <v>-0.74982281192831124</v>
      </c>
      <c r="G211" s="137">
        <f t="shared" si="13"/>
        <v>17.380874582304937</v>
      </c>
      <c r="H211" s="110">
        <f t="shared" si="14"/>
        <v>18.130697394233248</v>
      </c>
      <c r="I211" s="137">
        <f t="shared" si="15"/>
        <v>0</v>
      </c>
      <c r="J211" s="55">
        <f t="shared" si="16"/>
        <v>0</v>
      </c>
      <c r="K211" s="36"/>
    </row>
    <row r="212" spans="1:11" x14ac:dyDescent="0.25">
      <c r="A212" s="49">
        <f>'A) Base RI'!A214</f>
        <v>5743</v>
      </c>
      <c r="B212" s="294" t="str">
        <f>'A) Base RI'!B214</f>
        <v>Arnex-sur-Orbe</v>
      </c>
      <c r="C212" s="95">
        <f>'B) D RI'!U214</f>
        <v>18380.074354130466</v>
      </c>
      <c r="D212" s="110">
        <f>'E) Fact soc'!G218/C212</f>
        <v>23.570742539179001</v>
      </c>
      <c r="E212" s="137">
        <f>'H) Péréquation directe'!I223/C212</f>
        <v>4.5763680750751883</v>
      </c>
      <c r="F212" s="110">
        <f>+'I) Dépenses thématiques'!O212/'K) Plafonnement aide'!C212</f>
        <v>-3.5900332096197087</v>
      </c>
      <c r="G212" s="137">
        <f t="shared" si="13"/>
        <v>24.55707740463448</v>
      </c>
      <c r="H212" s="110">
        <f t="shared" si="14"/>
        <v>28.147110614254188</v>
      </c>
      <c r="I212" s="137">
        <f t="shared" si="15"/>
        <v>0</v>
      </c>
      <c r="J212" s="55">
        <f t="shared" si="16"/>
        <v>0</v>
      </c>
      <c r="K212" s="36"/>
    </row>
    <row r="213" spans="1:11" x14ac:dyDescent="0.25">
      <c r="A213" s="49">
        <f>'A) Base RI'!A215</f>
        <v>5744</v>
      </c>
      <c r="B213" s="294" t="str">
        <f>'A) Base RI'!B215</f>
        <v>Ballaigues</v>
      </c>
      <c r="C213" s="95">
        <f>'B) D RI'!U215</f>
        <v>36664.575000922312</v>
      </c>
      <c r="D213" s="110">
        <f>'E) Fact soc'!G219/C213</f>
        <v>27.315134199038827</v>
      </c>
      <c r="E213" s="137">
        <f>'H) Péréquation directe'!I224/C213</f>
        <v>10.717819777762509</v>
      </c>
      <c r="F213" s="110">
        <f>+'I) Dépenses thématiques'!O213/'K) Plafonnement aide'!C213</f>
        <v>-14.224787322695409</v>
      </c>
      <c r="G213" s="137">
        <f t="shared" si="13"/>
        <v>23.808166654105928</v>
      </c>
      <c r="H213" s="110">
        <f t="shared" si="14"/>
        <v>38.032953976801338</v>
      </c>
      <c r="I213" s="137">
        <f t="shared" si="15"/>
        <v>0</v>
      </c>
      <c r="J213" s="55">
        <f t="shared" si="16"/>
        <v>0</v>
      </c>
      <c r="K213" s="36"/>
    </row>
    <row r="214" spans="1:11" x14ac:dyDescent="0.25">
      <c r="A214" s="49">
        <f>'A) Base RI'!A216</f>
        <v>5745</v>
      </c>
      <c r="B214" s="294" t="str">
        <f>'A) Base RI'!B216</f>
        <v>Baulmes</v>
      </c>
      <c r="C214" s="95">
        <f>'B) D RI'!U216</f>
        <v>26462.919353923764</v>
      </c>
      <c r="D214" s="110">
        <f>'E) Fact soc'!G220/C214</f>
        <v>23.474875508216495</v>
      </c>
      <c r="E214" s="137">
        <f>'H) Péréquation directe'!I225/C214</f>
        <v>-2.6865510233493186</v>
      </c>
      <c r="F214" s="110">
        <f>+'I) Dépenses thématiques'!O214/'K) Plafonnement aide'!C214</f>
        <v>-11.503284422536378</v>
      </c>
      <c r="G214" s="137">
        <f t="shared" si="13"/>
        <v>9.2850400623307969</v>
      </c>
      <c r="H214" s="110">
        <f t="shared" si="14"/>
        <v>20.788324484867175</v>
      </c>
      <c r="I214" s="137">
        <f t="shared" si="15"/>
        <v>0</v>
      </c>
      <c r="J214" s="55">
        <f t="shared" si="16"/>
        <v>0</v>
      </c>
      <c r="K214" s="36"/>
    </row>
    <row r="215" spans="1:11" x14ac:dyDescent="0.25">
      <c r="A215" s="49">
        <f>'A) Base RI'!A217</f>
        <v>5746</v>
      </c>
      <c r="B215" s="294" t="str">
        <f>'A) Base RI'!B217</f>
        <v>Bavois</v>
      </c>
      <c r="C215" s="95">
        <f>'B) D RI'!U217</f>
        <v>26553.96285852553</v>
      </c>
      <c r="D215" s="110">
        <f>'E) Fact soc'!G221/C215</f>
        <v>18.105474800116909</v>
      </c>
      <c r="E215" s="137">
        <f>'H) Péréquation directe'!I226/C215</f>
        <v>3.3465705218160924</v>
      </c>
      <c r="F215" s="110">
        <f>+'I) Dépenses thématiques'!O215/'K) Plafonnement aide'!C215</f>
        <v>-8.875463556822389</v>
      </c>
      <c r="G215" s="137">
        <f t="shared" si="13"/>
        <v>12.57658176511061</v>
      </c>
      <c r="H215" s="110">
        <f t="shared" si="14"/>
        <v>21.452045321932999</v>
      </c>
      <c r="I215" s="137">
        <f t="shared" si="15"/>
        <v>0</v>
      </c>
      <c r="J215" s="55">
        <f t="shared" si="16"/>
        <v>0</v>
      </c>
      <c r="K215" s="36"/>
    </row>
    <row r="216" spans="1:11" x14ac:dyDescent="0.25">
      <c r="A216" s="49">
        <f>'A) Base RI'!A218</f>
        <v>5747</v>
      </c>
      <c r="B216" s="294" t="str">
        <f>'A) Base RI'!B218</f>
        <v>Bofflens</v>
      </c>
      <c r="C216" s="95">
        <f>'B) D RI'!U218</f>
        <v>4975.9343453180645</v>
      </c>
      <c r="D216" s="110">
        <f>'E) Fact soc'!G222/C216</f>
        <v>19.324936457712962</v>
      </c>
      <c r="E216" s="137">
        <f>'H) Péréquation directe'!I227/C216</f>
        <v>0.86864360213619674</v>
      </c>
      <c r="F216" s="110">
        <f>+'I) Dépenses thématiques'!O216/'K) Plafonnement aide'!C216</f>
        <v>-7.6895948109236842</v>
      </c>
      <c r="G216" s="137">
        <f t="shared" si="13"/>
        <v>12.503985248925474</v>
      </c>
      <c r="H216" s="110">
        <f t="shared" si="14"/>
        <v>20.193580059849157</v>
      </c>
      <c r="I216" s="137">
        <f t="shared" si="15"/>
        <v>0</v>
      </c>
      <c r="J216" s="55">
        <f t="shared" si="16"/>
        <v>0</v>
      </c>
      <c r="K216" s="36"/>
    </row>
    <row r="217" spans="1:11" x14ac:dyDescent="0.25">
      <c r="A217" s="49">
        <f>'A) Base RI'!A219</f>
        <v>5748</v>
      </c>
      <c r="B217" s="294" t="str">
        <f>'A) Base RI'!B219</f>
        <v>Bretonnières</v>
      </c>
      <c r="C217" s="95">
        <f>'B) D RI'!U219</f>
        <v>5547.867770022187</v>
      </c>
      <c r="D217" s="110">
        <f>'E) Fact soc'!G223/C217</f>
        <v>19.686046015464498</v>
      </c>
      <c r="E217" s="137">
        <f>'H) Péréquation directe'!I228/C217</f>
        <v>-9.205271930207525</v>
      </c>
      <c r="F217" s="110">
        <f>+'I) Dépenses thématiques'!O217/'K) Plafonnement aide'!C217</f>
        <v>-9.9555971611823644</v>
      </c>
      <c r="G217" s="137">
        <f t="shared" si="13"/>
        <v>0.52517692407460892</v>
      </c>
      <c r="H217" s="110">
        <f t="shared" si="14"/>
        <v>10.480774085256973</v>
      </c>
      <c r="I217" s="137">
        <f t="shared" si="15"/>
        <v>0</v>
      </c>
      <c r="J217" s="55">
        <f t="shared" si="16"/>
        <v>0</v>
      </c>
      <c r="K217" s="36"/>
    </row>
    <row r="218" spans="1:11" x14ac:dyDescent="0.25">
      <c r="A218" s="49">
        <f>'A) Base RI'!A220</f>
        <v>5749</v>
      </c>
      <c r="B218" s="294" t="str">
        <f>'A) Base RI'!B220</f>
        <v>Chavornay</v>
      </c>
      <c r="C218" s="95">
        <f>'B) D RI'!U220</f>
        <v>136712.84503559873</v>
      </c>
      <c r="D218" s="110">
        <f>'E) Fact soc'!G224/C218</f>
        <v>18.269102253737135</v>
      </c>
      <c r="E218" s="137">
        <f>'H) Péréquation directe'!I229/C218</f>
        <v>-6.1919528772388874</v>
      </c>
      <c r="F218" s="110">
        <f>+'I) Dépenses thématiques'!O218/'K) Plafonnement aide'!C218</f>
        <v>-3.6645060308827229</v>
      </c>
      <c r="G218" s="137">
        <f t="shared" si="13"/>
        <v>8.4126433456155247</v>
      </c>
      <c r="H218" s="110">
        <f t="shared" si="14"/>
        <v>12.077149376498248</v>
      </c>
      <c r="I218" s="137">
        <f t="shared" si="15"/>
        <v>0</v>
      </c>
      <c r="J218" s="55">
        <f t="shared" si="16"/>
        <v>0</v>
      </c>
      <c r="K218" s="36"/>
    </row>
    <row r="219" spans="1:11" x14ac:dyDescent="0.25">
      <c r="A219" s="49">
        <f>'A) Base RI'!A221</f>
        <v>5750</v>
      </c>
      <c r="B219" s="294" t="str">
        <f>'A) Base RI'!B221</f>
        <v>Les Clées</v>
      </c>
      <c r="C219" s="95">
        <f>'B) D RI'!U221</f>
        <v>5161.3627278037393</v>
      </c>
      <c r="D219" s="110">
        <f>'E) Fact soc'!G225/C219</f>
        <v>15.420550607732542</v>
      </c>
      <c r="E219" s="137">
        <f>'H) Péréquation directe'!I230/C219</f>
        <v>0.36700475692128937</v>
      </c>
      <c r="F219" s="110">
        <f>+'I) Dépenses thématiques'!O219/'K) Plafonnement aide'!C219</f>
        <v>-9.8422386512419138</v>
      </c>
      <c r="G219" s="137">
        <f t="shared" si="13"/>
        <v>5.945316713411918</v>
      </c>
      <c r="H219" s="110">
        <f t="shared" si="14"/>
        <v>15.787555364653832</v>
      </c>
      <c r="I219" s="137">
        <f t="shared" si="15"/>
        <v>0</v>
      </c>
      <c r="J219" s="55">
        <f t="shared" si="16"/>
        <v>0</v>
      </c>
      <c r="K219" s="36"/>
    </row>
    <row r="220" spans="1:11" x14ac:dyDescent="0.25">
      <c r="A220" s="49">
        <f>'A) Base RI'!A222</f>
        <v>5752</v>
      </c>
      <c r="B220" s="294" t="str">
        <f>'A) Base RI'!B222</f>
        <v>Croy</v>
      </c>
      <c r="C220" s="95">
        <f>'B) D RI'!U222</f>
        <v>10757.15843408766</v>
      </c>
      <c r="D220" s="110">
        <f>'E) Fact soc'!G226/C220</f>
        <v>17.899136599967832</v>
      </c>
      <c r="E220" s="137">
        <f>'H) Péréquation directe'!I231/C220</f>
        <v>0.71003299061093506</v>
      </c>
      <c r="F220" s="110">
        <f>+'I) Dépenses thématiques'!O220/'K) Plafonnement aide'!C220</f>
        <v>-14.110461512423356</v>
      </c>
      <c r="G220" s="137">
        <f t="shared" si="13"/>
        <v>4.4987080781554099</v>
      </c>
      <c r="H220" s="110">
        <f t="shared" si="14"/>
        <v>18.609169590578766</v>
      </c>
      <c r="I220" s="137">
        <f t="shared" si="15"/>
        <v>0</v>
      </c>
      <c r="J220" s="55">
        <f t="shared" si="16"/>
        <v>0</v>
      </c>
      <c r="K220" s="36"/>
    </row>
    <row r="221" spans="1:11" x14ac:dyDescent="0.25">
      <c r="A221" s="49">
        <f>'A) Base RI'!A223</f>
        <v>5754</v>
      </c>
      <c r="B221" s="294" t="str">
        <f>'A) Base RI'!B223</f>
        <v>Juriens</v>
      </c>
      <c r="C221" s="95">
        <f>'B) D RI'!U223</f>
        <v>8043.6966976741023</v>
      </c>
      <c r="D221" s="110">
        <f>'E) Fact soc'!G227/C221</f>
        <v>15.99305977256039</v>
      </c>
      <c r="E221" s="137">
        <f>'H) Péréquation directe'!I232/C221</f>
        <v>-2.2778339719190028</v>
      </c>
      <c r="F221" s="110">
        <f>+'I) Dépenses thématiques'!O221/'K) Plafonnement aide'!C221</f>
        <v>-3.1954474779229423</v>
      </c>
      <c r="G221" s="137">
        <f t="shared" si="13"/>
        <v>10.519778322718444</v>
      </c>
      <c r="H221" s="110">
        <f t="shared" si="14"/>
        <v>13.715225800641386</v>
      </c>
      <c r="I221" s="137">
        <f t="shared" si="15"/>
        <v>0</v>
      </c>
      <c r="J221" s="55">
        <f t="shared" si="16"/>
        <v>0</v>
      </c>
      <c r="K221" s="36"/>
    </row>
    <row r="222" spans="1:11" x14ac:dyDescent="0.25">
      <c r="A222" s="49">
        <f>'A) Base RI'!A224</f>
        <v>5755</v>
      </c>
      <c r="B222" s="294" t="str">
        <f>'A) Base RI'!B224</f>
        <v>Lignerolle</v>
      </c>
      <c r="C222" s="95">
        <f>'B) D RI'!U224</f>
        <v>9515.1754002495127</v>
      </c>
      <c r="D222" s="110">
        <f>'E) Fact soc'!G228/C222</f>
        <v>17.631697066778393</v>
      </c>
      <c r="E222" s="137">
        <f>'H) Péréquation directe'!I233/C222</f>
        <v>-10.399734148355179</v>
      </c>
      <c r="F222" s="110">
        <f>+'I) Dépenses thématiques'!O222/'K) Plafonnement aide'!C222</f>
        <v>-18.857589760375802</v>
      </c>
      <c r="G222" s="137">
        <f t="shared" si="13"/>
        <v>-11.625626841952588</v>
      </c>
      <c r="H222" s="110">
        <f t="shared" si="14"/>
        <v>7.2319629184232141</v>
      </c>
      <c r="I222" s="137">
        <f t="shared" si="15"/>
        <v>0</v>
      </c>
      <c r="J222" s="55">
        <f t="shared" si="16"/>
        <v>0</v>
      </c>
      <c r="K222" s="36"/>
    </row>
    <row r="223" spans="1:11" x14ac:dyDescent="0.25">
      <c r="A223" s="49">
        <f>'A) Base RI'!A225</f>
        <v>5756</v>
      </c>
      <c r="B223" s="294" t="str">
        <f>'A) Base RI'!B225</f>
        <v>Montcherand</v>
      </c>
      <c r="C223" s="95">
        <f>'B) D RI'!U225</f>
        <v>16469.035494125688</v>
      </c>
      <c r="D223" s="110">
        <f>'E) Fact soc'!G229/C223</f>
        <v>16.283916411711179</v>
      </c>
      <c r="E223" s="137">
        <f>'H) Péréquation directe'!I234/C223</f>
        <v>9.7524449068155938</v>
      </c>
      <c r="F223" s="110">
        <f>+'I) Dépenses thématiques'!O223/'K) Plafonnement aide'!C223</f>
        <v>-3.7943116636089727</v>
      </c>
      <c r="G223" s="137">
        <f t="shared" si="13"/>
        <v>22.2420496549178</v>
      </c>
      <c r="H223" s="110">
        <f t="shared" si="14"/>
        <v>26.036361318526772</v>
      </c>
      <c r="I223" s="137">
        <f t="shared" si="15"/>
        <v>0</v>
      </c>
      <c r="J223" s="55">
        <f t="shared" si="16"/>
        <v>0</v>
      </c>
      <c r="K223" s="36"/>
    </row>
    <row r="224" spans="1:11" x14ac:dyDescent="0.25">
      <c r="A224" s="49">
        <f>'A) Base RI'!A226</f>
        <v>5757</v>
      </c>
      <c r="B224" s="294" t="str">
        <f>'A) Base RI'!B226</f>
        <v>Orbe</v>
      </c>
      <c r="C224" s="95">
        <f>'B) D RI'!U226</f>
        <v>204851.86723579146</v>
      </c>
      <c r="D224" s="110">
        <f>'E) Fact soc'!G230/C224</f>
        <v>22.345678363640864</v>
      </c>
      <c r="E224" s="137">
        <f>'H) Péréquation directe'!I235/C224</f>
        <v>-6.536611097221134</v>
      </c>
      <c r="F224" s="110">
        <f>+'I) Dépenses thématiques'!O224/'K) Plafonnement aide'!C224</f>
        <v>-7.5328731080646172</v>
      </c>
      <c r="G224" s="137">
        <f t="shared" si="13"/>
        <v>8.2761941583551142</v>
      </c>
      <c r="H224" s="110">
        <f t="shared" si="14"/>
        <v>15.809067266419731</v>
      </c>
      <c r="I224" s="137">
        <f t="shared" si="15"/>
        <v>0</v>
      </c>
      <c r="J224" s="55">
        <f t="shared" si="16"/>
        <v>0</v>
      </c>
      <c r="K224" s="36"/>
    </row>
    <row r="225" spans="1:11" x14ac:dyDescent="0.25">
      <c r="A225" s="49">
        <f>'A) Base RI'!A227</f>
        <v>5758</v>
      </c>
      <c r="B225" s="294" t="str">
        <f>'A) Base RI'!B227</f>
        <v>La Praz</v>
      </c>
      <c r="C225" s="95">
        <f>'B) D RI'!U227</f>
        <v>4452.1612722088212</v>
      </c>
      <c r="D225" s="110">
        <f>'E) Fact soc'!G231/C225</f>
        <v>22.734834072796602</v>
      </c>
      <c r="E225" s="137">
        <f>'H) Péréquation directe'!I236/C225</f>
        <v>-2.459583683146858</v>
      </c>
      <c r="F225" s="110">
        <f>+'I) Dépenses thématiques'!O225/'K) Plafonnement aide'!C225</f>
        <v>-5.6390167685128469</v>
      </c>
      <c r="G225" s="137">
        <f t="shared" si="13"/>
        <v>14.636233621136899</v>
      </c>
      <c r="H225" s="110">
        <f t="shared" si="14"/>
        <v>20.275250389649745</v>
      </c>
      <c r="I225" s="137">
        <f t="shared" si="15"/>
        <v>0</v>
      </c>
      <c r="J225" s="55">
        <f t="shared" si="16"/>
        <v>0</v>
      </c>
      <c r="K225" s="36"/>
    </row>
    <row r="226" spans="1:11" x14ac:dyDescent="0.25">
      <c r="A226" s="49">
        <f>'A) Base RI'!A228</f>
        <v>5759</v>
      </c>
      <c r="B226" s="294" t="str">
        <f>'A) Base RI'!B228</f>
        <v>Premier</v>
      </c>
      <c r="C226" s="95">
        <f>'B) D RI'!U228</f>
        <v>4744.8996537773928</v>
      </c>
      <c r="D226" s="110">
        <f>'E) Fact soc'!G232/C226</f>
        <v>21.853989765922261</v>
      </c>
      <c r="E226" s="137">
        <f>'H) Péréquation directe'!I237/C226</f>
        <v>-11.731334297119792</v>
      </c>
      <c r="F226" s="110">
        <f>+'I) Dépenses thématiques'!O226/'K) Plafonnement aide'!C226</f>
        <v>-15.838177098504922</v>
      </c>
      <c r="G226" s="137">
        <f t="shared" si="13"/>
        <v>-5.7155216297024527</v>
      </c>
      <c r="H226" s="110">
        <f t="shared" si="14"/>
        <v>10.122655468802469</v>
      </c>
      <c r="I226" s="137">
        <f t="shared" si="15"/>
        <v>0</v>
      </c>
      <c r="J226" s="55">
        <f t="shared" si="16"/>
        <v>0</v>
      </c>
      <c r="K226" s="36"/>
    </row>
    <row r="227" spans="1:11" x14ac:dyDescent="0.25">
      <c r="A227" s="49">
        <f>'A) Base RI'!A229</f>
        <v>5760</v>
      </c>
      <c r="B227" s="294" t="str">
        <f>'A) Base RI'!B229</f>
        <v>Rances</v>
      </c>
      <c r="C227" s="95">
        <f>'B) D RI'!U229</f>
        <v>11421.2396274482</v>
      </c>
      <c r="D227" s="110">
        <f>'E) Fact soc'!G233/C227</f>
        <v>19.184470176561469</v>
      </c>
      <c r="E227" s="137">
        <f>'H) Péréquation directe'!I238/C227</f>
        <v>-6.5604802332088559</v>
      </c>
      <c r="F227" s="110">
        <f>+'I) Dépenses thématiques'!O227/'K) Plafonnement aide'!C227</f>
        <v>-12.514015755174375</v>
      </c>
      <c r="G227" s="137">
        <f t="shared" si="13"/>
        <v>0.10997418817823679</v>
      </c>
      <c r="H227" s="110">
        <f t="shared" si="14"/>
        <v>12.623989943352612</v>
      </c>
      <c r="I227" s="137">
        <f t="shared" si="15"/>
        <v>0</v>
      </c>
      <c r="J227" s="55">
        <f t="shared" si="16"/>
        <v>0</v>
      </c>
      <c r="K227" s="36"/>
    </row>
    <row r="228" spans="1:11" x14ac:dyDescent="0.25">
      <c r="A228" s="49">
        <f>'A) Base RI'!A230</f>
        <v>5761</v>
      </c>
      <c r="B228" s="294" t="str">
        <f>'A) Base RI'!B230</f>
        <v>Romainmôtier-Envy</v>
      </c>
      <c r="C228" s="95">
        <f>'B) D RI'!U230</f>
        <v>14547.39613540147</v>
      </c>
      <c r="D228" s="110">
        <f>'E) Fact soc'!G234/C228</f>
        <v>19.367168927821741</v>
      </c>
      <c r="E228" s="137">
        <f>'H) Péréquation directe'!I239/C228</f>
        <v>-1.6740036101240756</v>
      </c>
      <c r="F228" s="110">
        <f>+'I) Dépenses thématiques'!O228/'K) Plafonnement aide'!C228</f>
        <v>-7.5374893545741299</v>
      </c>
      <c r="G228" s="137">
        <f t="shared" si="13"/>
        <v>10.155675963123535</v>
      </c>
      <c r="H228" s="110">
        <f t="shared" si="14"/>
        <v>17.693165317697666</v>
      </c>
      <c r="I228" s="137">
        <f t="shared" si="15"/>
        <v>0</v>
      </c>
      <c r="J228" s="55">
        <f t="shared" si="16"/>
        <v>0</v>
      </c>
      <c r="K228" s="36"/>
    </row>
    <row r="229" spans="1:11" x14ac:dyDescent="0.25">
      <c r="A229" s="49">
        <f>'A) Base RI'!A231</f>
        <v>5762</v>
      </c>
      <c r="B229" s="294" t="str">
        <f>'A) Base RI'!B231</f>
        <v>Sergey</v>
      </c>
      <c r="C229" s="95">
        <f>'B) D RI'!U231</f>
        <v>3763.729317622563</v>
      </c>
      <c r="D229" s="110">
        <f>'E) Fact soc'!G235/C229</f>
        <v>15.969421681471065</v>
      </c>
      <c r="E229" s="137">
        <f>'H) Péréquation directe'!I240/C229</f>
        <v>-2.4357999740571423</v>
      </c>
      <c r="F229" s="110">
        <f>+'I) Dépenses thématiques'!O229/'K) Plafonnement aide'!C229</f>
        <v>-5.5231457230254346</v>
      </c>
      <c r="G229" s="137">
        <f t="shared" si="13"/>
        <v>8.0104759843884885</v>
      </c>
      <c r="H229" s="110">
        <f t="shared" si="14"/>
        <v>13.533621707413923</v>
      </c>
      <c r="I229" s="137">
        <f t="shared" si="15"/>
        <v>0</v>
      </c>
      <c r="J229" s="55">
        <f t="shared" si="16"/>
        <v>0</v>
      </c>
      <c r="K229" s="36"/>
    </row>
    <row r="230" spans="1:11" x14ac:dyDescent="0.25">
      <c r="A230" s="49">
        <f>'A) Base RI'!A232</f>
        <v>5763</v>
      </c>
      <c r="B230" s="294" t="str">
        <f>'A) Base RI'!B232</f>
        <v>Valeyres-sous-Rances</v>
      </c>
      <c r="C230" s="95">
        <f>'B) D RI'!U232</f>
        <v>20916.396171179269</v>
      </c>
      <c r="D230" s="110">
        <f>'E) Fact soc'!G236/C230</f>
        <v>15.659247224830901</v>
      </c>
      <c r="E230" s="137">
        <f>'H) Péréquation directe'!I241/C230</f>
        <v>10.974699306717964</v>
      </c>
      <c r="F230" s="110">
        <f>+'I) Dépenses thématiques'!O230/'K) Plafonnement aide'!C230</f>
        <v>-9.7096001542334864</v>
      </c>
      <c r="G230" s="137">
        <f t="shared" si="13"/>
        <v>16.924346377315381</v>
      </c>
      <c r="H230" s="110">
        <f t="shared" si="14"/>
        <v>26.633946531548865</v>
      </c>
      <c r="I230" s="137">
        <f t="shared" si="15"/>
        <v>0</v>
      </c>
      <c r="J230" s="55">
        <f t="shared" si="16"/>
        <v>0</v>
      </c>
      <c r="K230" s="36"/>
    </row>
    <row r="231" spans="1:11" x14ac:dyDescent="0.25">
      <c r="A231" s="49">
        <f>'A) Base RI'!A233</f>
        <v>5764</v>
      </c>
      <c r="B231" s="294" t="str">
        <f>'A) Base RI'!B233</f>
        <v>Vallorbe</v>
      </c>
      <c r="C231" s="95">
        <f>'B) D RI'!U233</f>
        <v>83482.591885585367</v>
      </c>
      <c r="D231" s="110">
        <f>'E) Fact soc'!G237/C231</f>
        <v>25.750128354714477</v>
      </c>
      <c r="E231" s="137">
        <f>'H) Péréquation directe'!I242/C231</f>
        <v>-17.325270039552525</v>
      </c>
      <c r="F231" s="110">
        <f>+'I) Dépenses thématiques'!O231/'K) Plafonnement aide'!C231</f>
        <v>-23.442955787485385</v>
      </c>
      <c r="G231" s="137">
        <f t="shared" si="13"/>
        <v>-15.018097472323433</v>
      </c>
      <c r="H231" s="110">
        <f t="shared" si="14"/>
        <v>8.424858315161952</v>
      </c>
      <c r="I231" s="137">
        <f t="shared" si="15"/>
        <v>0</v>
      </c>
      <c r="J231" s="55">
        <f t="shared" si="16"/>
        <v>0</v>
      </c>
      <c r="K231" s="36"/>
    </row>
    <row r="232" spans="1:11" x14ac:dyDescent="0.25">
      <c r="A232" s="49">
        <f>'A) Base RI'!A234</f>
        <v>5765</v>
      </c>
      <c r="B232" s="294" t="str">
        <f>'A) Base RI'!B234</f>
        <v>Vaulion</v>
      </c>
      <c r="C232" s="95">
        <f>'B) D RI'!U234</f>
        <v>9771.3712818501954</v>
      </c>
      <c r="D232" s="110">
        <f>'E) Fact soc'!G238/C232</f>
        <v>19.598584396127016</v>
      </c>
      <c r="E232" s="137">
        <f>'H) Péréquation directe'!I243/C232</f>
        <v>-15.752902710516295</v>
      </c>
      <c r="F232" s="110">
        <f>+'I) Dépenses thématiques'!O232/'K) Plafonnement aide'!C232</f>
        <v>-15.60575360716868</v>
      </c>
      <c r="G232" s="137">
        <f t="shared" si="13"/>
        <v>-11.760071921557959</v>
      </c>
      <c r="H232" s="110">
        <f t="shared" si="14"/>
        <v>3.845681685610721</v>
      </c>
      <c r="I232" s="137">
        <f t="shared" si="15"/>
        <v>0</v>
      </c>
      <c r="J232" s="55">
        <f t="shared" si="16"/>
        <v>0</v>
      </c>
      <c r="K232" s="36"/>
    </row>
    <row r="233" spans="1:11" x14ac:dyDescent="0.25">
      <c r="A233" s="49">
        <f>'A) Base RI'!A235</f>
        <v>5766</v>
      </c>
      <c r="B233" s="294" t="str">
        <f>'A) Base RI'!B235</f>
        <v>Vuiteboeuf</v>
      </c>
      <c r="C233" s="95">
        <f>'B) D RI'!U235</f>
        <v>13156.989379669412</v>
      </c>
      <c r="D233" s="110">
        <f>'E) Fact soc'!G239/C233</f>
        <v>17.532846511435654</v>
      </c>
      <c r="E233" s="137">
        <f>'H) Péréquation directe'!I244/C233</f>
        <v>-8.5928309960318288</v>
      </c>
      <c r="F233" s="110">
        <f>+'I) Dépenses thématiques'!O233/'K) Plafonnement aide'!C233</f>
        <v>-8.7078847106024693</v>
      </c>
      <c r="G233" s="137">
        <f t="shared" si="13"/>
        <v>0.23213080480135595</v>
      </c>
      <c r="H233" s="110">
        <f t="shared" si="14"/>
        <v>8.9400155154038252</v>
      </c>
      <c r="I233" s="137">
        <f t="shared" si="15"/>
        <v>0</v>
      </c>
      <c r="J233" s="55">
        <f t="shared" si="16"/>
        <v>0</v>
      </c>
      <c r="K233" s="36"/>
    </row>
    <row r="234" spans="1:11" x14ac:dyDescent="0.25">
      <c r="A234" s="49">
        <f>'A) Base RI'!A236</f>
        <v>5785</v>
      </c>
      <c r="B234" s="294" t="str">
        <f>'A) Base RI'!B236</f>
        <v>Corcelles-le-Jorat</v>
      </c>
      <c r="C234" s="95">
        <f>'B) D RI'!U236</f>
        <v>15572.051048960157</v>
      </c>
      <c r="D234" s="110">
        <f>'E) Fact soc'!G240/C234</f>
        <v>17.055737207202952</v>
      </c>
      <c r="E234" s="137">
        <f>'H) Péréquation directe'!I245/C234</f>
        <v>10.089873688522522</v>
      </c>
      <c r="F234" s="110">
        <f>+'I) Dépenses thématiques'!O234/'K) Plafonnement aide'!C234</f>
        <v>-3.354356621772475</v>
      </c>
      <c r="G234" s="137">
        <f t="shared" si="13"/>
        <v>23.791254273953001</v>
      </c>
      <c r="H234" s="110">
        <f t="shared" si="14"/>
        <v>27.145610895725476</v>
      </c>
      <c r="I234" s="137">
        <f t="shared" si="15"/>
        <v>0</v>
      </c>
      <c r="J234" s="55">
        <f t="shared" si="16"/>
        <v>0</v>
      </c>
      <c r="K234" s="36"/>
    </row>
    <row r="235" spans="1:11" x14ac:dyDescent="0.25">
      <c r="A235" s="49">
        <f>'A) Base RI'!A237</f>
        <v>5788</v>
      </c>
      <c r="B235" s="294" t="str">
        <f>'A) Base RI'!B237</f>
        <v>Essertes</v>
      </c>
      <c r="C235" s="95">
        <f>'B) D RI'!U237</f>
        <v>11883.854268348969</v>
      </c>
      <c r="D235" s="110">
        <f>'E) Fact soc'!G241/C235</f>
        <v>17.361344932551031</v>
      </c>
      <c r="E235" s="137">
        <f>'H) Péréquation directe'!I246/C235</f>
        <v>7.8862678935580632</v>
      </c>
      <c r="F235" s="110">
        <f>+'I) Dépenses thématiques'!O235/'K) Plafonnement aide'!C235</f>
        <v>-1.4196821926783709</v>
      </c>
      <c r="G235" s="137">
        <f t="shared" si="13"/>
        <v>23.827930633430725</v>
      </c>
      <c r="H235" s="110">
        <f t="shared" si="14"/>
        <v>25.247612826109098</v>
      </c>
      <c r="I235" s="137">
        <f t="shared" si="15"/>
        <v>0</v>
      </c>
      <c r="J235" s="55">
        <f t="shared" si="16"/>
        <v>0</v>
      </c>
      <c r="K235" s="36"/>
    </row>
    <row r="236" spans="1:11" x14ac:dyDescent="0.25">
      <c r="A236" s="49">
        <f>'A) Base RI'!A238</f>
        <v>5790</v>
      </c>
      <c r="B236" s="294" t="str">
        <f>'A) Base RI'!B238</f>
        <v>Maracon</v>
      </c>
      <c r="C236" s="95">
        <f>'B) D RI'!U238</f>
        <v>13256.164125976293</v>
      </c>
      <c r="D236" s="110">
        <f>'E) Fact soc'!G242/C236</f>
        <v>20.572140713652239</v>
      </c>
      <c r="E236" s="137">
        <f>'H) Péréquation directe'!I247/C236</f>
        <v>0.40445741855909129</v>
      </c>
      <c r="F236" s="110">
        <f>+'I) Dépenses thématiques'!O236/'K) Plafonnement aide'!C236</f>
        <v>-8.0497202675124271</v>
      </c>
      <c r="G236" s="137">
        <f t="shared" si="13"/>
        <v>12.926877864698902</v>
      </c>
      <c r="H236" s="110">
        <f t="shared" si="14"/>
        <v>20.976598132211329</v>
      </c>
      <c r="I236" s="137">
        <f t="shared" si="15"/>
        <v>0</v>
      </c>
      <c r="J236" s="55">
        <f t="shared" si="16"/>
        <v>0</v>
      </c>
      <c r="K236" s="36"/>
    </row>
    <row r="237" spans="1:11" x14ac:dyDescent="0.25">
      <c r="A237" s="49">
        <f>'A) Base RI'!A239</f>
        <v>5792</v>
      </c>
      <c r="B237" s="294" t="str">
        <f>'A) Base RI'!B239</f>
        <v>Montpreveyres</v>
      </c>
      <c r="C237" s="95">
        <f>'B) D RI'!U239</f>
        <v>18726.471313410195</v>
      </c>
      <c r="D237" s="110">
        <f>'E) Fact soc'!G243/C237</f>
        <v>19.17301105656076</v>
      </c>
      <c r="E237" s="137">
        <f>'H) Péréquation directe'!I248/C237</f>
        <v>3.2838585583832636</v>
      </c>
      <c r="F237" s="110">
        <f>+'I) Dépenses thématiques'!O237/'K) Plafonnement aide'!C237</f>
        <v>-7.4104278795751313</v>
      </c>
      <c r="G237" s="137">
        <f t="shared" si="13"/>
        <v>15.046441735368894</v>
      </c>
      <c r="H237" s="110">
        <f t="shared" si="14"/>
        <v>22.456869614944026</v>
      </c>
      <c r="I237" s="137">
        <f t="shared" si="15"/>
        <v>0</v>
      </c>
      <c r="J237" s="55">
        <f t="shared" si="16"/>
        <v>0</v>
      </c>
      <c r="K237" s="36"/>
    </row>
    <row r="238" spans="1:11" x14ac:dyDescent="0.25">
      <c r="A238" s="49">
        <f>'A) Base RI'!A240</f>
        <v>5798</v>
      </c>
      <c r="B238" s="294" t="str">
        <f>'A) Base RI'!B240</f>
        <v>Ropraz</v>
      </c>
      <c r="C238" s="95">
        <f>'B) D RI'!U240</f>
        <v>13725.260150883058</v>
      </c>
      <c r="D238" s="110">
        <f>'E) Fact soc'!G244/C238</f>
        <v>18.974655459497814</v>
      </c>
      <c r="E238" s="137">
        <f>'H) Péréquation directe'!I249/C238</f>
        <v>1.1390371962189683</v>
      </c>
      <c r="F238" s="110">
        <f>+'I) Dépenses thématiques'!O238/'K) Plafonnement aide'!C238</f>
        <v>-5.847415721973162</v>
      </c>
      <c r="G238" s="137">
        <f t="shared" si="13"/>
        <v>14.266276933743621</v>
      </c>
      <c r="H238" s="110">
        <f t="shared" si="14"/>
        <v>20.113692655716783</v>
      </c>
      <c r="I238" s="137">
        <f t="shared" si="15"/>
        <v>0</v>
      </c>
      <c r="J238" s="55">
        <f t="shared" si="16"/>
        <v>0</v>
      </c>
      <c r="K238" s="36"/>
    </row>
    <row r="239" spans="1:11" x14ac:dyDescent="0.25">
      <c r="A239" s="49">
        <f>'A) Base RI'!A241</f>
        <v>5799</v>
      </c>
      <c r="B239" s="294" t="str">
        <f>'A) Base RI'!B241</f>
        <v>Servion</v>
      </c>
      <c r="C239" s="95">
        <f>'B) D RI'!U241</f>
        <v>68712.576636224549</v>
      </c>
      <c r="D239" s="110">
        <f>'E) Fact soc'!G245/C239</f>
        <v>20.032684976384648</v>
      </c>
      <c r="E239" s="137">
        <f>'H) Péréquation directe'!I250/C239</f>
        <v>8.6191822307279971</v>
      </c>
      <c r="F239" s="110">
        <f>+'I) Dépenses thématiques'!O239/'K) Plafonnement aide'!C239</f>
        <v>-3.3054188475311279</v>
      </c>
      <c r="G239" s="137">
        <f t="shared" si="13"/>
        <v>25.346448359581515</v>
      </c>
      <c r="H239" s="110">
        <f t="shared" si="14"/>
        <v>28.651867207112645</v>
      </c>
      <c r="I239" s="137">
        <f t="shared" si="15"/>
        <v>0</v>
      </c>
      <c r="J239" s="55">
        <f t="shared" si="16"/>
        <v>0</v>
      </c>
      <c r="K239" s="36"/>
    </row>
    <row r="240" spans="1:11" x14ac:dyDescent="0.25">
      <c r="A240" s="49">
        <f>'A) Base RI'!A242</f>
        <v>5803</v>
      </c>
      <c r="B240" s="294" t="str">
        <f>'A) Base RI'!B242</f>
        <v>Vulliens</v>
      </c>
      <c r="C240" s="95">
        <f>'B) D RI'!U242</f>
        <v>16546.34632030463</v>
      </c>
      <c r="D240" s="110">
        <f>'E) Fact soc'!G246/C240</f>
        <v>19.367920349579659</v>
      </c>
      <c r="E240" s="137">
        <f>'H) Péréquation directe'!I251/C240</f>
        <v>0.98862802075034995</v>
      </c>
      <c r="F240" s="110">
        <f>+'I) Dépenses thématiques'!O240/'K) Plafonnement aide'!C240</f>
        <v>-4.5427030017480439</v>
      </c>
      <c r="G240" s="137">
        <f t="shared" si="13"/>
        <v>15.813845368581966</v>
      </c>
      <c r="H240" s="110">
        <f t="shared" si="14"/>
        <v>20.35654837033001</v>
      </c>
      <c r="I240" s="137">
        <f t="shared" si="15"/>
        <v>0</v>
      </c>
      <c r="J240" s="55">
        <f t="shared" si="16"/>
        <v>0</v>
      </c>
      <c r="K240" s="36"/>
    </row>
    <row r="241" spans="1:11" x14ac:dyDescent="0.25">
      <c r="A241" s="49">
        <f>'A) Base RI'!A243</f>
        <v>5804</v>
      </c>
      <c r="B241" s="294" t="str">
        <f>'A) Base RI'!B243</f>
        <v>Jorat-Menthue</v>
      </c>
      <c r="C241" s="95">
        <f>'B) D RI'!U243</f>
        <v>47504.398266419383</v>
      </c>
      <c r="D241" s="110">
        <f>'E) Fact soc'!G247/C241</f>
        <v>16.454987421697059</v>
      </c>
      <c r="E241" s="137">
        <f>'H) Péréquation directe'!I252/C241</f>
        <v>3.1047799825172691</v>
      </c>
      <c r="F241" s="110">
        <f>+'I) Dépenses thématiques'!O241/'K) Plafonnement aide'!C241</f>
        <v>-8.2809419106379156</v>
      </c>
      <c r="G241" s="137">
        <f t="shared" si="13"/>
        <v>11.278825493576411</v>
      </c>
      <c r="H241" s="110">
        <f t="shared" si="14"/>
        <v>19.559767404214327</v>
      </c>
      <c r="I241" s="137">
        <f t="shared" si="15"/>
        <v>0</v>
      </c>
      <c r="J241" s="55">
        <f t="shared" si="16"/>
        <v>0</v>
      </c>
      <c r="K241" s="36"/>
    </row>
    <row r="242" spans="1:11" x14ac:dyDescent="0.25">
      <c r="A242" s="49">
        <f>'A) Base RI'!A244</f>
        <v>5805</v>
      </c>
      <c r="B242" s="294" t="str">
        <f>'A) Base RI'!B244</f>
        <v>Oron</v>
      </c>
      <c r="C242" s="95">
        <f>'B) D RI'!U244</f>
        <v>152415.01875763744</v>
      </c>
      <c r="D242" s="110">
        <f>'E) Fact soc'!G248/C242</f>
        <v>19.449761072939129</v>
      </c>
      <c r="E242" s="137">
        <f>'H) Péréquation directe'!I253/C242</f>
        <v>-5.3465153223433646</v>
      </c>
      <c r="F242" s="110">
        <f>+'I) Dépenses thématiques'!O242/'K) Plafonnement aide'!C242</f>
        <v>-4.4799039579642912</v>
      </c>
      <c r="G242" s="137">
        <f t="shared" si="13"/>
        <v>9.6233417926314733</v>
      </c>
      <c r="H242" s="110">
        <f t="shared" si="14"/>
        <v>14.103245750595764</v>
      </c>
      <c r="I242" s="137">
        <f t="shared" si="15"/>
        <v>0</v>
      </c>
      <c r="J242" s="55">
        <f t="shared" si="16"/>
        <v>0</v>
      </c>
      <c r="K242" s="36"/>
    </row>
    <row r="243" spans="1:11" x14ac:dyDescent="0.25">
      <c r="A243" s="49">
        <f>'A) Base RI'!A245</f>
        <v>5806</v>
      </c>
      <c r="B243" s="294" t="str">
        <f>'A) Base RI'!B245</f>
        <v>Jorat-Mézières</v>
      </c>
      <c r="C243" s="95">
        <f>'B) D RI'!U245</f>
        <v>89827.60291631594</v>
      </c>
      <c r="D243" s="110">
        <f>'E) Fact soc'!G249/C243</f>
        <v>19.202621116675058</v>
      </c>
      <c r="E243" s="137">
        <f>'H) Péréquation directe'!I254/C243</f>
        <v>1.7027765360324216</v>
      </c>
      <c r="F243" s="110">
        <f>+'I) Dépenses thématiques'!O243/'K) Plafonnement aide'!C243</f>
        <v>-4.5537215756335589</v>
      </c>
      <c r="G243" s="137">
        <f t="shared" si="13"/>
        <v>16.351676077073918</v>
      </c>
      <c r="H243" s="110">
        <f t="shared" si="14"/>
        <v>20.905397652707478</v>
      </c>
      <c r="I243" s="137">
        <f t="shared" si="15"/>
        <v>0</v>
      </c>
      <c r="J243" s="55">
        <f t="shared" si="16"/>
        <v>0</v>
      </c>
      <c r="K243" s="36"/>
    </row>
    <row r="244" spans="1:11" x14ac:dyDescent="0.25">
      <c r="A244" s="49">
        <f>'A) Base RI'!A246</f>
        <v>5812</v>
      </c>
      <c r="B244" s="294" t="str">
        <f>'A) Base RI'!B246</f>
        <v>Champtauroz</v>
      </c>
      <c r="C244" s="95">
        <f>'B) D RI'!U246</f>
        <v>2432.9524302206905</v>
      </c>
      <c r="D244" s="110">
        <f>'E) Fact soc'!G250/C244</f>
        <v>19.699483926395523</v>
      </c>
      <c r="E244" s="137">
        <f>'H) Péréquation directe'!I255/C244</f>
        <v>-15.396719127858852</v>
      </c>
      <c r="F244" s="110">
        <f>+'I) Dépenses thématiques'!O244/'K) Plafonnement aide'!C244</f>
        <v>-11.365215806768269</v>
      </c>
      <c r="G244" s="137">
        <f t="shared" si="13"/>
        <v>-7.0624510082315979</v>
      </c>
      <c r="H244" s="110">
        <f t="shared" si="14"/>
        <v>4.3027647985366713</v>
      </c>
      <c r="I244" s="137">
        <f t="shared" si="15"/>
        <v>0</v>
      </c>
      <c r="J244" s="55">
        <f t="shared" si="16"/>
        <v>0</v>
      </c>
      <c r="K244" s="36"/>
    </row>
    <row r="245" spans="1:11" x14ac:dyDescent="0.25">
      <c r="A245" s="49">
        <f>'A) Base RI'!A247</f>
        <v>5813</v>
      </c>
      <c r="B245" s="294" t="str">
        <f>'A) Base RI'!B247</f>
        <v>Chevroux</v>
      </c>
      <c r="C245" s="95">
        <f>'B) D RI'!U247</f>
        <v>12841.233936581375</v>
      </c>
      <c r="D245" s="110">
        <f>'E) Fact soc'!G251/C245</f>
        <v>22.122431177290583</v>
      </c>
      <c r="E245" s="137">
        <f>'H) Péréquation directe'!I256/C245</f>
        <v>2.4519794215897384</v>
      </c>
      <c r="F245" s="110">
        <f>+'I) Dépenses thématiques'!O245/'K) Plafonnement aide'!C245</f>
        <v>-7.0417651389051876</v>
      </c>
      <c r="G245" s="137">
        <f t="shared" si="13"/>
        <v>17.532645459975132</v>
      </c>
      <c r="H245" s="110">
        <f t="shared" si="14"/>
        <v>24.57441059888032</v>
      </c>
      <c r="I245" s="137">
        <f t="shared" si="15"/>
        <v>0</v>
      </c>
      <c r="J245" s="55">
        <f t="shared" si="16"/>
        <v>0</v>
      </c>
      <c r="K245" s="36"/>
    </row>
    <row r="246" spans="1:11" x14ac:dyDescent="0.25">
      <c r="A246" s="49">
        <f>'A) Base RI'!A248</f>
        <v>5816</v>
      </c>
      <c r="B246" s="294" t="str">
        <f>'A) Base RI'!B248</f>
        <v>Corcelles-près-Payerne</v>
      </c>
      <c r="C246" s="95">
        <f>'B) D RI'!U248</f>
        <v>55328.106299465391</v>
      </c>
      <c r="D246" s="110">
        <f>'E) Fact soc'!G252/C246</f>
        <v>17.767236958160574</v>
      </c>
      <c r="E246" s="137">
        <f>'H) Péréquation directe'!I257/C246</f>
        <v>-12.108376498190315</v>
      </c>
      <c r="F246" s="110">
        <f>+'I) Dépenses thématiques'!O246/'K) Plafonnement aide'!C246</f>
        <v>-6.5861957306192451</v>
      </c>
      <c r="G246" s="137">
        <f t="shared" si="13"/>
        <v>-0.92733527064898702</v>
      </c>
      <c r="H246" s="110">
        <f t="shared" si="14"/>
        <v>5.6588604599702581</v>
      </c>
      <c r="I246" s="137">
        <f t="shared" si="15"/>
        <v>0</v>
      </c>
      <c r="J246" s="55">
        <f t="shared" si="16"/>
        <v>0</v>
      </c>
      <c r="K246" s="36"/>
    </row>
    <row r="247" spans="1:11" x14ac:dyDescent="0.25">
      <c r="A247" s="49">
        <f>'A) Base RI'!A249</f>
        <v>5817</v>
      </c>
      <c r="B247" s="294" t="str">
        <f>'A) Base RI'!B249</f>
        <v>Grandcour</v>
      </c>
      <c r="C247" s="95">
        <f>'B) D RI'!U249</f>
        <v>23406.066601684674</v>
      </c>
      <c r="D247" s="110">
        <f>'E) Fact soc'!G253/C247</f>
        <v>21.102192475556482</v>
      </c>
      <c r="E247" s="137">
        <f>'H) Péréquation directe'!I258/C247</f>
        <v>-3.0430565778573291</v>
      </c>
      <c r="F247" s="110">
        <f>+'I) Dépenses thématiques'!O247/'K) Plafonnement aide'!C247</f>
        <v>-5.8886213321769603</v>
      </c>
      <c r="G247" s="137">
        <f t="shared" si="13"/>
        <v>12.170514565522193</v>
      </c>
      <c r="H247" s="110">
        <f t="shared" si="14"/>
        <v>18.059135897699154</v>
      </c>
      <c r="I247" s="137">
        <f t="shared" si="15"/>
        <v>0</v>
      </c>
      <c r="J247" s="55">
        <f t="shared" si="16"/>
        <v>0</v>
      </c>
      <c r="K247" s="36"/>
    </row>
    <row r="248" spans="1:11" x14ac:dyDescent="0.25">
      <c r="A248" s="49">
        <f>'A) Base RI'!A250</f>
        <v>5819</v>
      </c>
      <c r="B248" s="294" t="str">
        <f>'A) Base RI'!B250</f>
        <v>Henniez</v>
      </c>
      <c r="C248" s="95">
        <f>'B) D RI'!U250</f>
        <v>12438.573202549422</v>
      </c>
      <c r="D248" s="110">
        <f>'E) Fact soc'!G254/C248</f>
        <v>18.469124982210293</v>
      </c>
      <c r="E248" s="137">
        <f>'H) Péréquation directe'!I259/C248</f>
        <v>12.526130919056147</v>
      </c>
      <c r="F248" s="110">
        <f>+'I) Dépenses thématiques'!O248/'K) Plafonnement aide'!C248</f>
        <v>-6.7554869165247355</v>
      </c>
      <c r="G248" s="137">
        <f t="shared" si="13"/>
        <v>24.239768984741705</v>
      </c>
      <c r="H248" s="110">
        <f t="shared" si="14"/>
        <v>30.995255901266439</v>
      </c>
      <c r="I248" s="137">
        <f t="shared" si="15"/>
        <v>0</v>
      </c>
      <c r="J248" s="55">
        <f t="shared" si="16"/>
        <v>0</v>
      </c>
      <c r="K248" s="36"/>
    </row>
    <row r="249" spans="1:11" x14ac:dyDescent="0.25">
      <c r="A249" s="49">
        <f>'A) Base RI'!A251</f>
        <v>5821</v>
      </c>
      <c r="B249" s="294" t="str">
        <f>'A) Base RI'!B251</f>
        <v>Missy</v>
      </c>
      <c r="C249" s="95">
        <f>'B) D RI'!U251</f>
        <v>8575.631351638991</v>
      </c>
      <c r="D249" s="110">
        <f>'E) Fact soc'!G255/C249</f>
        <v>17.165108438335082</v>
      </c>
      <c r="E249" s="137">
        <f>'H) Péréquation directe'!I260/C249</f>
        <v>-4.1141456383388126</v>
      </c>
      <c r="F249" s="110">
        <f>+'I) Dépenses thématiques'!O249/'K) Plafonnement aide'!C249</f>
        <v>-2.2232267303706883</v>
      </c>
      <c r="G249" s="137">
        <f t="shared" si="13"/>
        <v>10.827736069625582</v>
      </c>
      <c r="H249" s="110">
        <f t="shared" si="14"/>
        <v>13.05096279999627</v>
      </c>
      <c r="I249" s="137">
        <f t="shared" si="15"/>
        <v>0</v>
      </c>
      <c r="J249" s="55">
        <f t="shared" si="16"/>
        <v>0</v>
      </c>
      <c r="K249" s="36"/>
    </row>
    <row r="250" spans="1:11" x14ac:dyDescent="0.25">
      <c r="A250" s="49">
        <f>'A) Base RI'!A252</f>
        <v>5822</v>
      </c>
      <c r="B250" s="294" t="str">
        <f>'A) Base RI'!B252</f>
        <v>Payerne</v>
      </c>
      <c r="C250" s="95">
        <f>'B) D RI'!U252</f>
        <v>236916.04439002261</v>
      </c>
      <c r="D250" s="110">
        <f>'E) Fact soc'!G256/C250</f>
        <v>18.536178776671775</v>
      </c>
      <c r="E250" s="137">
        <f>'H) Péréquation directe'!I261/C250</f>
        <v>-20.842837447291142</v>
      </c>
      <c r="F250" s="110">
        <f>+'I) Dépenses thématiques'!O250/'K) Plafonnement aide'!C250</f>
        <v>-5.7835211592098812</v>
      </c>
      <c r="G250" s="137">
        <f t="shared" si="13"/>
        <v>-8.090179829829248</v>
      </c>
      <c r="H250" s="110">
        <f t="shared" si="14"/>
        <v>-2.3066586706193668</v>
      </c>
      <c r="I250" s="137">
        <f t="shared" si="15"/>
        <v>0</v>
      </c>
      <c r="J250" s="55">
        <f t="shared" si="16"/>
        <v>0</v>
      </c>
      <c r="K250" s="36"/>
    </row>
    <row r="251" spans="1:11" x14ac:dyDescent="0.25">
      <c r="A251" s="49">
        <f>'A) Base RI'!A253</f>
        <v>5827</v>
      </c>
      <c r="B251" s="294" t="str">
        <f>'A) Base RI'!B253</f>
        <v>Trey</v>
      </c>
      <c r="C251" s="95">
        <f>'B) D RI'!U253</f>
        <v>7081.6159611211069</v>
      </c>
      <c r="D251" s="110">
        <f>'E) Fact soc'!G257/C251</f>
        <v>18.104645674315726</v>
      </c>
      <c r="E251" s="137">
        <f>'H) Péréquation directe'!I262/C251</f>
        <v>-1.9870983164741094</v>
      </c>
      <c r="F251" s="110">
        <f>+'I) Dépenses thématiques'!O251/'K) Plafonnement aide'!C251</f>
        <v>-7.9620899334396764</v>
      </c>
      <c r="G251" s="137">
        <f t="shared" si="13"/>
        <v>8.1554574244019395</v>
      </c>
      <c r="H251" s="110">
        <f t="shared" si="14"/>
        <v>16.117547357841616</v>
      </c>
      <c r="I251" s="137">
        <f t="shared" si="15"/>
        <v>0</v>
      </c>
      <c r="J251" s="55">
        <f t="shared" si="16"/>
        <v>0</v>
      </c>
      <c r="K251" s="36"/>
    </row>
    <row r="252" spans="1:11" x14ac:dyDescent="0.25">
      <c r="A252" s="49">
        <f>'A) Base RI'!A254</f>
        <v>5828</v>
      </c>
      <c r="B252" s="294" t="str">
        <f>'A) Base RI'!B254</f>
        <v>Treytorrens (Payerne)</v>
      </c>
      <c r="C252" s="95">
        <f>'B) D RI'!U254</f>
        <v>2673.2421559488716</v>
      </c>
      <c r="D252" s="110">
        <f>'E) Fact soc'!G258/C252</f>
        <v>19.495244608584915</v>
      </c>
      <c r="E252" s="137">
        <f>'H) Péréquation directe'!I263/C252</f>
        <v>-13.205159658148714</v>
      </c>
      <c r="F252" s="110">
        <f>+'I) Dépenses thématiques'!O252/'K) Plafonnement aide'!C252</f>
        <v>-13.92422327123767</v>
      </c>
      <c r="G252" s="137">
        <f t="shared" si="13"/>
        <v>-7.634138320801469</v>
      </c>
      <c r="H252" s="110">
        <f t="shared" si="14"/>
        <v>6.2900849504362011</v>
      </c>
      <c r="I252" s="137">
        <f t="shared" si="15"/>
        <v>0</v>
      </c>
      <c r="J252" s="55">
        <f t="shared" si="16"/>
        <v>0</v>
      </c>
      <c r="K252" s="36"/>
    </row>
    <row r="253" spans="1:11" x14ac:dyDescent="0.25">
      <c r="A253" s="49">
        <f>'A) Base RI'!A255</f>
        <v>5830</v>
      </c>
      <c r="B253" s="294" t="str">
        <f>'A) Base RI'!B255</f>
        <v>Villarzel</v>
      </c>
      <c r="C253" s="95">
        <f>'B) D RI'!U255</f>
        <v>12117.556810814382</v>
      </c>
      <c r="D253" s="110">
        <f>'E) Fact soc'!G259/C253</f>
        <v>17.800461555984914</v>
      </c>
      <c r="E253" s="137">
        <f>'H) Péréquation directe'!I264/C253</f>
        <v>-0.44075252125363401</v>
      </c>
      <c r="F253" s="110">
        <f>+'I) Dépenses thématiques'!O253/'K) Plafonnement aide'!C253</f>
        <v>-7.754747918284763</v>
      </c>
      <c r="G253" s="137">
        <f t="shared" si="13"/>
        <v>9.6049611164465141</v>
      </c>
      <c r="H253" s="110">
        <f t="shared" si="14"/>
        <v>17.359709034731278</v>
      </c>
      <c r="I253" s="137">
        <f t="shared" si="15"/>
        <v>0</v>
      </c>
      <c r="J253" s="55">
        <f t="shared" si="16"/>
        <v>0</v>
      </c>
      <c r="K253" s="36"/>
    </row>
    <row r="254" spans="1:11" x14ac:dyDescent="0.25">
      <c r="A254" s="49">
        <f>'A) Base RI'!A256</f>
        <v>5831</v>
      </c>
      <c r="B254" s="294" t="str">
        <f>'A) Base RI'!B256</f>
        <v>Valbroye</v>
      </c>
      <c r="C254" s="95">
        <f>'B) D RI'!U256</f>
        <v>83651.867392232569</v>
      </c>
      <c r="D254" s="110">
        <f>'E) Fact soc'!G260/C254</f>
        <v>19.522872530852368</v>
      </c>
      <c r="E254" s="137">
        <f>'H) Péréquation directe'!I265/C254</f>
        <v>-5.4591828955400743</v>
      </c>
      <c r="F254" s="110">
        <f>+'I) Dépenses thématiques'!O254/'K) Plafonnement aide'!C254</f>
        <v>-8.9531782369776511</v>
      </c>
      <c r="G254" s="137">
        <f t="shared" si="13"/>
        <v>5.1105113983346424</v>
      </c>
      <c r="H254" s="110">
        <f t="shared" si="14"/>
        <v>14.063689635312294</v>
      </c>
      <c r="I254" s="137">
        <f t="shared" si="15"/>
        <v>0</v>
      </c>
      <c r="J254" s="55">
        <f t="shared" si="16"/>
        <v>0</v>
      </c>
      <c r="K254" s="36"/>
    </row>
    <row r="255" spans="1:11" x14ac:dyDescent="0.25">
      <c r="A255" s="49">
        <f>'A) Base RI'!A257</f>
        <v>5841</v>
      </c>
      <c r="B255" s="294" t="str">
        <f>'A) Base RI'!B257</f>
        <v>Château-d'Oex</v>
      </c>
      <c r="C255" s="95">
        <f>'B) D RI'!U257</f>
        <v>116299.93992329082</v>
      </c>
      <c r="D255" s="110">
        <f>'E) Fact soc'!G261/C255</f>
        <v>19.708737118308164</v>
      </c>
      <c r="E255" s="137">
        <f>'H) Péréquation directe'!I266/C255</f>
        <v>2.0822216008808629</v>
      </c>
      <c r="F255" s="110">
        <f>+'I) Dépenses thématiques'!O255/'K) Plafonnement aide'!C255</f>
        <v>-16.90859958816861</v>
      </c>
      <c r="G255" s="137">
        <f t="shared" si="13"/>
        <v>4.8823591310204186</v>
      </c>
      <c r="H255" s="110">
        <f t="shared" si="14"/>
        <v>21.790958719189028</v>
      </c>
      <c r="I255" s="137">
        <f t="shared" si="15"/>
        <v>0</v>
      </c>
      <c r="J255" s="55">
        <f t="shared" si="16"/>
        <v>0</v>
      </c>
      <c r="K255" s="36"/>
    </row>
    <row r="256" spans="1:11" x14ac:dyDescent="0.25">
      <c r="A256" s="49">
        <f>'A) Base RI'!A258</f>
        <v>5842</v>
      </c>
      <c r="B256" s="294" t="str">
        <f>'A) Base RI'!B258</f>
        <v>Rossinière</v>
      </c>
      <c r="C256" s="95">
        <f>'B) D RI'!U258</f>
        <v>16094.216375513943</v>
      </c>
      <c r="D256" s="110">
        <f>'E) Fact soc'!G262/C256</f>
        <v>18.842831831977879</v>
      </c>
      <c r="E256" s="137">
        <f>'H) Péréquation directe'!I267/C256</f>
        <v>2.3003156390116506</v>
      </c>
      <c r="F256" s="110">
        <f>+'I) Dépenses thématiques'!O256/'K) Plafonnement aide'!C256</f>
        <v>-10.632671394587895</v>
      </c>
      <c r="G256" s="137">
        <f t="shared" si="13"/>
        <v>10.510476076401634</v>
      </c>
      <c r="H256" s="110">
        <f t="shared" si="14"/>
        <v>21.143147470989529</v>
      </c>
      <c r="I256" s="137">
        <f t="shared" si="15"/>
        <v>0</v>
      </c>
      <c r="J256" s="55">
        <f t="shared" si="16"/>
        <v>0</v>
      </c>
      <c r="K256" s="36"/>
    </row>
    <row r="257" spans="1:11" x14ac:dyDescent="0.25">
      <c r="A257" s="49">
        <f>'A) Base RI'!A259</f>
        <v>5843</v>
      </c>
      <c r="B257" s="294" t="str">
        <f>'A) Base RI'!B259</f>
        <v>Rougemont</v>
      </c>
      <c r="C257" s="95">
        <f>'B) D RI'!U259</f>
        <v>94148.401666926264</v>
      </c>
      <c r="D257" s="110">
        <f>'E) Fact soc'!G263/C257</f>
        <v>38.275957193783995</v>
      </c>
      <c r="E257" s="137">
        <f>'H) Péréquation directe'!I268/C257</f>
        <v>19.112666279321616</v>
      </c>
      <c r="F257" s="110">
        <f>+'I) Dépenses thématiques'!O257/'K) Plafonnement aide'!C257</f>
        <v>-1.7198187654842683</v>
      </c>
      <c r="G257" s="137">
        <f t="shared" si="13"/>
        <v>55.668804707621341</v>
      </c>
      <c r="H257" s="110">
        <f t="shared" si="14"/>
        <v>57.388623473105611</v>
      </c>
      <c r="I257" s="137">
        <f t="shared" si="15"/>
        <v>0</v>
      </c>
      <c r="J257" s="55">
        <f t="shared" si="16"/>
        <v>0</v>
      </c>
      <c r="K257" s="36"/>
    </row>
    <row r="258" spans="1:11" x14ac:dyDescent="0.25">
      <c r="A258" s="49">
        <f>'A) Base RI'!A260</f>
        <v>5851</v>
      </c>
      <c r="B258" s="294" t="str">
        <f>'A) Base RI'!B260</f>
        <v>Allaman</v>
      </c>
      <c r="C258" s="95">
        <f>'B) D RI'!U260</f>
        <v>28833.689592297927</v>
      </c>
      <c r="D258" s="110">
        <f>'E) Fact soc'!G264/C258</f>
        <v>30.482811860487431</v>
      </c>
      <c r="E258" s="137">
        <f>'H) Péréquation directe'!I269/C258</f>
        <v>18.402924978150825</v>
      </c>
      <c r="F258" s="110">
        <f>+'I) Dépenses thématiques'!O258/'K) Plafonnement aide'!C258</f>
        <v>0</v>
      </c>
      <c r="G258" s="137">
        <f t="shared" si="13"/>
        <v>48.885736838638252</v>
      </c>
      <c r="H258" s="110">
        <f t="shared" si="14"/>
        <v>48.885736838638252</v>
      </c>
      <c r="I258" s="137">
        <f t="shared" si="15"/>
        <v>0</v>
      </c>
      <c r="J258" s="55">
        <f t="shared" si="16"/>
        <v>0</v>
      </c>
      <c r="K258" s="36"/>
    </row>
    <row r="259" spans="1:11" x14ac:dyDescent="0.25">
      <c r="A259" s="49">
        <f>'A) Base RI'!A261</f>
        <v>5852</v>
      </c>
      <c r="B259" s="294" t="str">
        <f>'A) Base RI'!B261</f>
        <v>Bursinel</v>
      </c>
      <c r="C259" s="95">
        <f>'B) D RI'!U261</f>
        <v>39695.951591324636</v>
      </c>
      <c r="D259" s="110">
        <f>'E) Fact soc'!G265/C259</f>
        <v>29.172921478313711</v>
      </c>
      <c r="E259" s="137">
        <f>'H) Péréquation directe'!I270/C259</f>
        <v>18.800855160560655</v>
      </c>
      <c r="F259" s="110">
        <f>+'I) Dépenses thématiques'!O259/'K) Plafonnement aide'!C259</f>
        <v>0</v>
      </c>
      <c r="G259" s="137">
        <f t="shared" si="13"/>
        <v>47.973776638874369</v>
      </c>
      <c r="H259" s="110">
        <f t="shared" si="14"/>
        <v>47.973776638874369</v>
      </c>
      <c r="I259" s="137">
        <f t="shared" si="15"/>
        <v>0</v>
      </c>
      <c r="J259" s="55">
        <f t="shared" si="16"/>
        <v>0</v>
      </c>
      <c r="K259" s="36"/>
    </row>
    <row r="260" spans="1:11" x14ac:dyDescent="0.25">
      <c r="A260" s="49">
        <f>'A) Base RI'!A262</f>
        <v>5853</v>
      </c>
      <c r="B260" s="294" t="str">
        <f>'A) Base RI'!B262</f>
        <v>Bursins</v>
      </c>
      <c r="C260" s="95">
        <f>'B) D RI'!U262</f>
        <v>36570.93565140845</v>
      </c>
      <c r="D260" s="110">
        <f>'E) Fact soc'!G266/C260</f>
        <v>20.759713443430744</v>
      </c>
      <c r="E260" s="137">
        <f>'H) Péréquation directe'!I271/C260</f>
        <v>17.714750502925533</v>
      </c>
      <c r="F260" s="110">
        <f>+'I) Dépenses thématiques'!O260/'K) Plafonnement aide'!C260</f>
        <v>-0.6965110241531679</v>
      </c>
      <c r="G260" s="137">
        <f t="shared" si="13"/>
        <v>37.777952922203113</v>
      </c>
      <c r="H260" s="110">
        <f t="shared" si="14"/>
        <v>38.474463946356281</v>
      </c>
      <c r="I260" s="137">
        <f t="shared" si="15"/>
        <v>0</v>
      </c>
      <c r="J260" s="55">
        <f t="shared" si="16"/>
        <v>0</v>
      </c>
      <c r="K260" s="36"/>
    </row>
    <row r="261" spans="1:11" x14ac:dyDescent="0.25">
      <c r="A261" s="49">
        <f>'A) Base RI'!A263</f>
        <v>5854</v>
      </c>
      <c r="B261" s="294" t="str">
        <f>'A) Base RI'!B263</f>
        <v>Burtigny</v>
      </c>
      <c r="C261" s="95">
        <f>'B) D RI'!U263</f>
        <v>15186.776169765042</v>
      </c>
      <c r="D261" s="110">
        <f>'E) Fact soc'!G267/C261</f>
        <v>22.798795510032448</v>
      </c>
      <c r="E261" s="137">
        <f>'H) Péréquation directe'!I272/C261</f>
        <v>13.146367837069729</v>
      </c>
      <c r="F261" s="110">
        <f>+'I) Dépenses thématiques'!O261/'K) Plafonnement aide'!C261</f>
        <v>-0.82897084107451502</v>
      </c>
      <c r="G261" s="137">
        <f t="shared" si="13"/>
        <v>35.116192506027666</v>
      </c>
      <c r="H261" s="110">
        <f t="shared" si="14"/>
        <v>35.945163347102181</v>
      </c>
      <c r="I261" s="137">
        <f t="shared" si="15"/>
        <v>0</v>
      </c>
      <c r="J261" s="55">
        <f t="shared" si="16"/>
        <v>0</v>
      </c>
      <c r="K261" s="36"/>
    </row>
    <row r="262" spans="1:11" x14ac:dyDescent="0.25">
      <c r="A262" s="49">
        <f>'A) Base RI'!A264</f>
        <v>5855</v>
      </c>
      <c r="B262" s="294" t="str">
        <f>'A) Base RI'!B264</f>
        <v>Dully</v>
      </c>
      <c r="C262" s="95">
        <f>'B) D RI'!U264</f>
        <v>91369.635498396179</v>
      </c>
      <c r="D262" s="110">
        <f>'E) Fact soc'!G268/C262</f>
        <v>33.242757861699175</v>
      </c>
      <c r="E262" s="137">
        <f>'H) Péréquation directe'!I273/C262</f>
        <v>19.414661700110607</v>
      </c>
      <c r="F262" s="110">
        <f>+'I) Dépenses thématiques'!O262/'K) Plafonnement aide'!C262</f>
        <v>0</v>
      </c>
      <c r="G262" s="137">
        <f t="shared" ref="G262:G313" si="17">SUM(D262:F262)</f>
        <v>52.657419561809782</v>
      </c>
      <c r="H262" s="110">
        <f t="shared" ref="H262:H313" si="18">G262-F262</f>
        <v>52.657419561809782</v>
      </c>
      <c r="I262" s="137">
        <f t="shared" ref="I262:I313" si="19">IF(H262&lt;I$4,H262-I$4,0)</f>
        <v>0</v>
      </c>
      <c r="J262" s="55">
        <f t="shared" ref="J262:J313" si="20">-I262*C262</f>
        <v>0</v>
      </c>
      <c r="K262" s="36"/>
    </row>
    <row r="263" spans="1:11" x14ac:dyDescent="0.25">
      <c r="A263" s="49">
        <f>'A) Base RI'!A265</f>
        <v>5856</v>
      </c>
      <c r="B263" s="294" t="str">
        <f>'A) Base RI'!B265</f>
        <v>Essertines-sur-Rolle</v>
      </c>
      <c r="C263" s="95">
        <f>'B) D RI'!U265</f>
        <v>37403.277675115321</v>
      </c>
      <c r="D263" s="110">
        <f>'E) Fact soc'!G269/C263</f>
        <v>22.033747124922868</v>
      </c>
      <c r="E263" s="137">
        <f>'H) Péréquation directe'!I274/C263</f>
        <v>17.858694732908173</v>
      </c>
      <c r="F263" s="110">
        <f>+'I) Dépenses thématiques'!O263/'K) Plafonnement aide'!C263</f>
        <v>0</v>
      </c>
      <c r="G263" s="137">
        <f t="shared" si="17"/>
        <v>39.892441857831045</v>
      </c>
      <c r="H263" s="110">
        <f t="shared" si="18"/>
        <v>39.892441857831045</v>
      </c>
      <c r="I263" s="137">
        <f t="shared" si="19"/>
        <v>0</v>
      </c>
      <c r="J263" s="55">
        <f t="shared" si="20"/>
        <v>0</v>
      </c>
      <c r="K263" s="36"/>
    </row>
    <row r="264" spans="1:11" x14ac:dyDescent="0.25">
      <c r="A264" s="49">
        <f>'A) Base RI'!A266</f>
        <v>5857</v>
      </c>
      <c r="B264" s="294" t="str">
        <f>'A) Base RI'!B266</f>
        <v>Gilly</v>
      </c>
      <c r="C264" s="95">
        <f>'B) D RI'!U266</f>
        <v>88640.687774331382</v>
      </c>
      <c r="D264" s="110">
        <f>'E) Fact soc'!G270/C264</f>
        <v>23.378989820573537</v>
      </c>
      <c r="E264" s="137">
        <f>'H) Péréquation directe'!I275/C264</f>
        <v>17.595707711243005</v>
      </c>
      <c r="F264" s="110">
        <f>+'I) Dépenses thématiques'!O264/'K) Plafonnement aide'!C264</f>
        <v>0</v>
      </c>
      <c r="G264" s="137">
        <f t="shared" si="17"/>
        <v>40.974697531816545</v>
      </c>
      <c r="H264" s="110">
        <f t="shared" si="18"/>
        <v>40.974697531816545</v>
      </c>
      <c r="I264" s="137">
        <f t="shared" si="19"/>
        <v>0</v>
      </c>
      <c r="J264" s="55">
        <f t="shared" si="20"/>
        <v>0</v>
      </c>
      <c r="K264" s="36"/>
    </row>
    <row r="265" spans="1:11" x14ac:dyDescent="0.25">
      <c r="A265" s="49">
        <f>'A) Base RI'!A267</f>
        <v>5858</v>
      </c>
      <c r="B265" s="294" t="str">
        <f>'A) Base RI'!B267</f>
        <v>Luins</v>
      </c>
      <c r="C265" s="95">
        <f>'B) D RI'!U267</f>
        <v>43780.812152194871</v>
      </c>
      <c r="D265" s="110">
        <f>'E) Fact soc'!G271/C265</f>
        <v>23.787999462351802</v>
      </c>
      <c r="E265" s="137">
        <f>'H) Péréquation directe'!I276/C265</f>
        <v>18.534076597641874</v>
      </c>
      <c r="F265" s="110">
        <f>+'I) Dépenses thématiques'!O265/'K) Plafonnement aide'!C265</f>
        <v>0</v>
      </c>
      <c r="G265" s="137">
        <f t="shared" si="17"/>
        <v>42.322076059993677</v>
      </c>
      <c r="H265" s="110">
        <f t="shared" si="18"/>
        <v>42.322076059993677</v>
      </c>
      <c r="I265" s="137">
        <f t="shared" si="19"/>
        <v>0</v>
      </c>
      <c r="J265" s="55">
        <f t="shared" si="20"/>
        <v>0</v>
      </c>
      <c r="K265" s="36"/>
    </row>
    <row r="266" spans="1:11" x14ac:dyDescent="0.25">
      <c r="A266" s="49">
        <f>'A) Base RI'!A268</f>
        <v>5859</v>
      </c>
      <c r="B266" s="294" t="str">
        <f>'A) Base RI'!B268</f>
        <v>Mont-sur-Rolle</v>
      </c>
      <c r="C266" s="95">
        <f>'B) D RI'!U268</f>
        <v>142403.85565354835</v>
      </c>
      <c r="D266" s="110">
        <f>'E) Fact soc'!G272/C266</f>
        <v>19.377883468911566</v>
      </c>
      <c r="E266" s="137">
        <f>'H) Péréquation directe'!I277/C266</f>
        <v>15.351866443287866</v>
      </c>
      <c r="F266" s="110">
        <f>+'I) Dépenses thématiques'!O266/'K) Plafonnement aide'!C266</f>
        <v>0</v>
      </c>
      <c r="G266" s="137">
        <f t="shared" si="17"/>
        <v>34.729749912199431</v>
      </c>
      <c r="H266" s="110">
        <f t="shared" si="18"/>
        <v>34.729749912199431</v>
      </c>
      <c r="I266" s="137">
        <f t="shared" si="19"/>
        <v>0</v>
      </c>
      <c r="J266" s="55">
        <f t="shared" si="20"/>
        <v>0</v>
      </c>
      <c r="K266" s="36"/>
    </row>
    <row r="267" spans="1:11" x14ac:dyDescent="0.25">
      <c r="A267" s="49">
        <f>'A) Base RI'!A269</f>
        <v>5860</v>
      </c>
      <c r="B267" s="294" t="str">
        <f>'A) Base RI'!B269</f>
        <v>Perroy</v>
      </c>
      <c r="C267" s="95">
        <f>'B) D RI'!U269</f>
        <v>95160.687801613312</v>
      </c>
      <c r="D267" s="110">
        <f>'E) Fact soc'!G273/C267</f>
        <v>25.301675571920658</v>
      </c>
      <c r="E267" s="137">
        <f>'H) Péréquation directe'!I278/C267</f>
        <v>16.978800896442984</v>
      </c>
      <c r="F267" s="110">
        <f>+'I) Dépenses thématiques'!O267/'K) Plafonnement aide'!C267</f>
        <v>0</v>
      </c>
      <c r="G267" s="137">
        <f t="shared" si="17"/>
        <v>42.280476468363645</v>
      </c>
      <c r="H267" s="110">
        <f t="shared" si="18"/>
        <v>42.280476468363645</v>
      </c>
      <c r="I267" s="137">
        <f t="shared" si="19"/>
        <v>0</v>
      </c>
      <c r="J267" s="55">
        <f t="shared" si="20"/>
        <v>0</v>
      </c>
      <c r="K267" s="36"/>
    </row>
    <row r="268" spans="1:11" x14ac:dyDescent="0.25">
      <c r="A268" s="49">
        <f>'A) Base RI'!A270</f>
        <v>5861</v>
      </c>
      <c r="B268" s="294" t="str">
        <f>'A) Base RI'!B270</f>
        <v>Rolle</v>
      </c>
      <c r="C268" s="95">
        <f>'B) D RI'!U270</f>
        <v>574229.10238061741</v>
      </c>
      <c r="D268" s="110">
        <f>'E) Fact soc'!G274/C268</f>
        <v>27.459401069270136</v>
      </c>
      <c r="E268" s="137">
        <f>'H) Péréquation directe'!I279/C268</f>
        <v>15.806925540979044</v>
      </c>
      <c r="F268" s="110">
        <f>+'I) Dépenses thématiques'!O268/'K) Plafonnement aide'!C268</f>
        <v>0</v>
      </c>
      <c r="G268" s="137">
        <f t="shared" si="17"/>
        <v>43.26632661024918</v>
      </c>
      <c r="H268" s="110">
        <f t="shared" si="18"/>
        <v>43.26632661024918</v>
      </c>
      <c r="I268" s="137">
        <f t="shared" si="19"/>
        <v>0</v>
      </c>
      <c r="J268" s="55">
        <f t="shared" si="20"/>
        <v>0</v>
      </c>
      <c r="K268" s="36"/>
    </row>
    <row r="269" spans="1:11" x14ac:dyDescent="0.25">
      <c r="A269" s="49">
        <f>'A) Base RI'!A271</f>
        <v>5862</v>
      </c>
      <c r="B269" s="294" t="str">
        <f>'A) Base RI'!B271</f>
        <v>Tartegnin</v>
      </c>
      <c r="C269" s="95">
        <f>'B) D RI'!U271</f>
        <v>12235.59571867773</v>
      </c>
      <c r="D269" s="110">
        <f>'E) Fact soc'!G275/C269</f>
        <v>19.004583017073728</v>
      </c>
      <c r="E269" s="137">
        <f>'H) Péréquation directe'!I280/C269</f>
        <v>17.771880909390159</v>
      </c>
      <c r="F269" s="110">
        <f>+'I) Dépenses thématiques'!O269/'K) Plafonnement aide'!C269</f>
        <v>0</v>
      </c>
      <c r="G269" s="137">
        <f t="shared" si="17"/>
        <v>36.77646392646389</v>
      </c>
      <c r="H269" s="110">
        <f t="shared" si="18"/>
        <v>36.77646392646389</v>
      </c>
      <c r="I269" s="137">
        <f t="shared" si="19"/>
        <v>0</v>
      </c>
      <c r="J269" s="55">
        <f t="shared" si="20"/>
        <v>0</v>
      </c>
      <c r="K269" s="36"/>
    </row>
    <row r="270" spans="1:11" x14ac:dyDescent="0.25">
      <c r="A270" s="49">
        <f>'A) Base RI'!A272</f>
        <v>5863</v>
      </c>
      <c r="B270" s="294" t="str">
        <f>'A) Base RI'!B272</f>
        <v>Vinzel</v>
      </c>
      <c r="C270" s="95">
        <f>'B) D RI'!U272</f>
        <v>22394.635794374353</v>
      </c>
      <c r="D270" s="110">
        <f>'E) Fact soc'!G276/C270</f>
        <v>21.642339993695906</v>
      </c>
      <c r="E270" s="137">
        <f>'H) Péréquation directe'!I281/C270</f>
        <v>18.286275708575172</v>
      </c>
      <c r="F270" s="110">
        <f>+'I) Dépenses thématiques'!O270/'K) Plafonnement aide'!C270</f>
        <v>0</v>
      </c>
      <c r="G270" s="137">
        <f t="shared" si="17"/>
        <v>39.928615702271074</v>
      </c>
      <c r="H270" s="110">
        <f t="shared" si="18"/>
        <v>39.928615702271074</v>
      </c>
      <c r="I270" s="137">
        <f t="shared" si="19"/>
        <v>0</v>
      </c>
      <c r="J270" s="55">
        <f t="shared" si="20"/>
        <v>0</v>
      </c>
      <c r="K270" s="36"/>
    </row>
    <row r="271" spans="1:11" x14ac:dyDescent="0.25">
      <c r="A271" s="49">
        <f>'A) Base RI'!A273</f>
        <v>5871</v>
      </c>
      <c r="B271" s="294" t="str">
        <f>'A) Base RI'!B273</f>
        <v>L'Abbaye</v>
      </c>
      <c r="C271" s="95">
        <f>'B) D RI'!U273</f>
        <v>44671.831166364944</v>
      </c>
      <c r="D271" s="110">
        <f>'E) Fact soc'!G277/C271</f>
        <v>21.654898128102847</v>
      </c>
      <c r="E271" s="137">
        <f>'H) Péréquation directe'!I282/C271</f>
        <v>2.169735510666658</v>
      </c>
      <c r="F271" s="110">
        <f>+'I) Dépenses thématiques'!O271/'K) Plafonnement aide'!C271</f>
        <v>-8.5348492868675372</v>
      </c>
      <c r="G271" s="137">
        <f t="shared" si="17"/>
        <v>15.289784351901968</v>
      </c>
      <c r="H271" s="110">
        <f t="shared" si="18"/>
        <v>23.824633638769505</v>
      </c>
      <c r="I271" s="137">
        <f t="shared" si="19"/>
        <v>0</v>
      </c>
      <c r="J271" s="55">
        <f t="shared" si="20"/>
        <v>0</v>
      </c>
      <c r="K271" s="36"/>
    </row>
    <row r="272" spans="1:11" x14ac:dyDescent="0.25">
      <c r="A272" s="49">
        <f>'A) Base RI'!A274</f>
        <v>5872</v>
      </c>
      <c r="B272" s="294" t="str">
        <f>'A) Base RI'!B274</f>
        <v>Le Chenit</v>
      </c>
      <c r="C272" s="95">
        <f>'B) D RI'!U274</f>
        <v>169487.47890245376</v>
      </c>
      <c r="D272" s="110">
        <f>'E) Fact soc'!G278/C272</f>
        <v>30.00830924245048</v>
      </c>
      <c r="E272" s="137">
        <f>'H) Péréquation directe'!I283/C272</f>
        <v>6.6688106361936823</v>
      </c>
      <c r="F272" s="110">
        <f>+'I) Dépenses thématiques'!O272/'K) Plafonnement aide'!C272</f>
        <v>-10.676903642757928</v>
      </c>
      <c r="G272" s="137">
        <f t="shared" si="17"/>
        <v>26.000216235886235</v>
      </c>
      <c r="H272" s="110">
        <f t="shared" si="18"/>
        <v>36.677119878644163</v>
      </c>
      <c r="I272" s="137">
        <f t="shared" si="19"/>
        <v>0</v>
      </c>
      <c r="J272" s="55">
        <f t="shared" si="20"/>
        <v>0</v>
      </c>
      <c r="K272" s="36"/>
    </row>
    <row r="273" spans="1:11" x14ac:dyDescent="0.25">
      <c r="A273" s="49">
        <f>'A) Base RI'!A275</f>
        <v>5873</v>
      </c>
      <c r="B273" s="294" t="str">
        <f>'A) Base RI'!B275</f>
        <v>Le Lieu</v>
      </c>
      <c r="C273" s="95">
        <f>'B) D RI'!U275</f>
        <v>29965.351280448966</v>
      </c>
      <c r="D273" s="110">
        <f>'E) Fact soc'!G279/C273</f>
        <v>24.966392678665045</v>
      </c>
      <c r="E273" s="137">
        <f>'H) Péréquation directe'!I284/C273</f>
        <v>10.617040355817178</v>
      </c>
      <c r="F273" s="110">
        <f>+'I) Dépenses thématiques'!O273/'K) Plafonnement aide'!C273</f>
        <v>-25.882366880151569</v>
      </c>
      <c r="G273" s="137">
        <f t="shared" si="17"/>
        <v>9.7010661543306576</v>
      </c>
      <c r="H273" s="110">
        <f t="shared" si="18"/>
        <v>35.583433034482226</v>
      </c>
      <c r="I273" s="137">
        <f t="shared" si="19"/>
        <v>0</v>
      </c>
      <c r="J273" s="55">
        <f t="shared" si="20"/>
        <v>0</v>
      </c>
      <c r="K273" s="36"/>
    </row>
    <row r="274" spans="1:11" x14ac:dyDescent="0.25">
      <c r="A274" s="49">
        <f>'A) Base RI'!A276</f>
        <v>5881</v>
      </c>
      <c r="B274" s="294" t="str">
        <f>'A) Base RI'!B276</f>
        <v>Blonay</v>
      </c>
      <c r="C274" s="95">
        <f>'B) D RI'!U276</f>
        <v>329876.03226063965</v>
      </c>
      <c r="D274" s="110">
        <f>'E) Fact soc'!G280/C274</f>
        <v>19.773793377109328</v>
      </c>
      <c r="E274" s="137">
        <f>'H) Péréquation directe'!I285/C274</f>
        <v>12.620679819748933</v>
      </c>
      <c r="F274" s="110">
        <f>+'I) Dépenses thématiques'!O274/'K) Plafonnement aide'!C274</f>
        <v>-1.9703499214548053</v>
      </c>
      <c r="G274" s="137">
        <f t="shared" si="17"/>
        <v>30.424123275403453</v>
      </c>
      <c r="H274" s="110">
        <f t="shared" si="18"/>
        <v>32.394473196858257</v>
      </c>
      <c r="I274" s="137">
        <f t="shared" si="19"/>
        <v>0</v>
      </c>
      <c r="J274" s="55">
        <f t="shared" si="20"/>
        <v>0</v>
      </c>
      <c r="K274" s="36"/>
    </row>
    <row r="275" spans="1:11" x14ac:dyDescent="0.25">
      <c r="A275" s="49">
        <f>'A) Base RI'!A277</f>
        <v>5882</v>
      </c>
      <c r="B275" s="294" t="str">
        <f>'A) Base RI'!B277</f>
        <v>Chardonne</v>
      </c>
      <c r="C275" s="95">
        <f>'B) D RI'!U277</f>
        <v>160866.12406088383</v>
      </c>
      <c r="D275" s="110">
        <f>'E) Fact soc'!G281/C275</f>
        <v>23.846034354111623</v>
      </c>
      <c r="E275" s="137">
        <f>'H) Péréquation directe'!I286/C275</f>
        <v>15.28742161580063</v>
      </c>
      <c r="F275" s="110">
        <f>+'I) Dépenses thématiques'!O275/'K) Plafonnement aide'!C275</f>
        <v>-2.4270259466455042</v>
      </c>
      <c r="G275" s="137">
        <f t="shared" si="17"/>
        <v>36.706430023266748</v>
      </c>
      <c r="H275" s="110">
        <f t="shared" si="18"/>
        <v>39.133455969912255</v>
      </c>
      <c r="I275" s="137">
        <f t="shared" si="19"/>
        <v>0</v>
      </c>
      <c r="J275" s="55">
        <f t="shared" si="20"/>
        <v>0</v>
      </c>
      <c r="K275" s="36"/>
    </row>
    <row r="276" spans="1:11" x14ac:dyDescent="0.25">
      <c r="A276" s="49">
        <f>'A) Base RI'!A278</f>
        <v>5883</v>
      </c>
      <c r="B276" s="294" t="str">
        <f>'A) Base RI'!B278</f>
        <v>Corseaux</v>
      </c>
      <c r="C276" s="95">
        <f>'B) D RI'!U278</f>
        <v>155219.69320868849</v>
      </c>
      <c r="D276" s="110">
        <f>'E) Fact soc'!G282/C276</f>
        <v>32.868802165796701</v>
      </c>
      <c r="E276" s="137">
        <f>'H) Péréquation directe'!I287/C276</f>
        <v>16.590178516864277</v>
      </c>
      <c r="F276" s="110">
        <f>+'I) Dépenses thématiques'!O276/'K) Plafonnement aide'!C276</f>
        <v>0</v>
      </c>
      <c r="G276" s="137">
        <f t="shared" si="17"/>
        <v>49.458980682660979</v>
      </c>
      <c r="H276" s="110">
        <f t="shared" si="18"/>
        <v>49.458980682660979</v>
      </c>
      <c r="I276" s="137">
        <f t="shared" si="19"/>
        <v>0</v>
      </c>
      <c r="J276" s="55">
        <f t="shared" si="20"/>
        <v>0</v>
      </c>
      <c r="K276" s="36"/>
    </row>
    <row r="277" spans="1:11" x14ac:dyDescent="0.25">
      <c r="A277" s="49">
        <f>'A) Base RI'!A279</f>
        <v>5884</v>
      </c>
      <c r="B277" s="294" t="str">
        <f>'A) Base RI'!B279</f>
        <v>Corsier-sur-Vevey</v>
      </c>
      <c r="C277" s="95">
        <f>'B) D RI'!U279</f>
        <v>113730.49763913798</v>
      </c>
      <c r="D277" s="110">
        <f>'E) Fact soc'!G283/C277</f>
        <v>19.010315482188716</v>
      </c>
      <c r="E277" s="137">
        <f>'H) Péréquation directe'!I288/C277</f>
        <v>5.5457573936753253</v>
      </c>
      <c r="F277" s="110">
        <f>+'I) Dépenses thématiques'!O277/'K) Plafonnement aide'!C277</f>
        <v>-11.714675166655699</v>
      </c>
      <c r="G277" s="137">
        <f t="shared" si="17"/>
        <v>12.841397709208341</v>
      </c>
      <c r="H277" s="110">
        <f t="shared" si="18"/>
        <v>24.556072875864039</v>
      </c>
      <c r="I277" s="137">
        <f t="shared" si="19"/>
        <v>0</v>
      </c>
      <c r="J277" s="55">
        <f t="shared" si="20"/>
        <v>0</v>
      </c>
      <c r="K277" s="36"/>
    </row>
    <row r="278" spans="1:11" x14ac:dyDescent="0.25">
      <c r="A278" s="49">
        <f>'A) Base RI'!A280</f>
        <v>5885</v>
      </c>
      <c r="B278" s="294" t="str">
        <f>'A) Base RI'!B280</f>
        <v>Jongny</v>
      </c>
      <c r="C278" s="95">
        <f>'B) D RI'!U280</f>
        <v>83488.016188395792</v>
      </c>
      <c r="D278" s="110">
        <f>'E) Fact soc'!G284/C278</f>
        <v>25.528449526848537</v>
      </c>
      <c r="E278" s="137">
        <f>'H) Péréquation directe'!I289/C278</f>
        <v>16.542028690780178</v>
      </c>
      <c r="F278" s="110">
        <f>+'I) Dépenses thématiques'!O278/'K) Plafonnement aide'!C278</f>
        <v>-0.22243781871272819</v>
      </c>
      <c r="G278" s="137">
        <f t="shared" si="17"/>
        <v>41.848040398915991</v>
      </c>
      <c r="H278" s="110">
        <f t="shared" si="18"/>
        <v>42.070478217628718</v>
      </c>
      <c r="I278" s="137">
        <f t="shared" si="19"/>
        <v>0</v>
      </c>
      <c r="J278" s="55">
        <f t="shared" si="20"/>
        <v>0</v>
      </c>
      <c r="K278" s="36"/>
    </row>
    <row r="279" spans="1:11" x14ac:dyDescent="0.25">
      <c r="A279" s="49">
        <f>'A) Base RI'!A281</f>
        <v>5886</v>
      </c>
      <c r="B279" s="294" t="str">
        <f>'A) Base RI'!B281</f>
        <v>Montreux</v>
      </c>
      <c r="C279" s="95">
        <f>'B) D RI'!U281</f>
        <v>1097840.7322767281</v>
      </c>
      <c r="D279" s="110">
        <f>'E) Fact soc'!G285/C279</f>
        <v>26.329992210142276</v>
      </c>
      <c r="E279" s="137">
        <f>'H) Péréquation directe'!I290/C279</f>
        <v>-0.16705743652648616</v>
      </c>
      <c r="F279" s="110">
        <f>+'I) Dépenses thématiques'!O279/'K) Plafonnement aide'!C279</f>
        <v>-6.2358082748737136</v>
      </c>
      <c r="G279" s="137">
        <f t="shared" si="17"/>
        <v>19.927126498742076</v>
      </c>
      <c r="H279" s="110">
        <f t="shared" si="18"/>
        <v>26.162934773615788</v>
      </c>
      <c r="I279" s="137">
        <f t="shared" si="19"/>
        <v>0</v>
      </c>
      <c r="J279" s="55">
        <f t="shared" si="20"/>
        <v>0</v>
      </c>
      <c r="K279" s="36"/>
    </row>
    <row r="280" spans="1:11" x14ac:dyDescent="0.25">
      <c r="A280" s="49">
        <f>'A) Base RI'!A282</f>
        <v>5888</v>
      </c>
      <c r="B280" s="294" t="str">
        <f>'A) Base RI'!B282</f>
        <v>Saint-Légier-La Chiésaz</v>
      </c>
      <c r="C280" s="95">
        <f>'B) D RI'!U282</f>
        <v>314313.56949265295</v>
      </c>
      <c r="D280" s="110">
        <f>'E) Fact soc'!G286/C280</f>
        <v>22.959818978593095</v>
      </c>
      <c r="E280" s="137">
        <f>'H) Péréquation directe'!I291/C280</f>
        <v>14.129254332032119</v>
      </c>
      <c r="F280" s="110">
        <f>+'I) Dépenses thématiques'!O280/'K) Plafonnement aide'!C280</f>
        <v>-1.8146266348858466</v>
      </c>
      <c r="G280" s="137">
        <f t="shared" si="17"/>
        <v>35.274446675739362</v>
      </c>
      <c r="H280" s="110">
        <f t="shared" si="18"/>
        <v>37.08907331062521</v>
      </c>
      <c r="I280" s="137">
        <f t="shared" si="19"/>
        <v>0</v>
      </c>
      <c r="J280" s="55">
        <f t="shared" si="20"/>
        <v>0</v>
      </c>
      <c r="K280" s="36"/>
    </row>
    <row r="281" spans="1:11" x14ac:dyDescent="0.25">
      <c r="A281" s="49">
        <f>'A) Base RI'!A283</f>
        <v>5889</v>
      </c>
      <c r="B281" s="294" t="str">
        <f>'A) Base RI'!B283</f>
        <v>La Tour-de-Peilz</v>
      </c>
      <c r="C281" s="95">
        <f>'B) D RI'!U283</f>
        <v>638439.35310298624</v>
      </c>
      <c r="D281" s="110">
        <f>'E) Fact soc'!G287/C281</f>
        <v>23.97126554032635</v>
      </c>
      <c r="E281" s="137">
        <f>'H) Péréquation directe'!I292/C281</f>
        <v>9.8529472782477114</v>
      </c>
      <c r="F281" s="110">
        <f>+'I) Dépenses thématiques'!O281/'K) Plafonnement aide'!C281</f>
        <v>0</v>
      </c>
      <c r="G281" s="137">
        <f t="shared" si="17"/>
        <v>33.824212818574061</v>
      </c>
      <c r="H281" s="110">
        <f t="shared" si="18"/>
        <v>33.824212818574061</v>
      </c>
      <c r="I281" s="137">
        <f t="shared" si="19"/>
        <v>0</v>
      </c>
      <c r="J281" s="55">
        <f t="shared" si="20"/>
        <v>0</v>
      </c>
      <c r="K281" s="36"/>
    </row>
    <row r="282" spans="1:11" x14ac:dyDescent="0.25">
      <c r="A282" s="49">
        <f>'A) Base RI'!A284</f>
        <v>5890</v>
      </c>
      <c r="B282" s="294" t="str">
        <f>'A) Base RI'!B284</f>
        <v>Vevey</v>
      </c>
      <c r="C282" s="95">
        <f>'B) D RI'!U284</f>
        <v>913497.60631978849</v>
      </c>
      <c r="D282" s="110">
        <f>'E) Fact soc'!G288/C282</f>
        <v>19.931253857937087</v>
      </c>
      <c r="E282" s="137">
        <f>'H) Péréquation directe'!I293/C282</f>
        <v>3.9615213285129296</v>
      </c>
      <c r="F282" s="110">
        <f>+'I) Dépenses thématiques'!O282/'K) Plafonnement aide'!C282</f>
        <v>-3.4993444857700617</v>
      </c>
      <c r="G282" s="137">
        <f t="shared" si="17"/>
        <v>20.393430700679954</v>
      </c>
      <c r="H282" s="110">
        <f t="shared" si="18"/>
        <v>23.892775186450017</v>
      </c>
      <c r="I282" s="137">
        <f t="shared" si="19"/>
        <v>0</v>
      </c>
      <c r="J282" s="55">
        <f t="shared" si="20"/>
        <v>0</v>
      </c>
      <c r="K282" s="36"/>
    </row>
    <row r="283" spans="1:11" x14ac:dyDescent="0.25">
      <c r="A283" s="49">
        <f>'A) Base RI'!A285</f>
        <v>5891</v>
      </c>
      <c r="B283" s="294" t="str">
        <f>'A) Base RI'!B285</f>
        <v>Veytaux</v>
      </c>
      <c r="C283" s="95">
        <f>'B) D RI'!U285</f>
        <v>36119.381724012419</v>
      </c>
      <c r="D283" s="110">
        <f>'E) Fact soc'!G289/C283</f>
        <v>27.427540385723177</v>
      </c>
      <c r="E283" s="137">
        <f>'H) Péréquation directe'!I294/C283</f>
        <v>15.280445237060995</v>
      </c>
      <c r="F283" s="110">
        <f>+'I) Dépenses thématiques'!O283/'K) Plafonnement aide'!C283</f>
        <v>-13.489711574966506</v>
      </c>
      <c r="G283" s="137">
        <f t="shared" si="17"/>
        <v>29.218274047817665</v>
      </c>
      <c r="H283" s="110">
        <f t="shared" si="18"/>
        <v>42.707985622784172</v>
      </c>
      <c r="I283" s="137">
        <f t="shared" si="19"/>
        <v>0</v>
      </c>
      <c r="J283" s="55">
        <f t="shared" si="20"/>
        <v>0</v>
      </c>
      <c r="K283" s="36"/>
    </row>
    <row r="284" spans="1:11" x14ac:dyDescent="0.25">
      <c r="A284" s="49">
        <f>'A) Base RI'!A286</f>
        <v>5902</v>
      </c>
      <c r="B284" s="294" t="str">
        <f>'A) Base RI'!B286</f>
        <v>Belmont-sur-Yverdon</v>
      </c>
      <c r="C284" s="95">
        <f>'B) D RI'!U286</f>
        <v>10311.765900330549</v>
      </c>
      <c r="D284" s="110">
        <f>'E) Fact soc'!G290/C284</f>
        <v>15.465371809793066</v>
      </c>
      <c r="E284" s="137">
        <f>'H) Péréquation directe'!I295/C284</f>
        <v>0.26107283579720042</v>
      </c>
      <c r="F284" s="110">
        <f>+'I) Dépenses thématiques'!O284/'K) Plafonnement aide'!C284</f>
        <v>-0.71364770128858224</v>
      </c>
      <c r="G284" s="137">
        <f t="shared" si="17"/>
        <v>15.012796944301684</v>
      </c>
      <c r="H284" s="110">
        <f t="shared" si="18"/>
        <v>15.726444645590266</v>
      </c>
      <c r="I284" s="137">
        <f t="shared" si="19"/>
        <v>0</v>
      </c>
      <c r="J284" s="55">
        <f t="shared" si="20"/>
        <v>0</v>
      </c>
      <c r="K284" s="36"/>
    </row>
    <row r="285" spans="1:11" x14ac:dyDescent="0.25">
      <c r="A285" s="49">
        <f>'A) Base RI'!A287</f>
        <v>5903</v>
      </c>
      <c r="B285" s="294" t="str">
        <f>'A) Base RI'!B287</f>
        <v>Bioley-Magnoux</v>
      </c>
      <c r="C285" s="95">
        <f>'B) D RI'!U287</f>
        <v>5438.478399120967</v>
      </c>
      <c r="D285" s="110">
        <f>'E) Fact soc'!G291/C285</f>
        <v>18.294880941392822</v>
      </c>
      <c r="E285" s="137">
        <f>'H) Péréquation directe'!I296/C285</f>
        <v>-3.4905846899178781</v>
      </c>
      <c r="F285" s="110">
        <f>+'I) Dépenses thématiques'!O285/'K) Plafonnement aide'!C285</f>
        <v>-42.196324611459069</v>
      </c>
      <c r="G285" s="137">
        <f t="shared" si="17"/>
        <v>-27.392028359984124</v>
      </c>
      <c r="H285" s="110">
        <f t="shared" si="18"/>
        <v>14.804296251474945</v>
      </c>
      <c r="I285" s="137">
        <f t="shared" si="19"/>
        <v>0</v>
      </c>
      <c r="J285" s="55">
        <f t="shared" si="20"/>
        <v>0</v>
      </c>
      <c r="K285" s="36"/>
    </row>
    <row r="286" spans="1:11" x14ac:dyDescent="0.25">
      <c r="A286" s="49">
        <f>'A) Base RI'!A288</f>
        <v>5904</v>
      </c>
      <c r="B286" s="294" t="str">
        <f>'A) Base RI'!B288</f>
        <v>Chamblon</v>
      </c>
      <c r="C286" s="95">
        <f>'B) D RI'!U288</f>
        <v>19974.80164727481</v>
      </c>
      <c r="D286" s="110">
        <f>'E) Fact soc'!G292/C286</f>
        <v>17.131088053672894</v>
      </c>
      <c r="E286" s="137">
        <f>'H) Péréquation directe'!I297/C286</f>
        <v>13.14756804389326</v>
      </c>
      <c r="F286" s="110">
        <f>+'I) Dépenses thématiques'!O286/'K) Plafonnement aide'!C286</f>
        <v>0</v>
      </c>
      <c r="G286" s="137">
        <f t="shared" si="17"/>
        <v>30.278656097566156</v>
      </c>
      <c r="H286" s="110">
        <f t="shared" si="18"/>
        <v>30.278656097566156</v>
      </c>
      <c r="I286" s="137">
        <f t="shared" si="19"/>
        <v>0</v>
      </c>
      <c r="J286" s="55">
        <f t="shared" si="20"/>
        <v>0</v>
      </c>
      <c r="K286" s="36"/>
    </row>
    <row r="287" spans="1:11" x14ac:dyDescent="0.25">
      <c r="A287" s="49">
        <f>'A) Base RI'!A289</f>
        <v>5905</v>
      </c>
      <c r="B287" s="294" t="str">
        <f>'A) Base RI'!B289</f>
        <v>Champvent</v>
      </c>
      <c r="C287" s="95">
        <f>'B) D RI'!U289</f>
        <v>22958.275896270283</v>
      </c>
      <c r="D287" s="110">
        <f>'E) Fact soc'!G293/C287</f>
        <v>17.170589997584376</v>
      </c>
      <c r="E287" s="137">
        <f>'H) Péréquation directe'!I298/C287</f>
        <v>9.79260108522144</v>
      </c>
      <c r="F287" s="110">
        <f>+'I) Dépenses thématiques'!O287/'K) Plafonnement aide'!C287</f>
        <v>-1.2910940913419295</v>
      </c>
      <c r="G287" s="137">
        <f t="shared" si="17"/>
        <v>25.672096991463885</v>
      </c>
      <c r="H287" s="110">
        <f t="shared" si="18"/>
        <v>26.963191082805814</v>
      </c>
      <c r="I287" s="137">
        <f t="shared" si="19"/>
        <v>0</v>
      </c>
      <c r="J287" s="55">
        <f t="shared" si="20"/>
        <v>0</v>
      </c>
      <c r="K287" s="36"/>
    </row>
    <row r="288" spans="1:11" x14ac:dyDescent="0.25">
      <c r="A288" s="49">
        <f>'A) Base RI'!A290</f>
        <v>5907</v>
      </c>
      <c r="B288" s="294" t="str">
        <f>'A) Base RI'!B290</f>
        <v>Chavannes-le-Chêne</v>
      </c>
      <c r="C288" s="95">
        <f>'B) D RI'!U290</f>
        <v>8069.3635983781451</v>
      </c>
      <c r="D288" s="110">
        <f>'E) Fact soc'!G294/C288</f>
        <v>16.432760551575704</v>
      </c>
      <c r="E288" s="137">
        <f>'H) Péréquation directe'!I299/C288</f>
        <v>-1.6832981147269086</v>
      </c>
      <c r="F288" s="110">
        <f>+'I) Dépenses thématiques'!O288/'K) Plafonnement aide'!C288</f>
        <v>-7.5512229074278112</v>
      </c>
      <c r="G288" s="137">
        <f t="shared" si="17"/>
        <v>7.1982395294209836</v>
      </c>
      <c r="H288" s="110">
        <f t="shared" si="18"/>
        <v>14.749462436848795</v>
      </c>
      <c r="I288" s="137">
        <f t="shared" si="19"/>
        <v>0</v>
      </c>
      <c r="J288" s="55">
        <f t="shared" si="20"/>
        <v>0</v>
      </c>
      <c r="K288" s="36"/>
    </row>
    <row r="289" spans="1:11" x14ac:dyDescent="0.25">
      <c r="A289" s="49">
        <f>'A) Base RI'!A291</f>
        <v>5908</v>
      </c>
      <c r="B289" s="294" t="str">
        <f>'A) Base RI'!B291</f>
        <v>Chêne-Pâquier</v>
      </c>
      <c r="C289" s="95">
        <f>'B) D RI'!U291</f>
        <v>3150.4766446398044</v>
      </c>
      <c r="D289" s="110">
        <f>'E) Fact soc'!G295/C289</f>
        <v>28.099835392389725</v>
      </c>
      <c r="E289" s="137">
        <f>'H) Péréquation directe'!I300/C289</f>
        <v>-10.276075174198203</v>
      </c>
      <c r="F289" s="110">
        <f>+'I) Dépenses thématiques'!O289/'K) Plafonnement aide'!C289</f>
        <v>-3.9987886732305014</v>
      </c>
      <c r="G289" s="137">
        <f t="shared" si="17"/>
        <v>13.824971544961022</v>
      </c>
      <c r="H289" s="110">
        <f t="shared" si="18"/>
        <v>17.823760218191524</v>
      </c>
      <c r="I289" s="137">
        <f t="shared" si="19"/>
        <v>0</v>
      </c>
      <c r="J289" s="55">
        <f t="shared" si="20"/>
        <v>0</v>
      </c>
      <c r="K289" s="36"/>
    </row>
    <row r="290" spans="1:11" x14ac:dyDescent="0.25">
      <c r="A290" s="49">
        <f>'A) Base RI'!A292</f>
        <v>5909</v>
      </c>
      <c r="B290" s="294" t="str">
        <f>'A) Base RI'!B292</f>
        <v>Cheseaux-Noréaz</v>
      </c>
      <c r="C290" s="95">
        <f>'B) D RI'!U292</f>
        <v>32363.863960310864</v>
      </c>
      <c r="D290" s="110">
        <f>'E) Fact soc'!G296/C290</f>
        <v>18.181854612744253</v>
      </c>
      <c r="E290" s="137">
        <f>'H) Péréquation directe'!I301/C290</f>
        <v>17.500571683118089</v>
      </c>
      <c r="F290" s="110">
        <f>+'I) Dépenses thématiques'!O290/'K) Plafonnement aide'!C290</f>
        <v>-2.3363471068535229</v>
      </c>
      <c r="G290" s="137">
        <f t="shared" si="17"/>
        <v>33.346079189008819</v>
      </c>
      <c r="H290" s="110">
        <f t="shared" si="18"/>
        <v>35.682426295862342</v>
      </c>
      <c r="I290" s="137">
        <f t="shared" si="19"/>
        <v>0</v>
      </c>
      <c r="J290" s="55">
        <f t="shared" si="20"/>
        <v>0</v>
      </c>
      <c r="K290" s="36"/>
    </row>
    <row r="291" spans="1:11" x14ac:dyDescent="0.25">
      <c r="A291" s="49">
        <f>'A) Base RI'!A293</f>
        <v>5910</v>
      </c>
      <c r="B291" s="294" t="str">
        <f>'A) Base RI'!B293</f>
        <v>Cronay</v>
      </c>
      <c r="C291" s="95">
        <f>'B) D RI'!U293</f>
        <v>9609.1535349412279</v>
      </c>
      <c r="D291" s="110">
        <f>'E) Fact soc'!G297/C291</f>
        <v>16.85359500627143</v>
      </c>
      <c r="E291" s="137">
        <f>'H) Péréquation directe'!I302/C291</f>
        <v>-4.4741764545703813</v>
      </c>
      <c r="F291" s="110">
        <f>+'I) Dépenses thématiques'!O291/'K) Plafonnement aide'!C291</f>
        <v>-9.293260933475354</v>
      </c>
      <c r="G291" s="137">
        <f t="shared" si="17"/>
        <v>3.0861576182256947</v>
      </c>
      <c r="H291" s="110">
        <f t="shared" si="18"/>
        <v>12.379418551701049</v>
      </c>
      <c r="I291" s="137">
        <f t="shared" si="19"/>
        <v>0</v>
      </c>
      <c r="J291" s="55">
        <f t="shared" si="20"/>
        <v>0</v>
      </c>
      <c r="K291" s="36"/>
    </row>
    <row r="292" spans="1:11" x14ac:dyDescent="0.25">
      <c r="A292" s="49">
        <f>'A) Base RI'!A294</f>
        <v>5911</v>
      </c>
      <c r="B292" s="294" t="str">
        <f>'A) Base RI'!B294</f>
        <v>Cuarny</v>
      </c>
      <c r="C292" s="95">
        <f>'B) D RI'!U294</f>
        <v>6836.3467697278311</v>
      </c>
      <c r="D292" s="110">
        <f>'E) Fact soc'!G298/C292</f>
        <v>19.614324455566017</v>
      </c>
      <c r="E292" s="137">
        <f>'H) Péréquation directe'!I303/C292</f>
        <v>1.1192313898167132</v>
      </c>
      <c r="F292" s="110">
        <f>+'I) Dépenses thématiques'!O292/'K) Plafonnement aide'!C292</f>
        <v>-15.83013098713961</v>
      </c>
      <c r="G292" s="137">
        <f t="shared" si="17"/>
        <v>4.9034248582431221</v>
      </c>
      <c r="H292" s="110">
        <f t="shared" si="18"/>
        <v>20.733555845382732</v>
      </c>
      <c r="I292" s="137">
        <f t="shared" si="19"/>
        <v>0</v>
      </c>
      <c r="J292" s="55">
        <f t="shared" si="20"/>
        <v>0</v>
      </c>
      <c r="K292" s="36"/>
    </row>
    <row r="293" spans="1:11" x14ac:dyDescent="0.25">
      <c r="A293" s="49">
        <f>'A) Base RI'!A295</f>
        <v>5912</v>
      </c>
      <c r="B293" s="294" t="str">
        <f>'A) Base RI'!B295</f>
        <v>Démoret</v>
      </c>
      <c r="C293" s="95">
        <f>'B) D RI'!U295</f>
        <v>3133.4473385194956</v>
      </c>
      <c r="D293" s="110">
        <f>'E) Fact soc'!G299/C293</f>
        <v>15.403602564238371</v>
      </c>
      <c r="E293" s="137">
        <f>'H) Péréquation directe'!I304/C293</f>
        <v>-11.871195351057978</v>
      </c>
      <c r="F293" s="110">
        <f>+'I) Dépenses thématiques'!O293/'K) Plafonnement aide'!C293</f>
        <v>-18.037113491868066</v>
      </c>
      <c r="G293" s="137">
        <f t="shared" si="17"/>
        <v>-14.504706278687673</v>
      </c>
      <c r="H293" s="110">
        <f t="shared" si="18"/>
        <v>3.5324072131803934</v>
      </c>
      <c r="I293" s="137">
        <f t="shared" si="19"/>
        <v>0</v>
      </c>
      <c r="J293" s="55">
        <f t="shared" si="20"/>
        <v>0</v>
      </c>
      <c r="K293" s="36"/>
    </row>
    <row r="294" spans="1:11" x14ac:dyDescent="0.25">
      <c r="A294" s="49">
        <f>'A) Base RI'!A296</f>
        <v>5913</v>
      </c>
      <c r="B294" s="294" t="str">
        <f>'A) Base RI'!B296</f>
        <v>Donneloye</v>
      </c>
      <c r="C294" s="95">
        <f>'B) D RI'!U296</f>
        <v>20110.628715820858</v>
      </c>
      <c r="D294" s="110">
        <f>'E) Fact soc'!G300/C294</f>
        <v>19.399199426746517</v>
      </c>
      <c r="E294" s="137">
        <f>'H) Péréquation directe'!I305/C294</f>
        <v>-1.7611838676718634</v>
      </c>
      <c r="F294" s="110">
        <f>+'I) Dépenses thématiques'!O294/'K) Plafonnement aide'!C294</f>
        <v>-2.1408756976505336</v>
      </c>
      <c r="G294" s="137">
        <f t="shared" si="17"/>
        <v>15.497139861424118</v>
      </c>
      <c r="H294" s="110">
        <f t="shared" si="18"/>
        <v>17.638015559074653</v>
      </c>
      <c r="I294" s="137">
        <f t="shared" si="19"/>
        <v>0</v>
      </c>
      <c r="J294" s="55">
        <f t="shared" si="20"/>
        <v>0</v>
      </c>
      <c r="K294" s="36"/>
    </row>
    <row r="295" spans="1:11" x14ac:dyDescent="0.25">
      <c r="A295" s="49">
        <f>'A) Base RI'!A297</f>
        <v>5914</v>
      </c>
      <c r="B295" s="294" t="str">
        <f>'A) Base RI'!B297</f>
        <v>Ependes</v>
      </c>
      <c r="C295" s="95">
        <f>'B) D RI'!U297</f>
        <v>9482.8279280120751</v>
      </c>
      <c r="D295" s="110">
        <f>'E) Fact soc'!G301/C295</f>
        <v>17.396565016311662</v>
      </c>
      <c r="E295" s="137">
        <f>'H) Péréquation directe'!I306/C295</f>
        <v>-0.15377978243811599</v>
      </c>
      <c r="F295" s="110">
        <f>+'I) Dépenses thématiques'!O295/'K) Plafonnement aide'!C295</f>
        <v>-4.8159845592008059</v>
      </c>
      <c r="G295" s="137">
        <f t="shared" si="17"/>
        <v>12.426800674672741</v>
      </c>
      <c r="H295" s="110">
        <f t="shared" si="18"/>
        <v>17.242785233873548</v>
      </c>
      <c r="I295" s="137">
        <f t="shared" si="19"/>
        <v>0</v>
      </c>
      <c r="J295" s="55">
        <f t="shared" si="20"/>
        <v>0</v>
      </c>
      <c r="K295" s="36"/>
    </row>
    <row r="296" spans="1:11" x14ac:dyDescent="0.25">
      <c r="A296" s="49">
        <f>'A) Base RI'!A298</f>
        <v>5919</v>
      </c>
      <c r="B296" s="294" t="str">
        <f>'A) Base RI'!B298</f>
        <v>Mathod</v>
      </c>
      <c r="C296" s="95">
        <f>'B) D RI'!U298</f>
        <v>17110.918111251427</v>
      </c>
      <c r="D296" s="110">
        <f>'E) Fact soc'!G302/C296</f>
        <v>21.67851804813624</v>
      </c>
      <c r="E296" s="137">
        <f>'H) Péréquation directe'!I307/C296</f>
        <v>3.4421857753419811</v>
      </c>
      <c r="F296" s="110">
        <f>+'I) Dépenses thématiques'!O296/'K) Plafonnement aide'!C296</f>
        <v>-3.6825851857492506</v>
      </c>
      <c r="G296" s="137">
        <f t="shared" si="17"/>
        <v>21.438118637728973</v>
      </c>
      <c r="H296" s="110">
        <f t="shared" si="18"/>
        <v>25.120703823478223</v>
      </c>
      <c r="I296" s="137">
        <f t="shared" si="19"/>
        <v>0</v>
      </c>
      <c r="J296" s="55">
        <f t="shared" si="20"/>
        <v>0</v>
      </c>
      <c r="K296" s="36"/>
    </row>
    <row r="297" spans="1:11" x14ac:dyDescent="0.25">
      <c r="A297" s="49">
        <f>'A) Base RI'!A299</f>
        <v>5921</v>
      </c>
      <c r="B297" s="294" t="str">
        <f>'A) Base RI'!B299</f>
        <v>Molondin</v>
      </c>
      <c r="C297" s="95">
        <f>'B) D RI'!U299</f>
        <v>5222.6425850785827</v>
      </c>
      <c r="D297" s="110">
        <f>'E) Fact soc'!G303/C297</f>
        <v>17.490075039137025</v>
      </c>
      <c r="E297" s="137">
        <f>'H) Péréquation directe'!I308/C297</f>
        <v>-11.868626436489736</v>
      </c>
      <c r="F297" s="110">
        <f>+'I) Dépenses thématiques'!O297/'K) Plafonnement aide'!C297</f>
        <v>-8.1406815282160636</v>
      </c>
      <c r="G297" s="137">
        <f t="shared" si="17"/>
        <v>-2.5192329255687742</v>
      </c>
      <c r="H297" s="110">
        <f t="shared" si="18"/>
        <v>5.6214486026472894</v>
      </c>
      <c r="I297" s="137">
        <f t="shared" si="19"/>
        <v>0</v>
      </c>
      <c r="J297" s="55">
        <f t="shared" si="20"/>
        <v>0</v>
      </c>
      <c r="K297" s="36"/>
    </row>
    <row r="298" spans="1:11" x14ac:dyDescent="0.25">
      <c r="A298" s="49">
        <f>'A) Base RI'!A300</f>
        <v>5922</v>
      </c>
      <c r="B298" s="294" t="str">
        <f>'A) Base RI'!B300</f>
        <v>Montagny-près-Yverdon</v>
      </c>
      <c r="C298" s="95">
        <f>'B) D RI'!U300</f>
        <v>35584.669450199006</v>
      </c>
      <c r="D298" s="110">
        <f>'E) Fact soc'!G304/C298</f>
        <v>23.120955846879536</v>
      </c>
      <c r="E298" s="137">
        <f>'H) Péréquation directe'!I309/C298</f>
        <v>17.692711328745755</v>
      </c>
      <c r="F298" s="110">
        <f>+'I) Dépenses thématiques'!O298/'K) Plafonnement aide'!C298</f>
        <v>-5.3046894418840145</v>
      </c>
      <c r="G298" s="137">
        <f t="shared" si="17"/>
        <v>35.508977733741276</v>
      </c>
      <c r="H298" s="110">
        <f t="shared" si="18"/>
        <v>40.813667175625291</v>
      </c>
      <c r="I298" s="137">
        <f t="shared" si="19"/>
        <v>0</v>
      </c>
      <c r="J298" s="55">
        <f t="shared" si="20"/>
        <v>0</v>
      </c>
      <c r="K298" s="36"/>
    </row>
    <row r="299" spans="1:11" x14ac:dyDescent="0.25">
      <c r="A299" s="49">
        <f>'A) Base RI'!A301</f>
        <v>5923</v>
      </c>
      <c r="B299" s="294" t="str">
        <f>'A) Base RI'!B301</f>
        <v>Oppens</v>
      </c>
      <c r="C299" s="95">
        <f>'B) D RI'!U301</f>
        <v>5170.8107520197709</v>
      </c>
      <c r="D299" s="110">
        <f>'E) Fact soc'!G305/C299</f>
        <v>18.628353149721846</v>
      </c>
      <c r="E299" s="137">
        <f>'H) Péréquation directe'!I310/C299</f>
        <v>-2.6901039476919415</v>
      </c>
      <c r="F299" s="110">
        <f>+'I) Dépenses thématiques'!O299/'K) Plafonnement aide'!C299</f>
        <v>-8.3349389814554478</v>
      </c>
      <c r="G299" s="137">
        <f t="shared" si="17"/>
        <v>7.6033102205744569</v>
      </c>
      <c r="H299" s="110">
        <f t="shared" si="18"/>
        <v>15.938249202029905</v>
      </c>
      <c r="I299" s="137">
        <f t="shared" si="19"/>
        <v>0</v>
      </c>
      <c r="J299" s="55">
        <f t="shared" si="20"/>
        <v>0</v>
      </c>
      <c r="K299" s="36"/>
    </row>
    <row r="300" spans="1:11" x14ac:dyDescent="0.25">
      <c r="A300" s="49">
        <f>'A) Base RI'!A302</f>
        <v>5924</v>
      </c>
      <c r="B300" s="294" t="str">
        <f>'A) Base RI'!B302</f>
        <v>Orges</v>
      </c>
      <c r="C300" s="95">
        <f>'B) D RI'!U302</f>
        <v>10275.510319946678</v>
      </c>
      <c r="D300" s="110">
        <f>'E) Fact soc'!G306/C300</f>
        <v>17.531108091390962</v>
      </c>
      <c r="E300" s="137">
        <f>'H) Péréquation directe'!I311/C300</f>
        <v>6.4861809952207352</v>
      </c>
      <c r="F300" s="110">
        <f>+'I) Dépenses thématiques'!O300/'K) Plafonnement aide'!C300</f>
        <v>-4.0817546864624576E-2</v>
      </c>
      <c r="G300" s="137">
        <f t="shared" si="17"/>
        <v>23.976471539747074</v>
      </c>
      <c r="H300" s="110">
        <f t="shared" si="18"/>
        <v>24.017289086611697</v>
      </c>
      <c r="I300" s="137">
        <f t="shared" si="19"/>
        <v>0</v>
      </c>
      <c r="J300" s="55">
        <f t="shared" si="20"/>
        <v>0</v>
      </c>
      <c r="K300" s="36"/>
    </row>
    <row r="301" spans="1:11" x14ac:dyDescent="0.25">
      <c r="A301" s="49">
        <f>'A) Base RI'!A303</f>
        <v>5925</v>
      </c>
      <c r="B301" s="294" t="str">
        <f>'A) Base RI'!B303</f>
        <v>Orzens</v>
      </c>
      <c r="C301" s="95">
        <f>'B) D RI'!U303</f>
        <v>5564.160782501971</v>
      </c>
      <c r="D301" s="110">
        <f>'E) Fact soc'!G307/C301</f>
        <v>19.930157598234835</v>
      </c>
      <c r="E301" s="137">
        <f>'H) Péréquation directe'!I312/C301</f>
        <v>1.5149967125034904</v>
      </c>
      <c r="F301" s="110">
        <f>+'I) Dépenses thématiques'!O301/'K) Plafonnement aide'!C301</f>
        <v>-2.9733553631365615</v>
      </c>
      <c r="G301" s="137">
        <f t="shared" si="17"/>
        <v>18.471798947601762</v>
      </c>
      <c r="H301" s="110">
        <f t="shared" si="18"/>
        <v>21.445154310738324</v>
      </c>
      <c r="I301" s="137">
        <f t="shared" si="19"/>
        <v>0</v>
      </c>
      <c r="J301" s="55">
        <f t="shared" si="20"/>
        <v>0</v>
      </c>
      <c r="K301" s="36"/>
    </row>
    <row r="302" spans="1:11" x14ac:dyDescent="0.25">
      <c r="A302" s="49">
        <f>'A) Base RI'!A304</f>
        <v>5926</v>
      </c>
      <c r="B302" s="294" t="str">
        <f>'A) Base RI'!B304</f>
        <v>Pomy</v>
      </c>
      <c r="C302" s="95">
        <f>'B) D RI'!U304</f>
        <v>26594.76814227111</v>
      </c>
      <c r="D302" s="110">
        <f>'E) Fact soc'!G308/C302</f>
        <v>16.468357475750146</v>
      </c>
      <c r="E302" s="137">
        <f>'H) Péréquation directe'!I313/C302</f>
        <v>10.312140990029341</v>
      </c>
      <c r="F302" s="110">
        <f>+'I) Dépenses thématiques'!O302/'K) Plafonnement aide'!C302</f>
        <v>-0.46444807266743776</v>
      </c>
      <c r="G302" s="137">
        <f t="shared" si="17"/>
        <v>26.31605039311205</v>
      </c>
      <c r="H302" s="110">
        <f t="shared" si="18"/>
        <v>26.780498465779488</v>
      </c>
      <c r="I302" s="137">
        <f t="shared" si="19"/>
        <v>0</v>
      </c>
      <c r="J302" s="55">
        <f t="shared" si="20"/>
        <v>0</v>
      </c>
      <c r="K302" s="36"/>
    </row>
    <row r="303" spans="1:11" x14ac:dyDescent="0.25">
      <c r="A303" s="49">
        <f>'A) Base RI'!A305</f>
        <v>5928</v>
      </c>
      <c r="B303" s="294" t="str">
        <f>'A) Base RI'!B305</f>
        <v>Rovray</v>
      </c>
      <c r="C303" s="95">
        <f>'B) D RI'!U305</f>
        <v>4332.6487869809371</v>
      </c>
      <c r="D303" s="110">
        <f>'E) Fact soc'!G309/C303</f>
        <v>18.690178675089577</v>
      </c>
      <c r="E303" s="137">
        <f>'H) Péréquation directe'!I314/C303</f>
        <v>-3.1771957671105002</v>
      </c>
      <c r="F303" s="110">
        <f>+'I) Dépenses thématiques'!O303/'K) Plafonnement aide'!C303</f>
        <v>-2.2773117868394119</v>
      </c>
      <c r="G303" s="137">
        <f t="shared" si="17"/>
        <v>13.235671121139664</v>
      </c>
      <c r="H303" s="110">
        <f t="shared" si="18"/>
        <v>15.512982907979076</v>
      </c>
      <c r="I303" s="137">
        <f t="shared" si="19"/>
        <v>0</v>
      </c>
      <c r="J303" s="55">
        <f t="shared" si="20"/>
        <v>0</v>
      </c>
      <c r="K303" s="36"/>
    </row>
    <row r="304" spans="1:11" x14ac:dyDescent="0.25">
      <c r="A304" s="49">
        <f>'A) Base RI'!A306</f>
        <v>5929</v>
      </c>
      <c r="B304" s="294" t="str">
        <f>'A) Base RI'!B306</f>
        <v>Suchy</v>
      </c>
      <c r="C304" s="95">
        <f>'B) D RI'!U306</f>
        <v>17123.573212033476</v>
      </c>
      <c r="D304" s="110">
        <f>'E) Fact soc'!G310/C304</f>
        <v>18.254283575471263</v>
      </c>
      <c r="E304" s="137">
        <f>'H) Péréquation directe'!I315/C304</f>
        <v>4.8464037011089101</v>
      </c>
      <c r="F304" s="110">
        <f>+'I) Dépenses thématiques'!O304/'K) Plafonnement aide'!C304</f>
        <v>-0.99011029351500068</v>
      </c>
      <c r="G304" s="137">
        <f t="shared" si="17"/>
        <v>22.110576983065172</v>
      </c>
      <c r="H304" s="110">
        <f t="shared" si="18"/>
        <v>23.100687276580175</v>
      </c>
      <c r="I304" s="137">
        <f t="shared" si="19"/>
        <v>0</v>
      </c>
      <c r="J304" s="55">
        <f t="shared" si="20"/>
        <v>0</v>
      </c>
      <c r="K304" s="36"/>
    </row>
    <row r="305" spans="1:13" x14ac:dyDescent="0.25">
      <c r="A305" s="49">
        <f>'A) Base RI'!A307</f>
        <v>5930</v>
      </c>
      <c r="B305" s="294" t="str">
        <f>'A) Base RI'!B307</f>
        <v>Suscévaz</v>
      </c>
      <c r="C305" s="95">
        <f>'B) D RI'!U307</f>
        <v>5845.0713540916349</v>
      </c>
      <c r="D305" s="110">
        <f>'E) Fact soc'!G311/C305</f>
        <v>20.647414511639877</v>
      </c>
      <c r="E305" s="137">
        <f>'H) Péréquation directe'!I316/C305</f>
        <v>2.6735952980625917</v>
      </c>
      <c r="F305" s="110">
        <f>+'I) Dépenses thématiques'!O305/'K) Plafonnement aide'!C305</f>
        <v>-4.9133875607277062</v>
      </c>
      <c r="G305" s="137">
        <f t="shared" si="17"/>
        <v>18.407622248974761</v>
      </c>
      <c r="H305" s="110">
        <f t="shared" si="18"/>
        <v>23.321009809702467</v>
      </c>
      <c r="I305" s="137">
        <f t="shared" si="19"/>
        <v>0</v>
      </c>
      <c r="J305" s="55">
        <f t="shared" si="20"/>
        <v>0</v>
      </c>
      <c r="K305" s="36"/>
    </row>
    <row r="306" spans="1:13" x14ac:dyDescent="0.25">
      <c r="A306" s="49">
        <f>'A) Base RI'!A308</f>
        <v>5931</v>
      </c>
      <c r="B306" s="294" t="str">
        <f>'A) Base RI'!B308</f>
        <v>Treycovagnes</v>
      </c>
      <c r="C306" s="95">
        <f>'B) D RI'!U308</f>
        <v>12973.113986974873</v>
      </c>
      <c r="D306" s="110">
        <f>'E) Fact soc'!G312/C306</f>
        <v>18.064632910126047</v>
      </c>
      <c r="E306" s="137">
        <f>'H) Péréquation directe'!I317/C306</f>
        <v>0.93286022798121904</v>
      </c>
      <c r="F306" s="110">
        <f>+'I) Dépenses thématiques'!O306/'K) Plafonnement aide'!C306</f>
        <v>-0.62302374416868456</v>
      </c>
      <c r="G306" s="137">
        <f t="shared" si="17"/>
        <v>18.374469393938583</v>
      </c>
      <c r="H306" s="110">
        <f t="shared" si="18"/>
        <v>18.997493138107266</v>
      </c>
      <c r="I306" s="137">
        <f t="shared" si="19"/>
        <v>0</v>
      </c>
      <c r="J306" s="55">
        <f t="shared" si="20"/>
        <v>0</v>
      </c>
      <c r="K306" s="36"/>
    </row>
    <row r="307" spans="1:13" x14ac:dyDescent="0.25">
      <c r="A307" s="49">
        <f>'A) Base RI'!A309</f>
        <v>5932</v>
      </c>
      <c r="B307" s="294" t="str">
        <f>'A) Base RI'!B309</f>
        <v>Ursins</v>
      </c>
      <c r="C307" s="95">
        <f>'B) D RI'!U309</f>
        <v>6686.217062317166</v>
      </c>
      <c r="D307" s="110">
        <f>'E) Fact soc'!G313/C307</f>
        <v>18.939817404353956</v>
      </c>
      <c r="E307" s="137">
        <f>'H) Péréquation directe'!I318/C307</f>
        <v>3.2097648750300469</v>
      </c>
      <c r="F307" s="110">
        <f>+'I) Dépenses thématiques'!O307/'K) Plafonnement aide'!C307</f>
        <v>-1.4995834283061675</v>
      </c>
      <c r="G307" s="137">
        <f t="shared" si="17"/>
        <v>20.649998851077836</v>
      </c>
      <c r="H307" s="110">
        <f t="shared" si="18"/>
        <v>22.149582279384003</v>
      </c>
      <c r="I307" s="137">
        <f t="shared" si="19"/>
        <v>0</v>
      </c>
      <c r="J307" s="55">
        <f t="shared" si="20"/>
        <v>0</v>
      </c>
      <c r="K307" s="36"/>
    </row>
    <row r="308" spans="1:13" x14ac:dyDescent="0.25">
      <c r="A308" s="49">
        <f>'A) Base RI'!A310</f>
        <v>5933</v>
      </c>
      <c r="B308" s="294" t="str">
        <f>'A) Base RI'!B310</f>
        <v>Valeyres-sous-Montagny</v>
      </c>
      <c r="C308" s="95">
        <f>'B) D RI'!U310</f>
        <v>22631.763146204292</v>
      </c>
      <c r="D308" s="110">
        <f>'E) Fact soc'!G314/C308</f>
        <v>17.47400444575765</v>
      </c>
      <c r="E308" s="137">
        <f>'H) Péréquation directe'!I319/C308</f>
        <v>8.0832551788306635</v>
      </c>
      <c r="F308" s="110">
        <f>+'I) Dépenses thématiques'!O308/'K) Plafonnement aide'!C308</f>
        <v>-6.4718634399406021</v>
      </c>
      <c r="G308" s="137">
        <f t="shared" si="17"/>
        <v>19.08539618464771</v>
      </c>
      <c r="H308" s="110">
        <f t="shared" si="18"/>
        <v>25.557259624588312</v>
      </c>
      <c r="I308" s="137">
        <f t="shared" si="19"/>
        <v>0</v>
      </c>
      <c r="J308" s="55">
        <f t="shared" si="20"/>
        <v>0</v>
      </c>
      <c r="K308" s="36"/>
    </row>
    <row r="309" spans="1:13" x14ac:dyDescent="0.25">
      <c r="A309" s="49">
        <f>'A) Base RI'!A311</f>
        <v>5934</v>
      </c>
      <c r="B309" s="294" t="str">
        <f>'A) Base RI'!B311</f>
        <v>Valeyres-sous-Ursins</v>
      </c>
      <c r="C309" s="95">
        <f>'B) D RI'!U311</f>
        <v>7641.8509852223033</v>
      </c>
      <c r="D309" s="110">
        <f>'E) Fact soc'!G315/C309</f>
        <v>15.587523973163767</v>
      </c>
      <c r="E309" s="137">
        <f>'H) Péréquation directe'!I320/C309</f>
        <v>7.5360610480060988</v>
      </c>
      <c r="F309" s="110">
        <f>+'I) Dépenses thématiques'!O309/'K) Plafonnement aide'!C309</f>
        <v>-0.88297422891809485</v>
      </c>
      <c r="G309" s="137">
        <f t="shared" si="17"/>
        <v>22.240610792251772</v>
      </c>
      <c r="H309" s="110">
        <f t="shared" si="18"/>
        <v>23.123585021169866</v>
      </c>
      <c r="I309" s="137">
        <f t="shared" si="19"/>
        <v>0</v>
      </c>
      <c r="J309" s="55">
        <f t="shared" si="20"/>
        <v>0</v>
      </c>
      <c r="K309" s="36"/>
    </row>
    <row r="310" spans="1:13" x14ac:dyDescent="0.25">
      <c r="A310" s="49">
        <f>'A) Base RI'!A312</f>
        <v>5935</v>
      </c>
      <c r="B310" s="294" t="str">
        <f>'A) Base RI'!B312</f>
        <v>Villars-Epeney</v>
      </c>
      <c r="C310" s="95">
        <f>'B) D RI'!U312</f>
        <v>5591.3819786059366</v>
      </c>
      <c r="D310" s="110">
        <f>'E) Fact soc'!G316/C310</f>
        <v>19.216303222533988</v>
      </c>
      <c r="E310" s="137">
        <f>'H) Péréquation directe'!I321/C310</f>
        <v>18.049177593556411</v>
      </c>
      <c r="F310" s="110">
        <f>+'I) Dépenses thématiques'!O310/'K) Plafonnement aide'!C310</f>
        <v>-1.2193648745099579</v>
      </c>
      <c r="G310" s="137">
        <f t="shared" si="17"/>
        <v>36.046115941580446</v>
      </c>
      <c r="H310" s="110">
        <f t="shared" si="18"/>
        <v>37.265480816090403</v>
      </c>
      <c r="I310" s="137">
        <f t="shared" si="19"/>
        <v>0</v>
      </c>
      <c r="J310" s="55">
        <f t="shared" si="20"/>
        <v>0</v>
      </c>
      <c r="K310" s="36"/>
    </row>
    <row r="311" spans="1:13" x14ac:dyDescent="0.25">
      <c r="A311" s="49">
        <f>'A) Base RI'!A313</f>
        <v>5937</v>
      </c>
      <c r="B311" s="294" t="str">
        <f>'A) Base RI'!B313</f>
        <v>Vugelles-La Mothe</v>
      </c>
      <c r="C311" s="95">
        <f>'B) D RI'!U313</f>
        <v>2402.7405651963004</v>
      </c>
      <c r="D311" s="110">
        <f>'E) Fact soc'!G317/C311</f>
        <v>19.264402242060488</v>
      </c>
      <c r="E311" s="137">
        <f>'H) Péréquation directe'!I322/C311</f>
        <v>-15.075364922483843</v>
      </c>
      <c r="F311" s="110">
        <f>+'I) Dépenses thématiques'!O311/'K) Plafonnement aide'!C311</f>
        <v>-14.945449104051121</v>
      </c>
      <c r="G311" s="137">
        <f t="shared" si="17"/>
        <v>-10.756411784474476</v>
      </c>
      <c r="H311" s="110">
        <f t="shared" si="18"/>
        <v>4.189037319576645</v>
      </c>
      <c r="I311" s="137">
        <f t="shared" si="19"/>
        <v>0</v>
      </c>
      <c r="J311" s="55">
        <f t="shared" si="20"/>
        <v>0</v>
      </c>
      <c r="K311" s="36"/>
    </row>
    <row r="312" spans="1:13" x14ac:dyDescent="0.25">
      <c r="A312" s="49">
        <f>'A) Base RI'!A314</f>
        <v>5938</v>
      </c>
      <c r="B312" s="294" t="str">
        <f>'A) Base RI'!B314</f>
        <v>Yverdon-les-Bains</v>
      </c>
      <c r="C312" s="95">
        <f>'B) D RI'!U314</f>
        <v>748845.35601358349</v>
      </c>
      <c r="D312" s="110">
        <f>'E) Fact soc'!G318/C312</f>
        <v>20.194123105217635</v>
      </c>
      <c r="E312" s="137">
        <f>'H) Péréquation directe'!I323/C312</f>
        <v>-32.877053682982506</v>
      </c>
      <c r="F312" s="110">
        <f>+'I) Dépenses thématiques'!O312/'K) Plafonnement aide'!C312</f>
        <v>-11.406124371996432</v>
      </c>
      <c r="G312" s="137">
        <f t="shared" si="17"/>
        <v>-24.089054949761305</v>
      </c>
      <c r="H312" s="110">
        <f t="shared" si="18"/>
        <v>-12.682930577764873</v>
      </c>
      <c r="I312" s="137">
        <f t="shared" si="19"/>
        <v>-4.6829305777648731</v>
      </c>
      <c r="J312" s="55">
        <f t="shared" si="20"/>
        <v>3506790.8156932327</v>
      </c>
      <c r="K312" s="36"/>
    </row>
    <row r="313" spans="1:13" x14ac:dyDescent="0.25">
      <c r="A313" s="49">
        <f>'A) Base RI'!A315</f>
        <v>5939</v>
      </c>
      <c r="B313" s="294" t="str">
        <f>'A) Base RI'!B315</f>
        <v>Yvonand</v>
      </c>
      <c r="C313" s="95">
        <f>'B) D RI'!U315</f>
        <v>91997.775281850787</v>
      </c>
      <c r="D313" s="110">
        <f>'E) Fact soc'!G319/C313</f>
        <v>19.211992375041977</v>
      </c>
      <c r="E313" s="137">
        <f>'H) Péréquation directe'!I324/C313</f>
        <v>-5.1716610530564662</v>
      </c>
      <c r="F313" s="110">
        <f>+'I) Dépenses thématiques'!O313/'K) Plafonnement aide'!C313</f>
        <v>-2.7103910488667613</v>
      </c>
      <c r="G313" s="137">
        <f t="shared" si="17"/>
        <v>11.32994027311875</v>
      </c>
      <c r="H313" s="110">
        <f t="shared" si="18"/>
        <v>14.04033132198551</v>
      </c>
      <c r="I313" s="137">
        <f t="shared" si="19"/>
        <v>0</v>
      </c>
      <c r="J313" s="55">
        <f t="shared" si="20"/>
        <v>0</v>
      </c>
      <c r="K313" s="36"/>
    </row>
    <row r="314" spans="1:13" x14ac:dyDescent="0.25">
      <c r="A314" s="30"/>
      <c r="B314" s="300">
        <f>COUNTA(B5:B313)</f>
        <v>309</v>
      </c>
      <c r="C314" s="97">
        <f>'B) D RI'!U316</f>
        <v>35867536.64913179</v>
      </c>
      <c r="D314" s="307">
        <f>'E) Fact soc'!G320/C314</f>
        <v>22.997497934388139</v>
      </c>
      <c r="E314" s="109">
        <f>'H) Péréquation directe'!I325/C314</f>
        <v>4.7752621905133665</v>
      </c>
      <c r="F314" s="307">
        <f>'I) Dépenses thématiques'!P314</f>
        <v>-4.5000000000000027</v>
      </c>
      <c r="G314" s="109">
        <f t="shared" ref="G314" si="21">SUM(D314:F314)</f>
        <v>23.272760124901502</v>
      </c>
      <c r="H314" s="307">
        <f t="shared" ref="H314" si="22">G314-F314</f>
        <v>27.772760124901506</v>
      </c>
      <c r="I314" s="109"/>
      <c r="J314" s="37">
        <f>SUM(J5:J313)</f>
        <v>4100045.1342997462</v>
      </c>
      <c r="L314" s="12"/>
      <c r="M314" s="12"/>
    </row>
    <row r="315" spans="1:13" x14ac:dyDescent="0.25">
      <c r="I315" s="28"/>
    </row>
    <row r="316" spans="1:13" x14ac:dyDescent="0.25">
      <c r="I316" s="28"/>
    </row>
  </sheetData>
  <mergeCells count="9">
    <mergeCell ref="C3:C4"/>
    <mergeCell ref="B3:B4"/>
    <mergeCell ref="A3:A4"/>
    <mergeCell ref="J3:J4"/>
    <mergeCell ref="H3:H4"/>
    <mergeCell ref="G3:G4"/>
    <mergeCell ref="F3:F4"/>
    <mergeCell ref="E3:E4"/>
    <mergeCell ref="D3:D4"/>
  </mergeCells>
  <phoneticPr fontId="19"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rgb="FF00B050"/>
  </sheetPr>
  <dimension ref="A1:V320"/>
  <sheetViews>
    <sheetView workbookViewId="0">
      <pane ySplit="5" topLeftCell="A6" activePane="bottomLeft" state="frozen"/>
      <selection pane="bottomLeft" activeCell="A6" sqref="A6"/>
    </sheetView>
  </sheetViews>
  <sheetFormatPr baseColWidth="10" defaultColWidth="10.75" defaultRowHeight="15" x14ac:dyDescent="0.25"/>
  <cols>
    <col min="1" max="1" width="7.25" style="13" customWidth="1"/>
    <col min="2" max="2" width="18" style="13" customWidth="1"/>
    <col min="3" max="3" width="11.125" style="6" customWidth="1"/>
    <col min="4" max="4" width="11.25" style="6" customWidth="1"/>
    <col min="5" max="6" width="11.25" style="6" bestFit="1" customWidth="1"/>
    <col min="7" max="7" width="11" style="6" customWidth="1"/>
    <col min="8" max="8" width="11" style="13" customWidth="1"/>
    <col min="9" max="9" width="9" style="13" bestFit="1" customWidth="1"/>
    <col min="10" max="10" width="12.125" style="13" bestFit="1" customWidth="1"/>
    <col min="11" max="11" width="10" style="13" customWidth="1"/>
    <col min="12" max="12" width="8.875" style="15" bestFit="1" customWidth="1"/>
    <col min="13" max="14" width="10.375" style="15" customWidth="1"/>
    <col min="15" max="15" width="6.75" style="13" customWidth="1"/>
    <col min="16" max="16" width="12.25" style="13" customWidth="1"/>
    <col min="17" max="17" width="12.625" style="13" customWidth="1"/>
    <col min="18" max="18" width="8.25" style="13" customWidth="1"/>
    <col min="19" max="19" width="8.125" style="13" customWidth="1"/>
    <col min="20" max="20" width="9.625" style="13" customWidth="1"/>
    <col min="21" max="21" width="11.25" style="6" bestFit="1" customWidth="1"/>
    <col min="22" max="16384" width="10.75" style="13"/>
  </cols>
  <sheetData>
    <row r="1" spans="1:22" s="43" customFormat="1" ht="21" x14ac:dyDescent="0.25">
      <c r="A1" s="51" t="s">
        <v>126</v>
      </c>
      <c r="B1" s="42"/>
      <c r="C1" s="44"/>
      <c r="D1" s="44"/>
      <c r="E1" s="44"/>
      <c r="F1" s="44"/>
      <c r="G1" s="44"/>
      <c r="H1" s="68"/>
      <c r="I1" s="68"/>
      <c r="J1" s="68"/>
      <c r="K1" s="68"/>
      <c r="L1" s="135"/>
      <c r="M1" s="135"/>
      <c r="N1" s="135"/>
      <c r="O1" s="68"/>
      <c r="P1" s="68"/>
      <c r="Q1" s="68"/>
      <c r="R1" s="68"/>
      <c r="S1" s="68"/>
      <c r="T1" s="68"/>
      <c r="U1" s="6"/>
    </row>
    <row r="2" spans="1:22" x14ac:dyDescent="0.25">
      <c r="H2" s="142"/>
      <c r="I2" s="142"/>
    </row>
    <row r="3" spans="1:22" x14ac:dyDescent="0.25">
      <c r="C3" s="530" t="str">
        <f>Paramètres!B6</f>
        <v>Acomptes 2019</v>
      </c>
      <c r="D3" s="531"/>
      <c r="E3" s="531"/>
      <c r="F3" s="531"/>
      <c r="G3" s="531"/>
      <c r="H3" s="531"/>
      <c r="I3" s="532"/>
    </row>
    <row r="4" spans="1:22" ht="30" x14ac:dyDescent="0.25">
      <c r="A4" s="501" t="s">
        <v>46</v>
      </c>
      <c r="B4" s="501" t="s">
        <v>96</v>
      </c>
      <c r="C4" s="498" t="s">
        <v>93</v>
      </c>
      <c r="D4" s="498" t="s">
        <v>145</v>
      </c>
      <c r="E4" s="498" t="s">
        <v>440</v>
      </c>
      <c r="F4" s="498" t="s">
        <v>253</v>
      </c>
      <c r="G4" s="498" t="s">
        <v>254</v>
      </c>
      <c r="H4" s="501" t="s">
        <v>360</v>
      </c>
      <c r="I4" s="61" t="s">
        <v>371</v>
      </c>
      <c r="J4" s="61" t="s">
        <v>371</v>
      </c>
      <c r="K4" s="515" t="s">
        <v>458</v>
      </c>
      <c r="L4" s="522" t="s">
        <v>359</v>
      </c>
      <c r="M4" s="522" t="s">
        <v>263</v>
      </c>
      <c r="N4" s="522" t="s">
        <v>264</v>
      </c>
      <c r="O4" s="517" t="s">
        <v>125</v>
      </c>
      <c r="P4" s="112" t="s">
        <v>126</v>
      </c>
      <c r="Q4" s="515" t="s">
        <v>372</v>
      </c>
      <c r="R4" s="501" t="s">
        <v>127</v>
      </c>
      <c r="S4" s="501" t="s">
        <v>257</v>
      </c>
      <c r="T4" s="143"/>
    </row>
    <row r="5" spans="1:22" ht="30" x14ac:dyDescent="0.25">
      <c r="A5" s="503"/>
      <c r="B5" s="503"/>
      <c r="C5" s="499"/>
      <c r="D5" s="500"/>
      <c r="E5" s="499"/>
      <c r="F5" s="500"/>
      <c r="G5" s="499"/>
      <c r="H5" s="503"/>
      <c r="I5" s="356" t="str">
        <f>Paramètres!B6</f>
        <v>Acomptes 2019</v>
      </c>
      <c r="J5" s="363" t="str">
        <f>Paramètres!B5</f>
        <v>Acomptes 2020</v>
      </c>
      <c r="K5" s="516"/>
      <c r="L5" s="523"/>
      <c r="M5" s="523"/>
      <c r="N5" s="523"/>
      <c r="O5" s="518"/>
      <c r="P5" s="389">
        <f>Paramètres!B50</f>
        <v>92.43053466750689</v>
      </c>
      <c r="Q5" s="516"/>
      <c r="R5" s="503"/>
      <c r="S5" s="503"/>
      <c r="T5" s="138"/>
    </row>
    <row r="6" spans="1:22" x14ac:dyDescent="0.25">
      <c r="A6" s="46">
        <f>'A) Base RI'!A7</f>
        <v>5401</v>
      </c>
      <c r="B6" s="359" t="str">
        <f>'A) Base RI'!B7</f>
        <v>Aigle</v>
      </c>
      <c r="C6" s="419">
        <v>5443503.6228761123</v>
      </c>
      <c r="D6" s="419">
        <v>-3402998.1438051183</v>
      </c>
      <c r="E6" s="396"/>
      <c r="F6" s="396">
        <v>0</v>
      </c>
      <c r="G6" s="396">
        <v>0</v>
      </c>
      <c r="H6" s="419">
        <f>SUM(C6:G6)</f>
        <v>2040505.4790709941</v>
      </c>
      <c r="I6" s="420">
        <v>263862.68069135805</v>
      </c>
      <c r="J6" s="360">
        <f>'B) D RI'!U7</f>
        <v>264997.06649252231</v>
      </c>
      <c r="K6" s="67">
        <f>H6/I6</f>
        <v>7.7332098412878141</v>
      </c>
      <c r="L6" s="87">
        <f>'B) D RI'!S7</f>
        <v>67.5</v>
      </c>
      <c r="M6" s="87">
        <f>L6-K6</f>
        <v>59.766790158712183</v>
      </c>
      <c r="N6" s="87">
        <f>'J) Plafonnement effort'!G5+'J) Plafonnement effort'!I5-'K) Plafonnement aide'!I5</f>
        <v>-1.5903015992080292</v>
      </c>
      <c r="O6" s="124">
        <f>M6+N6</f>
        <v>58.176488559504151</v>
      </c>
      <c r="P6" s="47">
        <f>IF(O6&gt;$P$5,$P$5-O6,0)</f>
        <v>0</v>
      </c>
      <c r="Q6" s="100">
        <f>P6*J6</f>
        <v>0</v>
      </c>
      <c r="R6" s="144">
        <f>O6+P6</f>
        <v>58.176488559504151</v>
      </c>
      <c r="S6" s="124">
        <f>R6-L6</f>
        <v>-9.3235114404958495</v>
      </c>
      <c r="T6" s="145">
        <f>+C6+D6+E6+F6+G6-H6</f>
        <v>0</v>
      </c>
      <c r="V6" s="12"/>
    </row>
    <row r="7" spans="1:22" x14ac:dyDescent="0.25">
      <c r="A7" s="49">
        <f>'A) Base RI'!A8</f>
        <v>5402</v>
      </c>
      <c r="B7" s="357" t="str">
        <f>'A) Base RI'!B8</f>
        <v>Bex</v>
      </c>
      <c r="C7" s="419">
        <v>3626969.70006361</v>
      </c>
      <c r="D7" s="419">
        <v>-3459955.3313867012</v>
      </c>
      <c r="E7" s="396">
        <v>0</v>
      </c>
      <c r="F7" s="396">
        <v>0</v>
      </c>
      <c r="G7" s="396">
        <v>0</v>
      </c>
      <c r="H7" s="419">
        <f t="shared" ref="H7:H70" si="0">SUM(C7:G7)</f>
        <v>167014.36867690878</v>
      </c>
      <c r="I7" s="420">
        <v>173630.8553521127</v>
      </c>
      <c r="J7" s="361">
        <f>'B) D RI'!U8</f>
        <v>167576.20795633722</v>
      </c>
      <c r="K7" s="62">
        <f t="shared" ref="K7:K61" si="1">H7/I7</f>
        <v>0.96189337049693102</v>
      </c>
      <c r="L7" s="33">
        <f>'B) D RI'!S8</f>
        <v>71</v>
      </c>
      <c r="M7" s="33">
        <f t="shared" ref="M7:M60" si="2">L7-K7</f>
        <v>70.038106629503062</v>
      </c>
      <c r="N7" s="33">
        <f>'J) Plafonnement effort'!G6+'J) Plafonnement effort'!I6-'K) Plafonnement aide'!I6</f>
        <v>-14.819873873101502</v>
      </c>
      <c r="O7" s="126">
        <f t="shared" ref="O7:O60" si="3">M7+N7</f>
        <v>55.218232756401562</v>
      </c>
      <c r="P7" s="47">
        <f t="shared" ref="P7:P60" si="4">IF(O7&gt;$P$5,$P$5-O7,0)</f>
        <v>0</v>
      </c>
      <c r="Q7" s="55">
        <f t="shared" ref="Q7:Q62" si="5">P7*J7</f>
        <v>0</v>
      </c>
      <c r="R7" s="146">
        <f t="shared" ref="R7:R60" si="6">O7+P7</f>
        <v>55.218232756401562</v>
      </c>
      <c r="S7" s="126">
        <f t="shared" ref="S7:S60" si="7">R7-L7</f>
        <v>-15.781767243598438</v>
      </c>
      <c r="T7" s="145">
        <f t="shared" ref="T7:T70" si="8">+C7+D7+E7+F7+G7-H7</f>
        <v>0</v>
      </c>
      <c r="V7" s="12"/>
    </row>
    <row r="8" spans="1:22" x14ac:dyDescent="0.25">
      <c r="A8" s="49">
        <f>'A) Base RI'!A9</f>
        <v>5403</v>
      </c>
      <c r="B8" s="357" t="str">
        <f>'A) Base RI'!B9</f>
        <v>Chessel</v>
      </c>
      <c r="C8" s="419">
        <v>189188.98863288161</v>
      </c>
      <c r="D8" s="419">
        <v>-40015.714851471275</v>
      </c>
      <c r="E8" s="396">
        <v>0</v>
      </c>
      <c r="F8" s="396">
        <v>0</v>
      </c>
      <c r="G8" s="396">
        <v>0</v>
      </c>
      <c r="H8" s="419">
        <f t="shared" si="0"/>
        <v>149173.27378141033</v>
      </c>
      <c r="I8" s="420">
        <v>9734.1508108108119</v>
      </c>
      <c r="J8" s="361">
        <f>'B) D RI'!U9</f>
        <v>10084.656029543799</v>
      </c>
      <c r="K8" s="62">
        <f t="shared" si="1"/>
        <v>15.324734194146398</v>
      </c>
      <c r="L8" s="33">
        <f>'B) D RI'!S9</f>
        <v>74</v>
      </c>
      <c r="M8" s="33">
        <f t="shared" si="2"/>
        <v>58.675265805853599</v>
      </c>
      <c r="N8" s="33">
        <f>'J) Plafonnement effort'!G7+'J) Plafonnement effort'!I7-'K) Plafonnement aide'!I7</f>
        <v>9.731330859769372</v>
      </c>
      <c r="O8" s="126">
        <f t="shared" si="3"/>
        <v>68.40659666562297</v>
      </c>
      <c r="P8" s="47">
        <f t="shared" si="4"/>
        <v>0</v>
      </c>
      <c r="Q8" s="55">
        <f t="shared" si="5"/>
        <v>0</v>
      </c>
      <c r="R8" s="146">
        <f t="shared" si="6"/>
        <v>68.40659666562297</v>
      </c>
      <c r="S8" s="126">
        <f t="shared" si="7"/>
        <v>-5.5934033343770295</v>
      </c>
      <c r="T8" s="145">
        <f t="shared" si="8"/>
        <v>0</v>
      </c>
      <c r="V8" s="12"/>
    </row>
    <row r="9" spans="1:22" x14ac:dyDescent="0.25">
      <c r="A9" s="49">
        <f>'A) Base RI'!A10</f>
        <v>5404</v>
      </c>
      <c r="B9" s="357" t="str">
        <f>'A) Base RI'!B10</f>
        <v>Corbeyrier</v>
      </c>
      <c r="C9" s="419">
        <v>368780.04672703356</v>
      </c>
      <c r="D9" s="419">
        <v>-10063.503505422093</v>
      </c>
      <c r="E9" s="396">
        <v>0</v>
      </c>
      <c r="F9" s="396">
        <v>0</v>
      </c>
      <c r="G9" s="396">
        <v>0</v>
      </c>
      <c r="H9" s="419">
        <f t="shared" si="0"/>
        <v>358716.54322161147</v>
      </c>
      <c r="I9" s="420">
        <v>10864.664095238095</v>
      </c>
      <c r="J9" s="361">
        <f>'B) D RI'!U10</f>
        <v>11886.055583598994</v>
      </c>
      <c r="K9" s="62">
        <f t="shared" si="1"/>
        <v>33.016809362641446</v>
      </c>
      <c r="L9" s="33">
        <f>'B) D RI'!S10</f>
        <v>70</v>
      </c>
      <c r="M9" s="33">
        <f t="shared" si="2"/>
        <v>36.983190637358554</v>
      </c>
      <c r="N9" s="33">
        <f>'J) Plafonnement effort'!G8+'J) Plafonnement effort'!I8-'K) Plafonnement aide'!I8</f>
        <v>9.0379182156723097</v>
      </c>
      <c r="O9" s="126">
        <f t="shared" si="3"/>
        <v>46.021108853030867</v>
      </c>
      <c r="P9" s="47">
        <f t="shared" si="4"/>
        <v>0</v>
      </c>
      <c r="Q9" s="55">
        <f t="shared" si="5"/>
        <v>0</v>
      </c>
      <c r="R9" s="146">
        <f t="shared" si="6"/>
        <v>46.021108853030867</v>
      </c>
      <c r="S9" s="126">
        <f t="shared" si="7"/>
        <v>-23.978891146969133</v>
      </c>
      <c r="T9" s="145">
        <f t="shared" si="8"/>
        <v>0</v>
      </c>
      <c r="V9" s="12"/>
    </row>
    <row r="10" spans="1:22" x14ac:dyDescent="0.25">
      <c r="A10" s="49">
        <f>'A) Base RI'!A11</f>
        <v>5405</v>
      </c>
      <c r="B10" s="357" t="str">
        <f>'A) Base RI'!B11</f>
        <v>Gryon</v>
      </c>
      <c r="C10" s="419">
        <v>1547747.8613343339</v>
      </c>
      <c r="D10" s="419">
        <v>1147952.2008540872</v>
      </c>
      <c r="E10" s="396">
        <v>0</v>
      </c>
      <c r="F10" s="396">
        <v>0</v>
      </c>
      <c r="G10" s="396">
        <v>0</v>
      </c>
      <c r="H10" s="419">
        <f t="shared" si="0"/>
        <v>2695700.0621884214</v>
      </c>
      <c r="I10" s="420">
        <v>69822.459644444432</v>
      </c>
      <c r="J10" s="361">
        <f>'B) D RI'!U11</f>
        <v>67043.99833693559</v>
      </c>
      <c r="K10" s="62">
        <f t="shared" si="1"/>
        <v>38.607921805042146</v>
      </c>
      <c r="L10" s="33">
        <f>'B) D RI'!S11</f>
        <v>75</v>
      </c>
      <c r="M10" s="33">
        <f t="shared" si="2"/>
        <v>36.392078194957854</v>
      </c>
      <c r="N10" s="33">
        <f>'J) Plafonnement effort'!G9+'J) Plafonnement effort'!I9-'K) Plafonnement aide'!I9</f>
        <v>34.46567418594524</v>
      </c>
      <c r="O10" s="126">
        <f t="shared" si="3"/>
        <v>70.857752380903094</v>
      </c>
      <c r="P10" s="47">
        <f t="shared" si="4"/>
        <v>0</v>
      </c>
      <c r="Q10" s="55">
        <f t="shared" si="5"/>
        <v>0</v>
      </c>
      <c r="R10" s="146">
        <f t="shared" si="6"/>
        <v>70.857752380903094</v>
      </c>
      <c r="S10" s="126">
        <f t="shared" si="7"/>
        <v>-4.1422476190969064</v>
      </c>
      <c r="T10" s="145">
        <f t="shared" si="8"/>
        <v>0</v>
      </c>
      <c r="V10" s="12"/>
    </row>
    <row r="11" spans="1:22" x14ac:dyDescent="0.25">
      <c r="A11" s="49">
        <f>'A) Base RI'!A12</f>
        <v>5406</v>
      </c>
      <c r="B11" s="357" t="str">
        <f>'A) Base RI'!B12</f>
        <v>Lavey-Morcles</v>
      </c>
      <c r="C11" s="419">
        <v>417394.85946004372</v>
      </c>
      <c r="D11" s="419">
        <v>-91749.807149337372</v>
      </c>
      <c r="E11" s="396">
        <v>0</v>
      </c>
      <c r="F11" s="396">
        <v>0</v>
      </c>
      <c r="G11" s="396">
        <v>0</v>
      </c>
      <c r="H11" s="419">
        <f t="shared" si="0"/>
        <v>325645.05231070635</v>
      </c>
      <c r="I11" s="420">
        <v>21528.925666305528</v>
      </c>
      <c r="J11" s="361">
        <f>'B) D RI'!U12</f>
        <v>21182.431428934582</v>
      </c>
      <c r="K11" s="62">
        <f t="shared" si="1"/>
        <v>15.125931379862889</v>
      </c>
      <c r="L11" s="33">
        <f>'B) D RI'!S12</f>
        <v>71</v>
      </c>
      <c r="M11" s="33">
        <f t="shared" si="2"/>
        <v>55.874068620137109</v>
      </c>
      <c r="N11" s="33">
        <f>'J) Plafonnement effort'!G10+'J) Plafonnement effort'!I10-'K) Plafonnement aide'!I10</f>
        <v>7.1577609337003745</v>
      </c>
      <c r="O11" s="126">
        <f t="shared" si="3"/>
        <v>63.031829553837483</v>
      </c>
      <c r="P11" s="47">
        <f t="shared" si="4"/>
        <v>0</v>
      </c>
      <c r="Q11" s="55">
        <f t="shared" si="5"/>
        <v>0</v>
      </c>
      <c r="R11" s="146">
        <f t="shared" si="6"/>
        <v>63.031829553837483</v>
      </c>
      <c r="S11" s="126">
        <f t="shared" si="7"/>
        <v>-7.9681704461625174</v>
      </c>
      <c r="T11" s="145">
        <f t="shared" si="8"/>
        <v>0</v>
      </c>
      <c r="V11" s="12"/>
    </row>
    <row r="12" spans="1:22" x14ac:dyDescent="0.25">
      <c r="A12" s="49">
        <f>'A) Base RI'!A13</f>
        <v>5407</v>
      </c>
      <c r="B12" s="357" t="str">
        <f>'A) Base RI'!B13</f>
        <v>Leysin</v>
      </c>
      <c r="C12" s="419">
        <v>1779224.0782061846</v>
      </c>
      <c r="D12" s="419">
        <v>-1721737.3024390822</v>
      </c>
      <c r="E12" s="396">
        <v>0</v>
      </c>
      <c r="F12" s="396">
        <v>0</v>
      </c>
      <c r="G12" s="396">
        <v>0</v>
      </c>
      <c r="H12" s="419">
        <f t="shared" si="0"/>
        <v>57486.775767102372</v>
      </c>
      <c r="I12" s="420">
        <v>90534.062564102569</v>
      </c>
      <c r="J12" s="361">
        <f>'B) D RI'!U13</f>
        <v>87800.052646256067</v>
      </c>
      <c r="K12" s="62">
        <f t="shared" si="1"/>
        <v>0.6349739991663238</v>
      </c>
      <c r="L12" s="33">
        <f>'B) D RI'!S13</f>
        <v>78</v>
      </c>
      <c r="M12" s="33">
        <f t="shared" si="2"/>
        <v>77.36502600083368</v>
      </c>
      <c r="N12" s="33">
        <f>'J) Plafonnement effort'!G11+'J) Plafonnement effort'!I11-'K) Plafonnement aide'!I11</f>
        <v>-22.446994276195852</v>
      </c>
      <c r="O12" s="126">
        <f t="shared" si="3"/>
        <v>54.918031724637828</v>
      </c>
      <c r="P12" s="47">
        <f t="shared" si="4"/>
        <v>0</v>
      </c>
      <c r="Q12" s="55">
        <f t="shared" si="5"/>
        <v>0</v>
      </c>
      <c r="R12" s="146">
        <f t="shared" si="6"/>
        <v>54.918031724637828</v>
      </c>
      <c r="S12" s="126">
        <f t="shared" si="7"/>
        <v>-23.081968275362172</v>
      </c>
      <c r="T12" s="145">
        <f t="shared" si="8"/>
        <v>0</v>
      </c>
      <c r="V12" s="12"/>
    </row>
    <row r="13" spans="1:22" x14ac:dyDescent="0.25">
      <c r="A13" s="49">
        <f>'A) Base RI'!A14</f>
        <v>5408</v>
      </c>
      <c r="B13" s="357" t="str">
        <f>'A) Base RI'!B14</f>
        <v>Noville</v>
      </c>
      <c r="C13" s="419">
        <v>642874.19804881769</v>
      </c>
      <c r="D13" s="419">
        <v>100822.06005046202</v>
      </c>
      <c r="E13" s="396">
        <v>0</v>
      </c>
      <c r="F13" s="396">
        <v>0</v>
      </c>
      <c r="G13" s="396">
        <v>0</v>
      </c>
      <c r="H13" s="419">
        <f t="shared" si="0"/>
        <v>743696.25809927972</v>
      </c>
      <c r="I13" s="420">
        <v>31735.72989384289</v>
      </c>
      <c r="J13" s="361">
        <f>'B) D RI'!U14</f>
        <v>34485.089397525851</v>
      </c>
      <c r="K13" s="62">
        <f t="shared" si="1"/>
        <v>23.434036670559312</v>
      </c>
      <c r="L13" s="33">
        <f>'B) D RI'!S14</f>
        <v>78.5</v>
      </c>
      <c r="M13" s="33">
        <f t="shared" si="2"/>
        <v>55.065963329440692</v>
      </c>
      <c r="N13" s="33">
        <f>'J) Plafonnement effort'!G12+'J) Plafonnement effort'!I12-'K) Plafonnement aide'!I12</f>
        <v>21.74590374151925</v>
      </c>
      <c r="O13" s="126">
        <f t="shared" si="3"/>
        <v>76.811867070959948</v>
      </c>
      <c r="P13" s="47">
        <f t="shared" si="4"/>
        <v>0</v>
      </c>
      <c r="Q13" s="55">
        <f t="shared" si="5"/>
        <v>0</v>
      </c>
      <c r="R13" s="146">
        <f t="shared" si="6"/>
        <v>76.811867070959948</v>
      </c>
      <c r="S13" s="126">
        <f t="shared" si="7"/>
        <v>-1.6881329290400515</v>
      </c>
      <c r="T13" s="145">
        <f t="shared" si="8"/>
        <v>0</v>
      </c>
      <c r="V13" s="12"/>
    </row>
    <row r="14" spans="1:22" x14ac:dyDescent="0.25">
      <c r="A14" s="49">
        <f>'A) Base RI'!A15</f>
        <v>5409</v>
      </c>
      <c r="B14" s="357" t="str">
        <f>'A) Base RI'!B15</f>
        <v>Ollon</v>
      </c>
      <c r="C14" s="419">
        <v>7650536.5556577919</v>
      </c>
      <c r="D14" s="419">
        <v>4070519.1566801942</v>
      </c>
      <c r="E14" s="396">
        <v>0</v>
      </c>
      <c r="F14" s="396">
        <v>0</v>
      </c>
      <c r="G14" s="396">
        <v>0</v>
      </c>
      <c r="H14" s="419">
        <f t="shared" si="0"/>
        <v>11721055.712337986</v>
      </c>
      <c r="I14" s="420">
        <v>367365.91906108597</v>
      </c>
      <c r="J14" s="361">
        <f>'B) D RI'!U15</f>
        <v>364239.90242657869</v>
      </c>
      <c r="K14" s="62">
        <f t="shared" si="1"/>
        <v>31.905669808170195</v>
      </c>
      <c r="L14" s="33">
        <f>'B) D RI'!S15</f>
        <v>68</v>
      </c>
      <c r="M14" s="33">
        <f t="shared" si="2"/>
        <v>36.094330191829805</v>
      </c>
      <c r="N14" s="33">
        <f>'J) Plafonnement effort'!G13+'J) Plafonnement effort'!I13-'K) Plafonnement aide'!I13</f>
        <v>27.078948132943268</v>
      </c>
      <c r="O14" s="126">
        <f t="shared" si="3"/>
        <v>63.173278324773072</v>
      </c>
      <c r="P14" s="47">
        <f t="shared" si="4"/>
        <v>0</v>
      </c>
      <c r="Q14" s="55">
        <f t="shared" si="5"/>
        <v>0</v>
      </c>
      <c r="R14" s="146">
        <f t="shared" si="6"/>
        <v>63.173278324773072</v>
      </c>
      <c r="S14" s="126">
        <f t="shared" si="7"/>
        <v>-4.8267216752269277</v>
      </c>
      <c r="T14" s="145">
        <f t="shared" si="8"/>
        <v>0</v>
      </c>
      <c r="V14" s="12"/>
    </row>
    <row r="15" spans="1:22" x14ac:dyDescent="0.25">
      <c r="A15" s="49">
        <f>'A) Base RI'!A16</f>
        <v>5410</v>
      </c>
      <c r="B15" s="357" t="str">
        <f>'A) Base RI'!B16</f>
        <v>Ormont-Dessous</v>
      </c>
      <c r="C15" s="419">
        <v>794983.84045456338</v>
      </c>
      <c r="D15" s="419">
        <v>271181.73291381978</v>
      </c>
      <c r="E15" s="396">
        <v>0</v>
      </c>
      <c r="F15" s="396">
        <v>0</v>
      </c>
      <c r="G15" s="396">
        <v>0</v>
      </c>
      <c r="H15" s="419">
        <f t="shared" si="0"/>
        <v>1066165.5733683831</v>
      </c>
      <c r="I15" s="420">
        <v>37585.850743099792</v>
      </c>
      <c r="J15" s="361">
        <f>'B) D RI'!U16</f>
        <v>43203.907731880769</v>
      </c>
      <c r="K15" s="62">
        <f t="shared" si="1"/>
        <v>28.366141840333768</v>
      </c>
      <c r="L15" s="33">
        <f>'B) D RI'!S16</f>
        <v>78.5</v>
      </c>
      <c r="M15" s="33">
        <f t="shared" si="2"/>
        <v>50.133858159666232</v>
      </c>
      <c r="N15" s="33">
        <f>'J) Plafonnement effort'!G14+'J) Plafonnement effort'!I14-'K) Plafonnement aide'!I14</f>
        <v>10.628430798892158</v>
      </c>
      <c r="O15" s="126">
        <f t="shared" si="3"/>
        <v>60.762288958558386</v>
      </c>
      <c r="P15" s="47">
        <f t="shared" si="4"/>
        <v>0</v>
      </c>
      <c r="Q15" s="55">
        <f t="shared" si="5"/>
        <v>0</v>
      </c>
      <c r="R15" s="146">
        <f t="shared" si="6"/>
        <v>60.762288958558386</v>
      </c>
      <c r="S15" s="126">
        <f t="shared" si="7"/>
        <v>-17.737711041441614</v>
      </c>
      <c r="T15" s="145">
        <f t="shared" si="8"/>
        <v>0</v>
      </c>
      <c r="V15" s="12"/>
    </row>
    <row r="16" spans="1:22" x14ac:dyDescent="0.25">
      <c r="A16" s="49">
        <f>'A) Base RI'!A17</f>
        <v>5411</v>
      </c>
      <c r="B16" s="357" t="str">
        <f>'A) Base RI'!B17</f>
        <v>Ormont-Dessus</v>
      </c>
      <c r="C16" s="419">
        <v>1687079.9865265856</v>
      </c>
      <c r="D16" s="419">
        <v>1286666.3148272885</v>
      </c>
      <c r="E16" s="396">
        <v>0</v>
      </c>
      <c r="F16" s="396">
        <v>0</v>
      </c>
      <c r="G16" s="396">
        <v>0</v>
      </c>
      <c r="H16" s="419">
        <f t="shared" si="0"/>
        <v>2973746.3013538742</v>
      </c>
      <c r="I16" s="420">
        <v>78533.565482456135</v>
      </c>
      <c r="J16" s="361">
        <f>'B) D RI'!U17</f>
        <v>72610.798338858935</v>
      </c>
      <c r="K16" s="62">
        <f t="shared" si="1"/>
        <v>37.865927557028961</v>
      </c>
      <c r="L16" s="33">
        <f>'B) D RI'!S17</f>
        <v>76</v>
      </c>
      <c r="M16" s="33">
        <f t="shared" si="2"/>
        <v>38.134072442971039</v>
      </c>
      <c r="N16" s="33">
        <f>'J) Plafonnement effort'!G15+'J) Plafonnement effort'!I15-'K) Plafonnement aide'!I15</f>
        <v>26.860911882143846</v>
      </c>
      <c r="O16" s="126">
        <f t="shared" si="3"/>
        <v>64.994984325114885</v>
      </c>
      <c r="P16" s="47">
        <f t="shared" si="4"/>
        <v>0</v>
      </c>
      <c r="Q16" s="55">
        <f t="shared" si="5"/>
        <v>0</v>
      </c>
      <c r="R16" s="146">
        <f t="shared" si="6"/>
        <v>64.994984325114885</v>
      </c>
      <c r="S16" s="126">
        <f t="shared" si="7"/>
        <v>-11.005015674885115</v>
      </c>
      <c r="T16" s="145">
        <f t="shared" si="8"/>
        <v>0</v>
      </c>
      <c r="V16" s="12"/>
    </row>
    <row r="17" spans="1:22" x14ac:dyDescent="0.25">
      <c r="A17" s="49">
        <f>'A) Base RI'!A18</f>
        <v>5412</v>
      </c>
      <c r="B17" s="357" t="str">
        <f>'A) Base RI'!B18</f>
        <v>Rennaz</v>
      </c>
      <c r="C17" s="419">
        <v>560455.90099823126</v>
      </c>
      <c r="D17" s="419">
        <v>378827.10353546229</v>
      </c>
      <c r="E17" s="396">
        <v>0</v>
      </c>
      <c r="F17" s="396">
        <v>0</v>
      </c>
      <c r="G17" s="396">
        <v>0</v>
      </c>
      <c r="H17" s="419">
        <f t="shared" si="0"/>
        <v>939283.00453369354</v>
      </c>
      <c r="I17" s="420">
        <v>30683.439407407404</v>
      </c>
      <c r="J17" s="361">
        <f>'B) D RI'!U18</f>
        <v>26466.15780602719</v>
      </c>
      <c r="K17" s="62">
        <f t="shared" si="1"/>
        <v>30.612050756830662</v>
      </c>
      <c r="L17" s="33">
        <f>'B) D RI'!S18</f>
        <v>67.5</v>
      </c>
      <c r="M17" s="33">
        <f t="shared" si="2"/>
        <v>36.887949243169338</v>
      </c>
      <c r="N17" s="33">
        <f>'J) Plafonnement effort'!G16+'J) Plafonnement effort'!I16-'K) Plafonnement aide'!I16</f>
        <v>39.85909060257022</v>
      </c>
      <c r="O17" s="126">
        <f t="shared" si="3"/>
        <v>76.74703984573955</v>
      </c>
      <c r="P17" s="47">
        <f t="shared" si="4"/>
        <v>0</v>
      </c>
      <c r="Q17" s="55">
        <f t="shared" si="5"/>
        <v>0</v>
      </c>
      <c r="R17" s="146">
        <f t="shared" si="6"/>
        <v>76.74703984573955</v>
      </c>
      <c r="S17" s="126">
        <f t="shared" si="7"/>
        <v>9.2470398457395504</v>
      </c>
      <c r="T17" s="145">
        <f t="shared" si="8"/>
        <v>0</v>
      </c>
      <c r="V17" s="12"/>
    </row>
    <row r="18" spans="1:22" x14ac:dyDescent="0.25">
      <c r="A18" s="49">
        <f>'A) Base RI'!A19</f>
        <v>5413</v>
      </c>
      <c r="B18" s="357" t="str">
        <f>'A) Base RI'!B19</f>
        <v>Roche</v>
      </c>
      <c r="C18" s="419">
        <v>742974.07606904092</v>
      </c>
      <c r="D18" s="419">
        <v>-309550.10468791029</v>
      </c>
      <c r="E18" s="396">
        <v>0</v>
      </c>
      <c r="F18" s="396">
        <v>0</v>
      </c>
      <c r="G18" s="396">
        <v>0</v>
      </c>
      <c r="H18" s="419">
        <f t="shared" si="0"/>
        <v>433423.97138113063</v>
      </c>
      <c r="I18" s="420">
        <v>36754.028088235296</v>
      </c>
      <c r="J18" s="361">
        <f>'B) D RI'!U19</f>
        <v>37990.385509658925</v>
      </c>
      <c r="K18" s="62">
        <f t="shared" si="1"/>
        <v>11.792557004652956</v>
      </c>
      <c r="L18" s="33">
        <f>'B) D RI'!S19</f>
        <v>68</v>
      </c>
      <c r="M18" s="33">
        <f t="shared" si="2"/>
        <v>56.207442995347044</v>
      </c>
      <c r="N18" s="33">
        <f>'J) Plafonnement effort'!G17+'J) Plafonnement effort'!I17-'K) Plafonnement aide'!I17</f>
        <v>10.70039305641814</v>
      </c>
      <c r="O18" s="126">
        <f t="shared" si="3"/>
        <v>66.907836051765187</v>
      </c>
      <c r="P18" s="47">
        <f t="shared" si="4"/>
        <v>0</v>
      </c>
      <c r="Q18" s="55">
        <f t="shared" si="5"/>
        <v>0</v>
      </c>
      <c r="R18" s="146">
        <f t="shared" si="6"/>
        <v>66.907836051765187</v>
      </c>
      <c r="S18" s="126">
        <f t="shared" si="7"/>
        <v>-1.0921639482348127</v>
      </c>
      <c r="T18" s="145">
        <f t="shared" si="8"/>
        <v>0</v>
      </c>
      <c r="V18" s="12"/>
    </row>
    <row r="19" spans="1:22" x14ac:dyDescent="0.25">
      <c r="A19" s="49">
        <f>'A) Base RI'!A20</f>
        <v>5414</v>
      </c>
      <c r="B19" s="357" t="str">
        <f>'A) Base RI'!B20</f>
        <v>Villeneuve</v>
      </c>
      <c r="C19" s="419">
        <v>3509024.4457131131</v>
      </c>
      <c r="D19" s="419">
        <v>-774410.0178169678</v>
      </c>
      <c r="E19" s="396">
        <v>0</v>
      </c>
      <c r="F19" s="396">
        <v>0</v>
      </c>
      <c r="G19" s="396">
        <v>0</v>
      </c>
      <c r="H19" s="419">
        <f t="shared" si="0"/>
        <v>2734614.4278961453</v>
      </c>
      <c r="I19" s="420">
        <v>161374.0856521739</v>
      </c>
      <c r="J19" s="361">
        <f>'B) D RI'!U20</f>
        <v>165545.36815921174</v>
      </c>
      <c r="K19" s="62">
        <f t="shared" si="1"/>
        <v>16.945808968302011</v>
      </c>
      <c r="L19" s="33">
        <f>'B) D RI'!S20</f>
        <v>69</v>
      </c>
      <c r="M19" s="33">
        <f t="shared" si="2"/>
        <v>52.054191031697989</v>
      </c>
      <c r="N19" s="33">
        <f>'J) Plafonnement effort'!G18+'J) Plafonnement effort'!I18-'K) Plafonnement aide'!I18</f>
        <v>7.3951164342521754</v>
      </c>
      <c r="O19" s="126">
        <f t="shared" si="3"/>
        <v>59.449307465950163</v>
      </c>
      <c r="P19" s="47">
        <f t="shared" si="4"/>
        <v>0</v>
      </c>
      <c r="Q19" s="55">
        <f t="shared" si="5"/>
        <v>0</v>
      </c>
      <c r="R19" s="146">
        <f t="shared" si="6"/>
        <v>59.449307465950163</v>
      </c>
      <c r="S19" s="126">
        <f t="shared" si="7"/>
        <v>-9.550692534049837</v>
      </c>
      <c r="T19" s="145">
        <f t="shared" si="8"/>
        <v>0</v>
      </c>
      <c r="V19" s="12"/>
    </row>
    <row r="20" spans="1:22" x14ac:dyDescent="0.25">
      <c r="A20" s="49">
        <f>'A) Base RI'!A21</f>
        <v>5415</v>
      </c>
      <c r="B20" s="357" t="str">
        <f>'A) Base RI'!B21</f>
        <v>Yvorne</v>
      </c>
      <c r="C20" s="419">
        <v>668783.356899512</v>
      </c>
      <c r="D20" s="419">
        <v>273260.81168724352</v>
      </c>
      <c r="E20" s="396">
        <v>0</v>
      </c>
      <c r="F20" s="396">
        <v>0</v>
      </c>
      <c r="G20" s="396">
        <v>0</v>
      </c>
      <c r="H20" s="419">
        <f t="shared" si="0"/>
        <v>942044.16858675552</v>
      </c>
      <c r="I20" s="420">
        <v>34416.914731934739</v>
      </c>
      <c r="J20" s="361">
        <f>'B) D RI'!U21</f>
        <v>33364.537599401883</v>
      </c>
      <c r="K20" s="62">
        <f t="shared" si="1"/>
        <v>27.371546111094389</v>
      </c>
      <c r="L20" s="33">
        <f>'B) D RI'!S21</f>
        <v>71.5</v>
      </c>
      <c r="M20" s="33">
        <f t="shared" si="2"/>
        <v>44.128453888905611</v>
      </c>
      <c r="N20" s="33">
        <f>'J) Plafonnement effort'!G19+'J) Plafonnement effort'!I19-'K) Plafonnement aide'!I19</f>
        <v>21.665813796370394</v>
      </c>
      <c r="O20" s="126">
        <f t="shared" si="3"/>
        <v>65.794267685275997</v>
      </c>
      <c r="P20" s="47">
        <f t="shared" si="4"/>
        <v>0</v>
      </c>
      <c r="Q20" s="55">
        <f t="shared" si="5"/>
        <v>0</v>
      </c>
      <c r="R20" s="146">
        <f t="shared" si="6"/>
        <v>65.794267685275997</v>
      </c>
      <c r="S20" s="126">
        <f t="shared" si="7"/>
        <v>-5.7057323147240027</v>
      </c>
      <c r="T20" s="145">
        <f t="shared" si="8"/>
        <v>0</v>
      </c>
      <c r="V20" s="12"/>
    </row>
    <row r="21" spans="1:22" x14ac:dyDescent="0.25">
      <c r="A21" s="49">
        <f>'A) Base RI'!A22</f>
        <v>5421</v>
      </c>
      <c r="B21" s="357" t="str">
        <f>'A) Base RI'!B22</f>
        <v>Apples</v>
      </c>
      <c r="C21" s="419">
        <v>1054709.0505615911</v>
      </c>
      <c r="D21" s="419">
        <v>752382.98951016122</v>
      </c>
      <c r="E21" s="396">
        <v>0</v>
      </c>
      <c r="F21" s="396">
        <v>0</v>
      </c>
      <c r="G21" s="396">
        <v>0</v>
      </c>
      <c r="H21" s="419">
        <f t="shared" si="0"/>
        <v>1807092.0400717524</v>
      </c>
      <c r="I21" s="420">
        <v>58623.163421052632</v>
      </c>
      <c r="J21" s="361">
        <f>'B) D RI'!U22</f>
        <v>66975.284470984901</v>
      </c>
      <c r="K21" s="62">
        <f t="shared" si="1"/>
        <v>30.825563388528998</v>
      </c>
      <c r="L21" s="33">
        <f>'B) D RI'!S22</f>
        <v>76</v>
      </c>
      <c r="M21" s="33">
        <f t="shared" si="2"/>
        <v>45.174436611471002</v>
      </c>
      <c r="N21" s="33">
        <f>'J) Plafonnement effort'!G20+'J) Plafonnement effort'!I20-'K) Plafonnement aide'!I20</f>
        <v>30.714635660935443</v>
      </c>
      <c r="O21" s="126">
        <f t="shared" si="3"/>
        <v>75.889072272406452</v>
      </c>
      <c r="P21" s="47">
        <f t="shared" si="4"/>
        <v>0</v>
      </c>
      <c r="Q21" s="55">
        <f t="shared" si="5"/>
        <v>0</v>
      </c>
      <c r="R21" s="146">
        <f t="shared" si="6"/>
        <v>75.889072272406452</v>
      </c>
      <c r="S21" s="126">
        <f t="shared" si="7"/>
        <v>-0.1109277275935483</v>
      </c>
      <c r="T21" s="145">
        <f t="shared" si="8"/>
        <v>0</v>
      </c>
      <c r="V21" s="12"/>
    </row>
    <row r="22" spans="1:22" x14ac:dyDescent="0.25">
      <c r="A22" s="49">
        <f>'A) Base RI'!A23</f>
        <v>5422</v>
      </c>
      <c r="B22" s="357" t="str">
        <f>'A) Base RI'!B23</f>
        <v>Aubonne</v>
      </c>
      <c r="C22" s="419">
        <v>6476211.17927917</v>
      </c>
      <c r="D22" s="419">
        <v>3941242.0209387159</v>
      </c>
      <c r="E22" s="396">
        <v>0</v>
      </c>
      <c r="F22" s="396">
        <v>0</v>
      </c>
      <c r="G22" s="396">
        <v>0</v>
      </c>
      <c r="H22" s="419">
        <f t="shared" si="0"/>
        <v>10417453.200217886</v>
      </c>
      <c r="I22" s="420">
        <v>244308.18220588236</v>
      </c>
      <c r="J22" s="361">
        <f>'B) D RI'!U23</f>
        <v>225566.61726643931</v>
      </c>
      <c r="K22" s="62">
        <f t="shared" si="1"/>
        <v>42.640623437814021</v>
      </c>
      <c r="L22" s="33">
        <f>'B) D RI'!S23</f>
        <v>68</v>
      </c>
      <c r="M22" s="33">
        <f t="shared" si="2"/>
        <v>25.359376562185979</v>
      </c>
      <c r="N22" s="33">
        <f>'J) Plafonnement effort'!G21+'J) Plafonnement effort'!I21-'K) Plafonnement aide'!I21</f>
        <v>44.50327056141461</v>
      </c>
      <c r="O22" s="126">
        <f t="shared" si="3"/>
        <v>69.862647123600595</v>
      </c>
      <c r="P22" s="47">
        <f t="shared" si="4"/>
        <v>0</v>
      </c>
      <c r="Q22" s="55">
        <f t="shared" si="5"/>
        <v>0</v>
      </c>
      <c r="R22" s="146">
        <f t="shared" si="6"/>
        <v>69.862647123600595</v>
      </c>
      <c r="S22" s="126">
        <f t="shared" si="7"/>
        <v>1.8626471236005955</v>
      </c>
      <c r="T22" s="145">
        <f t="shared" si="8"/>
        <v>0</v>
      </c>
      <c r="V22" s="12"/>
    </row>
    <row r="23" spans="1:22" x14ac:dyDescent="0.25">
      <c r="A23" s="49">
        <f>'A) Base RI'!A24</f>
        <v>5423</v>
      </c>
      <c r="B23" s="357" t="str">
        <f>'A) Base RI'!B24</f>
        <v>Ballens</v>
      </c>
      <c r="C23" s="419">
        <v>335806.84638763225</v>
      </c>
      <c r="D23" s="419">
        <v>138976.58046150155</v>
      </c>
      <c r="E23" s="396">
        <v>0</v>
      </c>
      <c r="F23" s="396">
        <v>0</v>
      </c>
      <c r="G23" s="396">
        <v>0</v>
      </c>
      <c r="H23" s="419">
        <f t="shared" si="0"/>
        <v>474783.4268491338</v>
      </c>
      <c r="I23" s="420">
        <v>16828.247681159421</v>
      </c>
      <c r="J23" s="361">
        <f>'B) D RI'!U24</f>
        <v>13546.834391748147</v>
      </c>
      <c r="K23" s="62">
        <f t="shared" si="1"/>
        <v>28.213479849164099</v>
      </c>
      <c r="L23" s="33">
        <f>'B) D RI'!S24</f>
        <v>73</v>
      </c>
      <c r="M23" s="33">
        <f t="shared" si="2"/>
        <v>44.786520150835898</v>
      </c>
      <c r="N23" s="33">
        <f>'J) Plafonnement effort'!G22+'J) Plafonnement effort'!I22-'K) Plafonnement aide'!I22</f>
        <v>8.8965308238256444</v>
      </c>
      <c r="O23" s="126">
        <f t="shared" si="3"/>
        <v>53.683050974661541</v>
      </c>
      <c r="P23" s="47">
        <f t="shared" si="4"/>
        <v>0</v>
      </c>
      <c r="Q23" s="55">
        <f t="shared" si="5"/>
        <v>0</v>
      </c>
      <c r="R23" s="146">
        <f t="shared" si="6"/>
        <v>53.683050974661541</v>
      </c>
      <c r="S23" s="126">
        <f t="shared" si="7"/>
        <v>-19.316949025338459</v>
      </c>
      <c r="T23" s="145">
        <f t="shared" si="8"/>
        <v>0</v>
      </c>
      <c r="V23" s="12"/>
    </row>
    <row r="24" spans="1:22" x14ac:dyDescent="0.25">
      <c r="A24" s="49">
        <f>'A) Base RI'!A25</f>
        <v>5424</v>
      </c>
      <c r="B24" s="357" t="str">
        <f>'A) Base RI'!B25</f>
        <v>Berolle</v>
      </c>
      <c r="C24" s="419">
        <v>199018.47413455893</v>
      </c>
      <c r="D24" s="419">
        <v>135904.14504975994</v>
      </c>
      <c r="E24" s="396">
        <v>0</v>
      </c>
      <c r="F24" s="396">
        <v>0</v>
      </c>
      <c r="G24" s="396">
        <v>0</v>
      </c>
      <c r="H24" s="419">
        <f t="shared" si="0"/>
        <v>334922.61918431887</v>
      </c>
      <c r="I24" s="420">
        <v>11334.098571428574</v>
      </c>
      <c r="J24" s="361">
        <f>'B) D RI'!U25</f>
        <v>9307.5930888942275</v>
      </c>
      <c r="K24" s="62">
        <f t="shared" si="1"/>
        <v>29.550000564544632</v>
      </c>
      <c r="L24" s="33">
        <f>'B) D RI'!S25</f>
        <v>77</v>
      </c>
      <c r="M24" s="33">
        <f t="shared" si="2"/>
        <v>47.449999435455368</v>
      </c>
      <c r="N24" s="33">
        <f>'J) Plafonnement effort'!G23+'J) Plafonnement effort'!I23-'K) Plafonnement aide'!I23</f>
        <v>16.723329134804167</v>
      </c>
      <c r="O24" s="126">
        <f t="shared" si="3"/>
        <v>64.173328570259542</v>
      </c>
      <c r="P24" s="47">
        <f t="shared" si="4"/>
        <v>0</v>
      </c>
      <c r="Q24" s="55">
        <f t="shared" si="5"/>
        <v>0</v>
      </c>
      <c r="R24" s="146">
        <f t="shared" si="6"/>
        <v>64.173328570259542</v>
      </c>
      <c r="S24" s="126">
        <f t="shared" si="7"/>
        <v>-12.826671429740458</v>
      </c>
      <c r="T24" s="145">
        <f t="shared" si="8"/>
        <v>0</v>
      </c>
      <c r="V24" s="12"/>
    </row>
    <row r="25" spans="1:22" x14ac:dyDescent="0.25">
      <c r="A25" s="49">
        <f>'A) Base RI'!A26</f>
        <v>5425</v>
      </c>
      <c r="B25" s="357" t="str">
        <f>'A) Base RI'!B26</f>
        <v>Bière</v>
      </c>
      <c r="C25" s="419">
        <v>717890.92395219684</v>
      </c>
      <c r="D25" s="419">
        <v>-76584.76092835865</v>
      </c>
      <c r="E25" s="396">
        <v>0</v>
      </c>
      <c r="F25" s="396">
        <v>0</v>
      </c>
      <c r="G25" s="396">
        <v>0</v>
      </c>
      <c r="H25" s="419">
        <f t="shared" si="0"/>
        <v>641306.16302383819</v>
      </c>
      <c r="I25" s="420">
        <v>40579.487849898578</v>
      </c>
      <c r="J25" s="361">
        <f>'B) D RI'!U26</f>
        <v>38506.775780608448</v>
      </c>
      <c r="K25" s="62">
        <f t="shared" si="1"/>
        <v>15.803702732671157</v>
      </c>
      <c r="L25" s="33">
        <f>'B) D RI'!S26</f>
        <v>70</v>
      </c>
      <c r="M25" s="33">
        <f t="shared" si="2"/>
        <v>54.196297267328845</v>
      </c>
      <c r="N25" s="33">
        <f>'J) Plafonnement effort'!G24+'J) Plafonnement effort'!I24-'K) Plafonnement aide'!I24</f>
        <v>1.1010260446263338</v>
      </c>
      <c r="O25" s="126">
        <f t="shared" si="3"/>
        <v>55.297323311955182</v>
      </c>
      <c r="P25" s="47">
        <f t="shared" si="4"/>
        <v>0</v>
      </c>
      <c r="Q25" s="55">
        <f t="shared" si="5"/>
        <v>0</v>
      </c>
      <c r="R25" s="146">
        <f t="shared" si="6"/>
        <v>55.297323311955182</v>
      </c>
      <c r="S25" s="126">
        <f t="shared" si="7"/>
        <v>-14.702676688044818</v>
      </c>
      <c r="T25" s="145">
        <f t="shared" si="8"/>
        <v>0</v>
      </c>
      <c r="V25" s="12"/>
    </row>
    <row r="26" spans="1:22" x14ac:dyDescent="0.25">
      <c r="A26" s="49">
        <f>'A) Base RI'!A27</f>
        <v>5426</v>
      </c>
      <c r="B26" s="357" t="str">
        <f>'A) Base RI'!B27</f>
        <v>Bougy-Villars</v>
      </c>
      <c r="C26" s="419">
        <v>1785797.3225186598</v>
      </c>
      <c r="D26" s="419">
        <v>897603.24565412349</v>
      </c>
      <c r="E26" s="396">
        <v>0</v>
      </c>
      <c r="F26" s="396">
        <v>-530908.806809147</v>
      </c>
      <c r="G26" s="396">
        <v>0</v>
      </c>
      <c r="H26" s="419">
        <f t="shared" si="0"/>
        <v>2152491.7613636362</v>
      </c>
      <c r="I26" s="420">
        <v>47833.150252525251</v>
      </c>
      <c r="J26" s="361">
        <f>'B) D RI'!U27</f>
        <v>50656.587213056948</v>
      </c>
      <c r="K26" s="62">
        <f t="shared" si="1"/>
        <v>45</v>
      </c>
      <c r="L26" s="33">
        <f>'B) D RI'!S27</f>
        <v>66</v>
      </c>
      <c r="M26" s="33">
        <f t="shared" si="2"/>
        <v>21</v>
      </c>
      <c r="N26" s="33">
        <f>'J) Plafonnement effort'!G25+'J) Plafonnement effort'!I25-'K) Plafonnement aide'!I25</f>
        <v>70.571481872455962</v>
      </c>
      <c r="O26" s="126">
        <f t="shared" si="3"/>
        <v>91.571481872455962</v>
      </c>
      <c r="P26" s="47">
        <f t="shared" si="4"/>
        <v>0</v>
      </c>
      <c r="Q26" s="55">
        <f t="shared" si="5"/>
        <v>0</v>
      </c>
      <c r="R26" s="146">
        <f t="shared" si="6"/>
        <v>91.571481872455962</v>
      </c>
      <c r="S26" s="126">
        <f t="shared" si="7"/>
        <v>25.571481872455962</v>
      </c>
      <c r="T26" s="145">
        <f t="shared" si="8"/>
        <v>0</v>
      </c>
      <c r="V26" s="12"/>
    </row>
    <row r="27" spans="1:22" x14ac:dyDescent="0.25">
      <c r="A27" s="49">
        <f>'A) Base RI'!A28</f>
        <v>5427</v>
      </c>
      <c r="B27" s="357" t="str">
        <f>'A) Base RI'!B28</f>
        <v>Féchy</v>
      </c>
      <c r="C27" s="419">
        <v>2308867.4121355424</v>
      </c>
      <c r="D27" s="419">
        <v>1476623.4938480882</v>
      </c>
      <c r="E27" s="396">
        <v>0</v>
      </c>
      <c r="F27" s="396">
        <v>-216595.63561103464</v>
      </c>
      <c r="G27" s="396">
        <v>0</v>
      </c>
      <c r="H27" s="419">
        <f t="shared" si="0"/>
        <v>3568895.2703725961</v>
      </c>
      <c r="I27" s="420">
        <v>79308.783786057698</v>
      </c>
      <c r="J27" s="361">
        <f>'B) D RI'!U28</f>
        <v>72785.387066428128</v>
      </c>
      <c r="K27" s="62">
        <f t="shared" si="1"/>
        <v>44.999999999999993</v>
      </c>
      <c r="L27" s="33">
        <f>'B) D RI'!S28</f>
        <v>64</v>
      </c>
      <c r="M27" s="33">
        <f t="shared" si="2"/>
        <v>19.000000000000007</v>
      </c>
      <c r="N27" s="33">
        <f>'J) Plafonnement effort'!G26+'J) Plafonnement effort'!I26-'K) Plafonnement aide'!I26</f>
        <v>46.84257129632752</v>
      </c>
      <c r="O27" s="126">
        <f t="shared" si="3"/>
        <v>65.84257129632752</v>
      </c>
      <c r="P27" s="47">
        <f t="shared" si="4"/>
        <v>0</v>
      </c>
      <c r="Q27" s="55">
        <f t="shared" si="5"/>
        <v>0</v>
      </c>
      <c r="R27" s="146">
        <f t="shared" si="6"/>
        <v>65.84257129632752</v>
      </c>
      <c r="S27" s="126">
        <f t="shared" si="7"/>
        <v>1.8425712963275203</v>
      </c>
      <c r="T27" s="145">
        <f t="shared" si="8"/>
        <v>0</v>
      </c>
      <c r="V27" s="12"/>
    </row>
    <row r="28" spans="1:22" x14ac:dyDescent="0.25">
      <c r="A28" s="49">
        <f>'A) Base RI'!A29</f>
        <v>5428</v>
      </c>
      <c r="B28" s="357" t="str">
        <f>'A) Base RI'!B29</f>
        <v>Gimel</v>
      </c>
      <c r="C28" s="419">
        <v>1395752.4673956931</v>
      </c>
      <c r="D28" s="419">
        <v>161524.87549947225</v>
      </c>
      <c r="E28" s="396">
        <v>0</v>
      </c>
      <c r="F28" s="396">
        <v>0</v>
      </c>
      <c r="G28" s="396">
        <v>0</v>
      </c>
      <c r="H28" s="419">
        <f t="shared" si="0"/>
        <v>1557277.3428951653</v>
      </c>
      <c r="I28" s="420">
        <v>61728.526853146868</v>
      </c>
      <c r="J28" s="361">
        <f>'B) D RI'!U29</f>
        <v>58910.135180018216</v>
      </c>
      <c r="K28" s="62">
        <f t="shared" si="1"/>
        <v>25.227839092935952</v>
      </c>
      <c r="L28" s="33">
        <f>'B) D RI'!S29</f>
        <v>71.5</v>
      </c>
      <c r="M28" s="33">
        <f t="shared" si="2"/>
        <v>46.272160907064048</v>
      </c>
      <c r="N28" s="33">
        <f>'J) Plafonnement effort'!G27+'J) Plafonnement effort'!I27-'K) Plafonnement aide'!I27</f>
        <v>15.930670954983935</v>
      </c>
      <c r="O28" s="126">
        <f t="shared" si="3"/>
        <v>62.202831862047987</v>
      </c>
      <c r="P28" s="47">
        <f t="shared" si="4"/>
        <v>0</v>
      </c>
      <c r="Q28" s="55">
        <f t="shared" si="5"/>
        <v>0</v>
      </c>
      <c r="R28" s="146">
        <f t="shared" si="6"/>
        <v>62.202831862047987</v>
      </c>
      <c r="S28" s="126">
        <f t="shared" si="7"/>
        <v>-9.2971681379520135</v>
      </c>
      <c r="T28" s="145">
        <f t="shared" si="8"/>
        <v>0</v>
      </c>
      <c r="V28" s="12"/>
    </row>
    <row r="29" spans="1:22" x14ac:dyDescent="0.25">
      <c r="A29" s="49">
        <f>'A) Base RI'!A30</f>
        <v>5429</v>
      </c>
      <c r="B29" s="357" t="str">
        <f>'A) Base RI'!B30</f>
        <v>Longirod</v>
      </c>
      <c r="C29" s="419">
        <v>277231.17984570767</v>
      </c>
      <c r="D29" s="419">
        <v>77348.620483825885</v>
      </c>
      <c r="E29" s="396">
        <v>0</v>
      </c>
      <c r="F29" s="396">
        <v>0</v>
      </c>
      <c r="G29" s="396">
        <v>0</v>
      </c>
      <c r="H29" s="419">
        <f t="shared" si="0"/>
        <v>354579.80032953352</v>
      </c>
      <c r="I29" s="420">
        <v>14939.782716049382</v>
      </c>
      <c r="J29" s="361">
        <f>'B) D RI'!U30</f>
        <v>13766.784256066006</v>
      </c>
      <c r="K29" s="62">
        <f t="shared" si="1"/>
        <v>23.733932887030452</v>
      </c>
      <c r="L29" s="33">
        <f>'B) D RI'!S30</f>
        <v>81</v>
      </c>
      <c r="M29" s="33">
        <f t="shared" si="2"/>
        <v>57.266067112969552</v>
      </c>
      <c r="N29" s="33">
        <f>'J) Plafonnement effort'!G28+'J) Plafonnement effort'!I28-'K) Plafonnement aide'!I28</f>
        <v>9.7155701408846351</v>
      </c>
      <c r="O29" s="126">
        <f t="shared" si="3"/>
        <v>66.981637253854188</v>
      </c>
      <c r="P29" s="47">
        <f t="shared" si="4"/>
        <v>0</v>
      </c>
      <c r="Q29" s="55">
        <f t="shared" si="5"/>
        <v>0</v>
      </c>
      <c r="R29" s="146">
        <f t="shared" si="6"/>
        <v>66.981637253854188</v>
      </c>
      <c r="S29" s="126">
        <f t="shared" si="7"/>
        <v>-14.018362746145812</v>
      </c>
      <c r="T29" s="145">
        <f t="shared" si="8"/>
        <v>0</v>
      </c>
      <c r="V29" s="12"/>
    </row>
    <row r="30" spans="1:22" x14ac:dyDescent="0.25">
      <c r="A30" s="49">
        <f>'A) Base RI'!A31</f>
        <v>5430</v>
      </c>
      <c r="B30" s="357" t="str">
        <f>'A) Base RI'!B31</f>
        <v>Marchissy</v>
      </c>
      <c r="C30" s="419">
        <v>266851.32569194498</v>
      </c>
      <c r="D30" s="419">
        <v>43310.691440965689</v>
      </c>
      <c r="E30" s="396">
        <v>0</v>
      </c>
      <c r="F30" s="396">
        <v>0</v>
      </c>
      <c r="G30" s="396">
        <v>0</v>
      </c>
      <c r="H30" s="419">
        <f t="shared" si="0"/>
        <v>310162.01713291067</v>
      </c>
      <c r="I30" s="420">
        <v>13613.731392405061</v>
      </c>
      <c r="J30" s="361">
        <f>'B) D RI'!U31</f>
        <v>13685.946067131534</v>
      </c>
      <c r="K30" s="62">
        <f t="shared" si="1"/>
        <v>22.783027532476979</v>
      </c>
      <c r="L30" s="33">
        <f>'B) D RI'!S31</f>
        <v>79</v>
      </c>
      <c r="M30" s="33">
        <f t="shared" si="2"/>
        <v>56.216972467523021</v>
      </c>
      <c r="N30" s="33">
        <f>'J) Plafonnement effort'!G29+'J) Plafonnement effort'!I29-'K) Plafonnement aide'!I29</f>
        <v>15.365098985703021</v>
      </c>
      <c r="O30" s="126">
        <f t="shared" si="3"/>
        <v>71.582071453226035</v>
      </c>
      <c r="P30" s="47">
        <f t="shared" si="4"/>
        <v>0</v>
      </c>
      <c r="Q30" s="55">
        <f t="shared" si="5"/>
        <v>0</v>
      </c>
      <c r="R30" s="146">
        <f t="shared" si="6"/>
        <v>71.582071453226035</v>
      </c>
      <c r="S30" s="126">
        <f t="shared" si="7"/>
        <v>-7.4179285467739646</v>
      </c>
      <c r="T30" s="145">
        <f t="shared" si="8"/>
        <v>0</v>
      </c>
      <c r="V30" s="12"/>
    </row>
    <row r="31" spans="1:22" x14ac:dyDescent="0.25">
      <c r="A31" s="49">
        <f>'A) Base RI'!A32</f>
        <v>5431</v>
      </c>
      <c r="B31" s="357" t="str">
        <f>'A) Base RI'!B32</f>
        <v>Mollens</v>
      </c>
      <c r="C31" s="419">
        <v>156068.84000146328</v>
      </c>
      <c r="D31" s="419">
        <v>41336.469007001433</v>
      </c>
      <c r="E31" s="396">
        <v>0</v>
      </c>
      <c r="F31" s="396">
        <v>0</v>
      </c>
      <c r="G31" s="396">
        <v>0</v>
      </c>
      <c r="H31" s="419">
        <f t="shared" si="0"/>
        <v>197405.30900846471</v>
      </c>
      <c r="I31" s="420">
        <v>8973.9812162162179</v>
      </c>
      <c r="J31" s="361">
        <f>'B) D RI'!U32</f>
        <v>8631.0396252458468</v>
      </c>
      <c r="K31" s="62">
        <f t="shared" si="1"/>
        <v>21.99751751783792</v>
      </c>
      <c r="L31" s="33">
        <f>'B) D RI'!S32</f>
        <v>74</v>
      </c>
      <c r="M31" s="33">
        <f t="shared" si="2"/>
        <v>52.00248248216208</v>
      </c>
      <c r="N31" s="33">
        <f>'J) Plafonnement effort'!G30+'J) Plafonnement effort'!I30-'K) Plafonnement aide'!I30</f>
        <v>20.474998651259661</v>
      </c>
      <c r="O31" s="126">
        <f t="shared" si="3"/>
        <v>72.477481133421747</v>
      </c>
      <c r="P31" s="47">
        <f t="shared" si="4"/>
        <v>0</v>
      </c>
      <c r="Q31" s="55">
        <f t="shared" si="5"/>
        <v>0</v>
      </c>
      <c r="R31" s="146">
        <f t="shared" si="6"/>
        <v>72.477481133421747</v>
      </c>
      <c r="S31" s="126">
        <f t="shared" si="7"/>
        <v>-1.5225188665782525</v>
      </c>
      <c r="T31" s="145">
        <f t="shared" si="8"/>
        <v>0</v>
      </c>
      <c r="V31" s="12"/>
    </row>
    <row r="32" spans="1:22" x14ac:dyDescent="0.25">
      <c r="A32" s="49">
        <f>'A) Base RI'!A33</f>
        <v>5432</v>
      </c>
      <c r="B32" s="357" t="str">
        <f>'A) Base RI'!B33</f>
        <v>Montherod</v>
      </c>
      <c r="C32" s="419">
        <v>342329.80258299096</v>
      </c>
      <c r="D32" s="419">
        <v>140406.4294611584</v>
      </c>
      <c r="E32" s="396">
        <v>0</v>
      </c>
      <c r="F32" s="396">
        <v>0</v>
      </c>
      <c r="G32" s="396">
        <v>0</v>
      </c>
      <c r="H32" s="419">
        <f t="shared" si="0"/>
        <v>482736.23204414936</v>
      </c>
      <c r="I32" s="420">
        <v>17887.262179487177</v>
      </c>
      <c r="J32" s="361">
        <f>'B) D RI'!U33</f>
        <v>18119.784125682436</v>
      </c>
      <c r="K32" s="62">
        <f t="shared" si="1"/>
        <v>26.98770930957469</v>
      </c>
      <c r="L32" s="33">
        <f>'B) D RI'!S33</f>
        <v>78</v>
      </c>
      <c r="M32" s="33">
        <f t="shared" si="2"/>
        <v>51.01229069042531</v>
      </c>
      <c r="N32" s="33">
        <f>'J) Plafonnement effort'!G31+'J) Plafonnement effort'!I31-'K) Plafonnement aide'!I31</f>
        <v>24.260029053331298</v>
      </c>
      <c r="O32" s="126">
        <f t="shared" si="3"/>
        <v>75.272319743756611</v>
      </c>
      <c r="P32" s="47">
        <f t="shared" si="4"/>
        <v>0</v>
      </c>
      <c r="Q32" s="55">
        <f t="shared" si="5"/>
        <v>0</v>
      </c>
      <c r="R32" s="146">
        <f t="shared" si="6"/>
        <v>75.272319743756611</v>
      </c>
      <c r="S32" s="126">
        <f t="shared" si="7"/>
        <v>-2.7276802562433886</v>
      </c>
      <c r="T32" s="145">
        <f t="shared" si="8"/>
        <v>0</v>
      </c>
      <c r="V32" s="12"/>
    </row>
    <row r="33" spans="1:22" x14ac:dyDescent="0.25">
      <c r="A33" s="49">
        <f>'A) Base RI'!A34</f>
        <v>5434</v>
      </c>
      <c r="B33" s="357" t="str">
        <f>'A) Base RI'!B34</f>
        <v>Saint-George</v>
      </c>
      <c r="C33" s="419">
        <v>810705.39238630771</v>
      </c>
      <c r="D33" s="419">
        <v>418507.69918393821</v>
      </c>
      <c r="E33" s="396">
        <v>0</v>
      </c>
      <c r="F33" s="396">
        <v>0</v>
      </c>
      <c r="G33" s="396">
        <v>0</v>
      </c>
      <c r="H33" s="419">
        <f t="shared" si="0"/>
        <v>1229213.091570246</v>
      </c>
      <c r="I33" s="420">
        <v>37133.404507042258</v>
      </c>
      <c r="J33" s="361">
        <f>'B) D RI'!U34</f>
        <v>36673.941124861783</v>
      </c>
      <c r="K33" s="62">
        <f t="shared" si="1"/>
        <v>33.102623039509581</v>
      </c>
      <c r="L33" s="33">
        <f>'B) D RI'!S34</f>
        <v>71</v>
      </c>
      <c r="M33" s="33">
        <f t="shared" si="2"/>
        <v>37.897376960490419</v>
      </c>
      <c r="N33" s="33">
        <f>'J) Plafonnement effort'!G32+'J) Plafonnement effort'!I32-'K) Plafonnement aide'!I32</f>
        <v>28.594617870278643</v>
      </c>
      <c r="O33" s="126">
        <f t="shared" si="3"/>
        <v>66.491994830769059</v>
      </c>
      <c r="P33" s="47">
        <f t="shared" si="4"/>
        <v>0</v>
      </c>
      <c r="Q33" s="55">
        <f t="shared" si="5"/>
        <v>0</v>
      </c>
      <c r="R33" s="146">
        <f t="shared" si="6"/>
        <v>66.491994830769059</v>
      </c>
      <c r="S33" s="126">
        <f t="shared" si="7"/>
        <v>-4.5080051692309411</v>
      </c>
      <c r="T33" s="145">
        <f t="shared" si="8"/>
        <v>0</v>
      </c>
      <c r="V33" s="12"/>
    </row>
    <row r="34" spans="1:22" x14ac:dyDescent="0.25">
      <c r="A34" s="49">
        <f>'A) Base RI'!A35</f>
        <v>5435</v>
      </c>
      <c r="B34" s="357" t="str">
        <f>'A) Base RI'!B35</f>
        <v>Saint-Livres</v>
      </c>
      <c r="C34" s="419">
        <v>408900.86859545729</v>
      </c>
      <c r="D34" s="419">
        <v>329344.63311408029</v>
      </c>
      <c r="E34" s="396">
        <v>0</v>
      </c>
      <c r="F34" s="396">
        <v>0</v>
      </c>
      <c r="G34" s="396">
        <v>0</v>
      </c>
      <c r="H34" s="419">
        <f t="shared" si="0"/>
        <v>738245.50170953758</v>
      </c>
      <c r="I34" s="420">
        <v>25639.681014492751</v>
      </c>
      <c r="J34" s="361">
        <f>'B) D RI'!U35</f>
        <v>24134.317552979472</v>
      </c>
      <c r="K34" s="62">
        <f t="shared" si="1"/>
        <v>28.793084488541279</v>
      </c>
      <c r="L34" s="33">
        <f>'B) D RI'!S35</f>
        <v>69</v>
      </c>
      <c r="M34" s="33">
        <f t="shared" si="2"/>
        <v>40.206915511458718</v>
      </c>
      <c r="N34" s="33">
        <f>'J) Plafonnement effort'!G33+'J) Plafonnement effort'!I33-'K) Plafonnement aide'!I33</f>
        <v>27.44959323647366</v>
      </c>
      <c r="O34" s="126">
        <f t="shared" si="3"/>
        <v>67.656508747932378</v>
      </c>
      <c r="P34" s="47">
        <f t="shared" si="4"/>
        <v>0</v>
      </c>
      <c r="Q34" s="55">
        <f t="shared" si="5"/>
        <v>0</v>
      </c>
      <c r="R34" s="146">
        <f t="shared" si="6"/>
        <v>67.656508747932378</v>
      </c>
      <c r="S34" s="126">
        <f t="shared" si="7"/>
        <v>-1.3434912520676221</v>
      </c>
      <c r="T34" s="145">
        <f t="shared" si="8"/>
        <v>0</v>
      </c>
      <c r="V34" s="12"/>
    </row>
    <row r="35" spans="1:22" x14ac:dyDescent="0.25">
      <c r="A35" s="49">
        <f>'A) Base RI'!A36</f>
        <v>5436</v>
      </c>
      <c r="B35" s="357" t="str">
        <f>'A) Base RI'!B36</f>
        <v>Saint-Oyens</v>
      </c>
      <c r="C35" s="419">
        <v>264974.57832952251</v>
      </c>
      <c r="D35" s="419">
        <v>45039.635059031803</v>
      </c>
      <c r="E35" s="396">
        <v>0</v>
      </c>
      <c r="F35" s="396">
        <v>0</v>
      </c>
      <c r="G35" s="396">
        <v>0</v>
      </c>
      <c r="H35" s="419">
        <f t="shared" si="0"/>
        <v>310014.21338855429</v>
      </c>
      <c r="I35" s="420">
        <v>11326.600185185187</v>
      </c>
      <c r="J35" s="361">
        <f>'B) D RI'!U36</f>
        <v>15081.317332619743</v>
      </c>
      <c r="K35" s="62">
        <f t="shared" si="1"/>
        <v>27.37045612275098</v>
      </c>
      <c r="L35" s="33">
        <f>'B) D RI'!S36</f>
        <v>81</v>
      </c>
      <c r="M35" s="33">
        <f t="shared" si="2"/>
        <v>53.62954387724902</v>
      </c>
      <c r="N35" s="33">
        <f>'J) Plafonnement effort'!G34+'J) Plafonnement effort'!I34-'K) Plafonnement aide'!I34</f>
        <v>18.321430339212505</v>
      </c>
      <c r="O35" s="126">
        <f t="shared" si="3"/>
        <v>71.950974216461532</v>
      </c>
      <c r="P35" s="47">
        <f t="shared" si="4"/>
        <v>0</v>
      </c>
      <c r="Q35" s="55">
        <f t="shared" si="5"/>
        <v>0</v>
      </c>
      <c r="R35" s="146">
        <f t="shared" si="6"/>
        <v>71.950974216461532</v>
      </c>
      <c r="S35" s="126">
        <f t="shared" si="7"/>
        <v>-9.0490257835384682</v>
      </c>
      <c r="T35" s="145">
        <f t="shared" si="8"/>
        <v>0</v>
      </c>
      <c r="V35" s="12"/>
    </row>
    <row r="36" spans="1:22" x14ac:dyDescent="0.25">
      <c r="A36" s="49">
        <f>'A) Base RI'!A37</f>
        <v>5437</v>
      </c>
      <c r="B36" s="357" t="str">
        <f>'A) Base RI'!B37</f>
        <v>Saubraz</v>
      </c>
      <c r="C36" s="419">
        <v>178704.08728703755</v>
      </c>
      <c r="D36" s="419">
        <v>-84747.052622707793</v>
      </c>
      <c r="E36" s="396">
        <v>0</v>
      </c>
      <c r="F36" s="396">
        <v>0</v>
      </c>
      <c r="G36" s="396">
        <v>0</v>
      </c>
      <c r="H36" s="419">
        <f t="shared" si="0"/>
        <v>93957.034664329753</v>
      </c>
      <c r="I36" s="420">
        <v>9913.9082500000004</v>
      </c>
      <c r="J36" s="361">
        <f>'B) D RI'!U37</f>
        <v>11367.539443741156</v>
      </c>
      <c r="K36" s="62">
        <f t="shared" si="1"/>
        <v>9.4772951589833152</v>
      </c>
      <c r="L36" s="33">
        <f>'B) D RI'!S37</f>
        <v>80</v>
      </c>
      <c r="M36" s="33">
        <f t="shared" si="2"/>
        <v>70.52270484101669</v>
      </c>
      <c r="N36" s="33">
        <f>'J) Plafonnement effort'!G35+'J) Plafonnement effort'!I35-'K) Plafonnement aide'!I35</f>
        <v>14.497753800035191</v>
      </c>
      <c r="O36" s="126">
        <f>M36+N36</f>
        <v>85.020458641051874</v>
      </c>
      <c r="P36" s="47">
        <f t="shared" si="4"/>
        <v>0</v>
      </c>
      <c r="Q36" s="55">
        <f t="shared" si="5"/>
        <v>0</v>
      </c>
      <c r="R36" s="146">
        <f t="shared" si="6"/>
        <v>85.020458641051874</v>
      </c>
      <c r="S36" s="126">
        <f t="shared" si="7"/>
        <v>5.0204586410518743</v>
      </c>
      <c r="T36" s="145">
        <f t="shared" si="8"/>
        <v>0</v>
      </c>
      <c r="V36" s="12"/>
    </row>
    <row r="37" spans="1:22" x14ac:dyDescent="0.25">
      <c r="A37" s="49">
        <f>'A) Base RI'!A38</f>
        <v>5451</v>
      </c>
      <c r="B37" s="357" t="str">
        <f>'A) Base RI'!B38</f>
        <v>Avenches</v>
      </c>
      <c r="C37" s="419">
        <v>1960522.3403253183</v>
      </c>
      <c r="D37" s="419">
        <v>-1246429.8479932167</v>
      </c>
      <c r="E37" s="396">
        <v>0</v>
      </c>
      <c r="F37" s="396">
        <v>0</v>
      </c>
      <c r="G37" s="396">
        <v>0</v>
      </c>
      <c r="H37" s="419">
        <f t="shared" si="0"/>
        <v>714092.49233210157</v>
      </c>
      <c r="I37" s="420">
        <v>95537.476225490187</v>
      </c>
      <c r="J37" s="361">
        <f>'B) D RI'!U38</f>
        <v>129470.05703979287</v>
      </c>
      <c r="K37" s="62">
        <f t="shared" si="1"/>
        <v>7.4744751540922092</v>
      </c>
      <c r="L37" s="33">
        <f>'B) D RI'!S38</f>
        <v>68</v>
      </c>
      <c r="M37" s="33">
        <f t="shared" si="2"/>
        <v>60.525524845907789</v>
      </c>
      <c r="N37" s="33">
        <f>'J) Plafonnement effort'!G36+'J) Plafonnement effort'!I36-'K) Plafonnement aide'!I36</f>
        <v>10.025070673177407</v>
      </c>
      <c r="O37" s="126">
        <f t="shared" si="3"/>
        <v>70.550595519085192</v>
      </c>
      <c r="P37" s="47">
        <f t="shared" si="4"/>
        <v>0</v>
      </c>
      <c r="Q37" s="55">
        <f t="shared" si="5"/>
        <v>0</v>
      </c>
      <c r="R37" s="146">
        <f t="shared" si="6"/>
        <v>70.550595519085192</v>
      </c>
      <c r="S37" s="126">
        <f t="shared" si="7"/>
        <v>2.5505955190851921</v>
      </c>
      <c r="T37" s="145">
        <f t="shared" si="8"/>
        <v>0</v>
      </c>
      <c r="V37" s="12"/>
    </row>
    <row r="38" spans="1:22" x14ac:dyDescent="0.25">
      <c r="A38" s="49">
        <f>'A) Base RI'!A39</f>
        <v>5456</v>
      </c>
      <c r="B38" s="357" t="str">
        <f>'A) Base RI'!B39</f>
        <v>Cudrefin</v>
      </c>
      <c r="C38" s="419">
        <v>1051967.5679419441</v>
      </c>
      <c r="D38" s="419">
        <v>530686.97544716264</v>
      </c>
      <c r="E38" s="396">
        <v>0</v>
      </c>
      <c r="F38" s="396">
        <v>0</v>
      </c>
      <c r="G38" s="396">
        <v>0</v>
      </c>
      <c r="H38" s="419">
        <f t="shared" si="0"/>
        <v>1582654.5433891066</v>
      </c>
      <c r="I38" s="420">
        <v>54725.941638418088</v>
      </c>
      <c r="J38" s="361">
        <f>'B) D RI'!U39</f>
        <v>57775.409957876167</v>
      </c>
      <c r="K38" s="62">
        <f t="shared" si="1"/>
        <v>28.91964022923398</v>
      </c>
      <c r="L38" s="33">
        <f>'B) D RI'!S39</f>
        <v>59</v>
      </c>
      <c r="M38" s="33">
        <f t="shared" si="2"/>
        <v>30.08035977076602</v>
      </c>
      <c r="N38" s="33">
        <f>'J) Plafonnement effort'!G37+'J) Plafonnement effort'!I37-'K) Plafonnement aide'!I37</f>
        <v>25.26150702364507</v>
      </c>
      <c r="O38" s="126">
        <f t="shared" si="3"/>
        <v>55.341866794411089</v>
      </c>
      <c r="P38" s="47">
        <f t="shared" si="4"/>
        <v>0</v>
      </c>
      <c r="Q38" s="55">
        <f t="shared" si="5"/>
        <v>0</v>
      </c>
      <c r="R38" s="146">
        <f t="shared" si="6"/>
        <v>55.341866794411089</v>
      </c>
      <c r="S38" s="126">
        <f t="shared" si="7"/>
        <v>-3.6581332055889106</v>
      </c>
      <c r="T38" s="145">
        <f t="shared" si="8"/>
        <v>0</v>
      </c>
      <c r="V38" s="12"/>
    </row>
    <row r="39" spans="1:22" x14ac:dyDescent="0.25">
      <c r="A39" s="49">
        <f>'A) Base RI'!A40</f>
        <v>5458</v>
      </c>
      <c r="B39" s="357" t="str">
        <f>'A) Base RI'!B40</f>
        <v>Faoug</v>
      </c>
      <c r="C39" s="419">
        <v>675667.18368759542</v>
      </c>
      <c r="D39" s="419">
        <v>488150.13346520677</v>
      </c>
      <c r="E39" s="396">
        <v>0</v>
      </c>
      <c r="F39" s="396">
        <v>0</v>
      </c>
      <c r="G39" s="396">
        <v>0</v>
      </c>
      <c r="H39" s="419">
        <f t="shared" si="0"/>
        <v>1163817.3171528021</v>
      </c>
      <c r="I39" s="420">
        <v>34607.593906250004</v>
      </c>
      <c r="J39" s="361">
        <f>'B) D RI'!U40</f>
        <v>30027.038437033407</v>
      </c>
      <c r="K39" s="62">
        <f t="shared" si="1"/>
        <v>33.62895786125776</v>
      </c>
      <c r="L39" s="33">
        <f>'B) D RI'!S40</f>
        <v>64</v>
      </c>
      <c r="M39" s="33">
        <f t="shared" si="2"/>
        <v>30.37104213874224</v>
      </c>
      <c r="N39" s="33">
        <f>'J) Plafonnement effort'!G38+'J) Plafonnement effort'!I38-'K) Plafonnement aide'!I38</f>
        <v>27.172977777871623</v>
      </c>
      <c r="O39" s="126">
        <f t="shared" si="3"/>
        <v>57.544019916613863</v>
      </c>
      <c r="P39" s="47">
        <f t="shared" si="4"/>
        <v>0</v>
      </c>
      <c r="Q39" s="55">
        <f t="shared" si="5"/>
        <v>0</v>
      </c>
      <c r="R39" s="146">
        <f t="shared" si="6"/>
        <v>57.544019916613863</v>
      </c>
      <c r="S39" s="126">
        <f t="shared" si="7"/>
        <v>-6.4559800833861374</v>
      </c>
      <c r="T39" s="145">
        <f t="shared" si="8"/>
        <v>0</v>
      </c>
      <c r="V39" s="12"/>
    </row>
    <row r="40" spans="1:22" x14ac:dyDescent="0.25">
      <c r="A40" s="49">
        <f>'A) Base RI'!A41</f>
        <v>5464</v>
      </c>
      <c r="B40" s="357" t="str">
        <f>'A) Base RI'!B41</f>
        <v>Vully-les-Lacs</v>
      </c>
      <c r="C40" s="419">
        <v>1858423.0044700846</v>
      </c>
      <c r="D40" s="419">
        <v>396595.0971990223</v>
      </c>
      <c r="E40" s="396">
        <v>0</v>
      </c>
      <c r="F40" s="396">
        <v>0</v>
      </c>
      <c r="G40" s="396">
        <v>0</v>
      </c>
      <c r="H40" s="419">
        <f t="shared" si="0"/>
        <v>2255018.1016691066</v>
      </c>
      <c r="I40" s="420">
        <v>98727.295671641783</v>
      </c>
      <c r="J40" s="361">
        <f>'B) D RI'!U41</f>
        <v>103697.32714902573</v>
      </c>
      <c r="K40" s="62">
        <f t="shared" si="1"/>
        <v>22.840877857822587</v>
      </c>
      <c r="L40" s="33">
        <f>'B) D RI'!S41</f>
        <v>67</v>
      </c>
      <c r="M40" s="33">
        <f t="shared" si="2"/>
        <v>44.159122142177409</v>
      </c>
      <c r="N40" s="33">
        <f>'J) Plafonnement effort'!G39+'J) Plafonnement effort'!I39-'K) Plafonnement aide'!I39</f>
        <v>18.298307124794846</v>
      </c>
      <c r="O40" s="126">
        <f t="shared" si="3"/>
        <v>62.457429266972255</v>
      </c>
      <c r="P40" s="47">
        <f t="shared" si="4"/>
        <v>0</v>
      </c>
      <c r="Q40" s="55">
        <f t="shared" si="5"/>
        <v>0</v>
      </c>
      <c r="R40" s="146">
        <f t="shared" si="6"/>
        <v>62.457429266972255</v>
      </c>
      <c r="S40" s="126">
        <f t="shared" si="7"/>
        <v>-4.5425707330277447</v>
      </c>
      <c r="T40" s="145">
        <f t="shared" si="8"/>
        <v>0</v>
      </c>
      <c r="V40" s="12"/>
    </row>
    <row r="41" spans="1:22" x14ac:dyDescent="0.25">
      <c r="A41" s="49">
        <f>'A) Base RI'!A42</f>
        <v>5471</v>
      </c>
      <c r="B41" s="357" t="str">
        <f>'A) Base RI'!B42</f>
        <v>Bettens</v>
      </c>
      <c r="C41" s="419">
        <v>409407.08578839659</v>
      </c>
      <c r="D41" s="419">
        <v>179430.9702132027</v>
      </c>
      <c r="E41" s="396">
        <v>0</v>
      </c>
      <c r="F41" s="396">
        <v>0</v>
      </c>
      <c r="G41" s="396">
        <v>0</v>
      </c>
      <c r="H41" s="419">
        <f t="shared" si="0"/>
        <v>588838.0560015993</v>
      </c>
      <c r="I41" s="420">
        <v>19145.941571428568</v>
      </c>
      <c r="J41" s="361">
        <f>'B) D RI'!U42</f>
        <v>18256.794083184803</v>
      </c>
      <c r="K41" s="62">
        <f t="shared" si="1"/>
        <v>30.755241459648065</v>
      </c>
      <c r="L41" s="33">
        <f>'B) D RI'!S42</f>
        <v>70</v>
      </c>
      <c r="M41" s="33">
        <f t="shared" si="2"/>
        <v>39.244758540351938</v>
      </c>
      <c r="N41" s="33">
        <f>'J) Plafonnement effort'!G40+'J) Plafonnement effort'!I40-'K) Plafonnement aide'!I40</f>
        <v>22.689773812682162</v>
      </c>
      <c r="O41" s="126">
        <f t="shared" si="3"/>
        <v>61.934532353034101</v>
      </c>
      <c r="P41" s="47">
        <f t="shared" si="4"/>
        <v>0</v>
      </c>
      <c r="Q41" s="55">
        <f t="shared" si="5"/>
        <v>0</v>
      </c>
      <c r="R41" s="146">
        <f t="shared" si="6"/>
        <v>61.934532353034101</v>
      </c>
      <c r="S41" s="126">
        <f t="shared" si="7"/>
        <v>-8.0654676469658995</v>
      </c>
      <c r="T41" s="145">
        <f t="shared" si="8"/>
        <v>0</v>
      </c>
      <c r="V41" s="12"/>
    </row>
    <row r="42" spans="1:22" x14ac:dyDescent="0.25">
      <c r="A42" s="49">
        <f>'A) Base RI'!A43</f>
        <v>5472</v>
      </c>
      <c r="B42" s="357" t="str">
        <f>'A) Base RI'!B43</f>
        <v>Bournens</v>
      </c>
      <c r="C42" s="419">
        <v>258360.25433487468</v>
      </c>
      <c r="D42" s="419">
        <v>137417.41991360459</v>
      </c>
      <c r="E42" s="396">
        <v>0</v>
      </c>
      <c r="F42" s="396">
        <v>0</v>
      </c>
      <c r="G42" s="396">
        <v>0</v>
      </c>
      <c r="H42" s="419">
        <f t="shared" si="0"/>
        <v>395777.67424847931</v>
      </c>
      <c r="I42" s="420">
        <v>14770.012375000002</v>
      </c>
      <c r="J42" s="361">
        <f>'B) D RI'!U43</f>
        <v>16446.057551579073</v>
      </c>
      <c r="K42" s="62">
        <f t="shared" si="1"/>
        <v>26.796028615275905</v>
      </c>
      <c r="L42" s="33">
        <f>'B) D RI'!S43</f>
        <v>76</v>
      </c>
      <c r="M42" s="33">
        <f t="shared" si="2"/>
        <v>49.203971384724099</v>
      </c>
      <c r="N42" s="33">
        <f>'J) Plafonnement effort'!G41+'J) Plafonnement effort'!I41-'K) Plafonnement aide'!I41</f>
        <v>30.061086835371189</v>
      </c>
      <c r="O42" s="126">
        <f t="shared" si="3"/>
        <v>79.265058220095284</v>
      </c>
      <c r="P42" s="47">
        <f t="shared" si="4"/>
        <v>0</v>
      </c>
      <c r="Q42" s="55">
        <f t="shared" si="5"/>
        <v>0</v>
      </c>
      <c r="R42" s="146">
        <f t="shared" si="6"/>
        <v>79.265058220095284</v>
      </c>
      <c r="S42" s="126">
        <f t="shared" si="7"/>
        <v>3.265058220095284</v>
      </c>
      <c r="T42" s="145">
        <f t="shared" si="8"/>
        <v>0</v>
      </c>
      <c r="V42" s="12"/>
    </row>
    <row r="43" spans="1:22" x14ac:dyDescent="0.25">
      <c r="A43" s="49">
        <f>'A) Base RI'!A44</f>
        <v>5473</v>
      </c>
      <c r="B43" s="357" t="str">
        <f>'A) Base RI'!B44</f>
        <v>Boussens</v>
      </c>
      <c r="C43" s="419">
        <v>567525.3469113647</v>
      </c>
      <c r="D43" s="419">
        <v>323067.34049442405</v>
      </c>
      <c r="E43" s="396">
        <v>0</v>
      </c>
      <c r="F43" s="396">
        <v>0</v>
      </c>
      <c r="G43" s="396">
        <v>0</v>
      </c>
      <c r="H43" s="419">
        <f t="shared" si="0"/>
        <v>890592.68740578881</v>
      </c>
      <c r="I43" s="420">
        <v>33002.569420289859</v>
      </c>
      <c r="J43" s="361">
        <f>'B) D RI'!U44</f>
        <v>35765.75205607291</v>
      </c>
      <c r="K43" s="62">
        <f t="shared" si="1"/>
        <v>26.985556065772734</v>
      </c>
      <c r="L43" s="33">
        <f>'B) D RI'!S44</f>
        <v>69</v>
      </c>
      <c r="M43" s="33">
        <f t="shared" si="2"/>
        <v>42.014443934227266</v>
      </c>
      <c r="N43" s="33">
        <f>'J) Plafonnement effort'!G42+'J) Plafonnement effort'!I42-'K) Plafonnement aide'!I42</f>
        <v>29.398400676594143</v>
      </c>
      <c r="O43" s="126">
        <f t="shared" si="3"/>
        <v>71.412844610821409</v>
      </c>
      <c r="P43" s="47">
        <f t="shared" si="4"/>
        <v>0</v>
      </c>
      <c r="Q43" s="55">
        <f t="shared" si="5"/>
        <v>0</v>
      </c>
      <c r="R43" s="146">
        <f t="shared" si="6"/>
        <v>71.412844610821409</v>
      </c>
      <c r="S43" s="126">
        <f t="shared" si="7"/>
        <v>2.4128446108214092</v>
      </c>
      <c r="T43" s="145">
        <f t="shared" si="8"/>
        <v>0</v>
      </c>
      <c r="V43" s="12"/>
    </row>
    <row r="44" spans="1:22" x14ac:dyDescent="0.25">
      <c r="A44" s="49">
        <f>'A) Base RI'!A45</f>
        <v>5474</v>
      </c>
      <c r="B44" s="357" t="str">
        <f>'A) Base RI'!B45</f>
        <v>La Chaux (Cossonay)</v>
      </c>
      <c r="C44" s="419">
        <v>319101.56493679166</v>
      </c>
      <c r="D44" s="419">
        <v>83788.171441548679</v>
      </c>
      <c r="E44" s="396">
        <v>0</v>
      </c>
      <c r="F44" s="396">
        <v>0</v>
      </c>
      <c r="G44" s="396">
        <v>0</v>
      </c>
      <c r="H44" s="419">
        <f t="shared" si="0"/>
        <v>402889.73637834034</v>
      </c>
      <c r="I44" s="420">
        <v>13388.045367965367</v>
      </c>
      <c r="J44" s="361">
        <f>'B) D RI'!U45</f>
        <v>12972.284673481885</v>
      </c>
      <c r="K44" s="62">
        <f t="shared" si="1"/>
        <v>30.093245526517741</v>
      </c>
      <c r="L44" s="33">
        <f>'B) D RI'!S45</f>
        <v>77</v>
      </c>
      <c r="M44" s="33">
        <f t="shared" si="2"/>
        <v>46.906754473482259</v>
      </c>
      <c r="N44" s="33">
        <f>'J) Plafonnement effort'!G43+'J) Plafonnement effort'!I43-'K) Plafonnement aide'!I43</f>
        <v>13.956704119368997</v>
      </c>
      <c r="O44" s="126">
        <f t="shared" si="3"/>
        <v>60.863458592851259</v>
      </c>
      <c r="P44" s="47">
        <f t="shared" si="4"/>
        <v>0</v>
      </c>
      <c r="Q44" s="55">
        <f t="shared" si="5"/>
        <v>0</v>
      </c>
      <c r="R44" s="146">
        <f t="shared" si="6"/>
        <v>60.863458592851259</v>
      </c>
      <c r="S44" s="126">
        <f t="shared" si="7"/>
        <v>-16.136541407148741</v>
      </c>
      <c r="T44" s="145">
        <f t="shared" si="8"/>
        <v>0</v>
      </c>
      <c r="V44" s="12"/>
    </row>
    <row r="45" spans="1:22" x14ac:dyDescent="0.25">
      <c r="A45" s="49">
        <f>'A) Base RI'!A46</f>
        <v>5475</v>
      </c>
      <c r="B45" s="357" t="str">
        <f>'A) Base RI'!B46</f>
        <v>Chavannes-le-Veyron</v>
      </c>
      <c r="C45" s="419">
        <v>62315.755778641287</v>
      </c>
      <c r="D45" s="419">
        <v>-3222.9207428403024</v>
      </c>
      <c r="E45" s="396">
        <v>0</v>
      </c>
      <c r="F45" s="396">
        <v>0</v>
      </c>
      <c r="G45" s="396">
        <v>0</v>
      </c>
      <c r="H45" s="419">
        <f t="shared" si="0"/>
        <v>59092.835035800985</v>
      </c>
      <c r="I45" s="420">
        <v>3775.6794805194804</v>
      </c>
      <c r="J45" s="361">
        <f>'B) D RI'!U46</f>
        <v>4902.1559506290205</v>
      </c>
      <c r="K45" s="62">
        <f t="shared" si="1"/>
        <v>15.650914051547257</v>
      </c>
      <c r="L45" s="33">
        <f>'B) D RI'!S46</f>
        <v>77</v>
      </c>
      <c r="M45" s="33">
        <f t="shared" si="2"/>
        <v>61.349085948452739</v>
      </c>
      <c r="N45" s="33">
        <f>'J) Plafonnement effort'!G44+'J) Plafonnement effort'!I44-'K) Plafonnement aide'!I44</f>
        <v>21.54127703921775</v>
      </c>
      <c r="O45" s="126">
        <f t="shared" si="3"/>
        <v>82.890362987670485</v>
      </c>
      <c r="P45" s="47">
        <f t="shared" si="4"/>
        <v>0</v>
      </c>
      <c r="Q45" s="55">
        <f t="shared" si="5"/>
        <v>0</v>
      </c>
      <c r="R45" s="146">
        <f t="shared" si="6"/>
        <v>82.890362987670485</v>
      </c>
      <c r="S45" s="126">
        <f t="shared" si="7"/>
        <v>5.8903629876704855</v>
      </c>
      <c r="T45" s="145">
        <f t="shared" si="8"/>
        <v>0</v>
      </c>
      <c r="V45" s="12"/>
    </row>
    <row r="46" spans="1:22" x14ac:dyDescent="0.25">
      <c r="A46" s="49">
        <f>'A) Base RI'!A47</f>
        <v>5476</v>
      </c>
      <c r="B46" s="357" t="str">
        <f>'A) Base RI'!B47</f>
        <v>Chevilly</v>
      </c>
      <c r="C46" s="419">
        <v>161190.05471687892</v>
      </c>
      <c r="D46" s="419">
        <v>90803.891962322115</v>
      </c>
      <c r="E46" s="396">
        <v>0</v>
      </c>
      <c r="F46" s="396">
        <v>0</v>
      </c>
      <c r="G46" s="396">
        <v>0</v>
      </c>
      <c r="H46" s="419">
        <f t="shared" si="0"/>
        <v>251993.94667920104</v>
      </c>
      <c r="I46" s="420">
        <v>10077.570765765768</v>
      </c>
      <c r="J46" s="361">
        <f>'B) D RI'!U47</f>
        <v>10687.030816086675</v>
      </c>
      <c r="K46" s="62">
        <f t="shared" si="1"/>
        <v>25.00542566619751</v>
      </c>
      <c r="L46" s="33">
        <f>'B) D RI'!S47</f>
        <v>74</v>
      </c>
      <c r="M46" s="33">
        <f t="shared" si="2"/>
        <v>48.99457433380249</v>
      </c>
      <c r="N46" s="33">
        <f>'J) Plafonnement effort'!G45+'J) Plafonnement effort'!I45-'K) Plafonnement aide'!I45</f>
        <v>22.559565179565997</v>
      </c>
      <c r="O46" s="126">
        <f t="shared" si="3"/>
        <v>71.554139513368483</v>
      </c>
      <c r="P46" s="47">
        <f t="shared" si="4"/>
        <v>0</v>
      </c>
      <c r="Q46" s="55">
        <f t="shared" si="5"/>
        <v>0</v>
      </c>
      <c r="R46" s="146">
        <f t="shared" si="6"/>
        <v>71.554139513368483</v>
      </c>
      <c r="S46" s="126">
        <f t="shared" si="7"/>
        <v>-2.445860486631517</v>
      </c>
      <c r="T46" s="145">
        <f t="shared" si="8"/>
        <v>0</v>
      </c>
      <c r="V46" s="12"/>
    </row>
    <row r="47" spans="1:22" x14ac:dyDescent="0.25">
      <c r="A47" s="49">
        <f>'A) Base RI'!A48</f>
        <v>5477</v>
      </c>
      <c r="B47" s="357" t="str">
        <f>'A) Base RI'!B48</f>
        <v>Cossonay</v>
      </c>
      <c r="C47" s="419">
        <v>2537209.5937090432</v>
      </c>
      <c r="D47" s="419">
        <v>281787.74057461787</v>
      </c>
      <c r="E47" s="396">
        <v>0</v>
      </c>
      <c r="F47" s="396">
        <v>0</v>
      </c>
      <c r="G47" s="396">
        <v>0</v>
      </c>
      <c r="H47" s="419">
        <f t="shared" si="0"/>
        <v>2818997.3342836611</v>
      </c>
      <c r="I47" s="420">
        <v>123540.83633802818</v>
      </c>
      <c r="J47" s="361">
        <f>'B) D RI'!U48</f>
        <v>129587.92698014184</v>
      </c>
      <c r="K47" s="62">
        <f t="shared" si="1"/>
        <v>22.818344264486097</v>
      </c>
      <c r="L47" s="33">
        <f>'B) D RI'!S48</f>
        <v>71</v>
      </c>
      <c r="M47" s="33">
        <f t="shared" si="2"/>
        <v>48.1816557355139</v>
      </c>
      <c r="N47" s="33">
        <f>'J) Plafonnement effort'!G46+'J) Plafonnement effort'!I46-'K) Plafonnement aide'!I46</f>
        <v>17.578966112092125</v>
      </c>
      <c r="O47" s="126">
        <f t="shared" si="3"/>
        <v>65.760621847606018</v>
      </c>
      <c r="P47" s="47">
        <f t="shared" si="4"/>
        <v>0</v>
      </c>
      <c r="Q47" s="55">
        <f t="shared" si="5"/>
        <v>0</v>
      </c>
      <c r="R47" s="146">
        <f t="shared" si="6"/>
        <v>65.760621847606018</v>
      </c>
      <c r="S47" s="126">
        <f t="shared" si="7"/>
        <v>-5.2393781523939822</v>
      </c>
      <c r="T47" s="145">
        <f t="shared" si="8"/>
        <v>0</v>
      </c>
      <c r="V47" s="12"/>
    </row>
    <row r="48" spans="1:22" x14ac:dyDescent="0.25">
      <c r="A48" s="49">
        <f>'A) Base RI'!A49</f>
        <v>5478</v>
      </c>
      <c r="B48" s="357" t="str">
        <f>'A) Base RI'!B49</f>
        <v>Cottens</v>
      </c>
      <c r="C48" s="419">
        <v>306544.61159674445</v>
      </c>
      <c r="D48" s="419">
        <v>176371.59070813164</v>
      </c>
      <c r="E48" s="396">
        <v>0</v>
      </c>
      <c r="F48" s="396">
        <v>0</v>
      </c>
      <c r="G48" s="396">
        <v>0</v>
      </c>
      <c r="H48" s="419">
        <f t="shared" si="0"/>
        <v>482916.20230487606</v>
      </c>
      <c r="I48" s="420">
        <v>16872.928378378379</v>
      </c>
      <c r="J48" s="361">
        <f>'B) D RI'!U49</f>
        <v>14208.71013401275</v>
      </c>
      <c r="K48" s="62">
        <f t="shared" si="1"/>
        <v>28.620769997678856</v>
      </c>
      <c r="L48" s="33">
        <f>'B) D RI'!S49</f>
        <v>74</v>
      </c>
      <c r="M48" s="33">
        <f t="shared" si="2"/>
        <v>45.379230002321144</v>
      </c>
      <c r="N48" s="33">
        <f>'J) Plafonnement effort'!G47+'J) Plafonnement effort'!I47-'K) Plafonnement aide'!I47</f>
        <v>19.080179270293428</v>
      </c>
      <c r="O48" s="126">
        <f t="shared" si="3"/>
        <v>64.459409272614579</v>
      </c>
      <c r="P48" s="47">
        <f t="shared" si="4"/>
        <v>0</v>
      </c>
      <c r="Q48" s="55">
        <f t="shared" si="5"/>
        <v>0</v>
      </c>
      <c r="R48" s="146">
        <f t="shared" si="6"/>
        <v>64.459409272614579</v>
      </c>
      <c r="S48" s="126">
        <f t="shared" si="7"/>
        <v>-9.5405907273854211</v>
      </c>
      <c r="T48" s="145">
        <f t="shared" si="8"/>
        <v>0</v>
      </c>
      <c r="V48" s="12"/>
    </row>
    <row r="49" spans="1:22" x14ac:dyDescent="0.25">
      <c r="A49" s="49">
        <f>'A) Base RI'!A50</f>
        <v>5479</v>
      </c>
      <c r="B49" s="357" t="str">
        <f>'A) Base RI'!B50</f>
        <v>Cuarnens</v>
      </c>
      <c r="C49" s="419">
        <v>300845.77992718021</v>
      </c>
      <c r="D49" s="419">
        <v>88125.871772687271</v>
      </c>
      <c r="E49" s="396">
        <v>0</v>
      </c>
      <c r="F49" s="396">
        <v>0</v>
      </c>
      <c r="G49" s="396">
        <v>0</v>
      </c>
      <c r="H49" s="419">
        <f t="shared" si="0"/>
        <v>388971.65169986745</v>
      </c>
      <c r="I49" s="420">
        <v>15098.323116883119</v>
      </c>
      <c r="J49" s="361">
        <f>'B) D RI'!U50</f>
        <v>16421.228790353522</v>
      </c>
      <c r="K49" s="62">
        <f t="shared" si="1"/>
        <v>25.762573014808172</v>
      </c>
      <c r="L49" s="33">
        <f>'B) D RI'!S50</f>
        <v>77</v>
      </c>
      <c r="M49" s="33">
        <f t="shared" si="2"/>
        <v>51.237426985191831</v>
      </c>
      <c r="N49" s="33">
        <f>'J) Plafonnement effort'!G48+'J) Plafonnement effort'!I48-'K) Plafonnement aide'!I48</f>
        <v>19.556004301188764</v>
      </c>
      <c r="O49" s="126">
        <f t="shared" si="3"/>
        <v>70.793431286380596</v>
      </c>
      <c r="P49" s="47">
        <f t="shared" si="4"/>
        <v>0</v>
      </c>
      <c r="Q49" s="55">
        <f t="shared" si="5"/>
        <v>0</v>
      </c>
      <c r="R49" s="146">
        <f t="shared" si="6"/>
        <v>70.793431286380596</v>
      </c>
      <c r="S49" s="126">
        <f t="shared" si="7"/>
        <v>-6.2065687136194043</v>
      </c>
      <c r="T49" s="145">
        <f t="shared" si="8"/>
        <v>0</v>
      </c>
      <c r="V49" s="12"/>
    </row>
    <row r="50" spans="1:22" x14ac:dyDescent="0.25">
      <c r="A50" s="49">
        <f>'A) Base RI'!A51</f>
        <v>5480</v>
      </c>
      <c r="B50" s="357" t="str">
        <f>'A) Base RI'!B51</f>
        <v>Daillens</v>
      </c>
      <c r="C50" s="419">
        <v>725059.14930590941</v>
      </c>
      <c r="D50" s="419">
        <v>618618.86310063582</v>
      </c>
      <c r="E50" s="396">
        <v>0</v>
      </c>
      <c r="F50" s="396">
        <v>0</v>
      </c>
      <c r="G50" s="396">
        <v>0</v>
      </c>
      <c r="H50" s="419">
        <f t="shared" si="0"/>
        <v>1343678.0124065452</v>
      </c>
      <c r="I50" s="420">
        <v>41105.758873239436</v>
      </c>
      <c r="J50" s="361">
        <f>'B) D RI'!U51</f>
        <v>41263.325123050025</v>
      </c>
      <c r="K50" s="62">
        <f t="shared" si="1"/>
        <v>32.688315438966463</v>
      </c>
      <c r="L50" s="33">
        <f>'B) D RI'!S51</f>
        <v>71</v>
      </c>
      <c r="M50" s="33">
        <f t="shared" si="2"/>
        <v>38.311684561033537</v>
      </c>
      <c r="N50" s="33">
        <f>'J) Plafonnement effort'!G49+'J) Plafonnement effort'!I49-'K) Plafonnement aide'!I49</f>
        <v>31.059230735228116</v>
      </c>
      <c r="O50" s="126">
        <f t="shared" si="3"/>
        <v>69.370915296261657</v>
      </c>
      <c r="P50" s="47">
        <f t="shared" si="4"/>
        <v>0</v>
      </c>
      <c r="Q50" s="55">
        <f t="shared" si="5"/>
        <v>0</v>
      </c>
      <c r="R50" s="146">
        <f t="shared" si="6"/>
        <v>69.370915296261657</v>
      </c>
      <c r="S50" s="126">
        <f t="shared" si="7"/>
        <v>-1.6290847037383429</v>
      </c>
      <c r="T50" s="145">
        <f t="shared" si="8"/>
        <v>0</v>
      </c>
      <c r="V50" s="12"/>
    </row>
    <row r="51" spans="1:22" x14ac:dyDescent="0.25">
      <c r="A51" s="49">
        <f>'A) Base RI'!A52</f>
        <v>5481</v>
      </c>
      <c r="B51" s="357" t="str">
        <f>'A) Base RI'!B52</f>
        <v>Dizy</v>
      </c>
      <c r="C51" s="419">
        <v>141609.25708618216</v>
      </c>
      <c r="D51" s="419">
        <v>92033.079672482243</v>
      </c>
      <c r="E51" s="396">
        <v>0</v>
      </c>
      <c r="F51" s="396">
        <v>0</v>
      </c>
      <c r="G51" s="396">
        <v>0</v>
      </c>
      <c r="H51" s="419">
        <f t="shared" si="0"/>
        <v>233642.3367586644</v>
      </c>
      <c r="I51" s="420">
        <v>8417.6035443037963</v>
      </c>
      <c r="J51" s="361">
        <f>'B) D RI'!U52</f>
        <v>10892.048755040036</v>
      </c>
      <c r="K51" s="62">
        <f t="shared" si="1"/>
        <v>27.756395930142194</v>
      </c>
      <c r="L51" s="33">
        <f>'B) D RI'!S52</f>
        <v>79</v>
      </c>
      <c r="M51" s="33">
        <f t="shared" si="2"/>
        <v>51.24360406985781</v>
      </c>
      <c r="N51" s="33">
        <f>'J) Plafonnement effort'!G50+'J) Plafonnement effort'!I50-'K) Plafonnement aide'!I50</f>
        <v>35.973723019945282</v>
      </c>
      <c r="O51" s="126">
        <f t="shared" si="3"/>
        <v>87.217327089803092</v>
      </c>
      <c r="P51" s="47">
        <f t="shared" si="4"/>
        <v>0</v>
      </c>
      <c r="Q51" s="55">
        <f t="shared" si="5"/>
        <v>0</v>
      </c>
      <c r="R51" s="146">
        <f t="shared" si="6"/>
        <v>87.217327089803092</v>
      </c>
      <c r="S51" s="126">
        <f t="shared" si="7"/>
        <v>8.2173270898030921</v>
      </c>
      <c r="T51" s="145">
        <f t="shared" si="8"/>
        <v>0</v>
      </c>
      <c r="V51" s="12"/>
    </row>
    <row r="52" spans="1:22" x14ac:dyDescent="0.25">
      <c r="A52" s="49">
        <f>'A) Base RI'!A53</f>
        <v>5482</v>
      </c>
      <c r="B52" s="357" t="str">
        <f>'A) Base RI'!B53</f>
        <v>Eclépens</v>
      </c>
      <c r="C52" s="419">
        <v>1037336.5091505434</v>
      </c>
      <c r="D52" s="419">
        <v>820581.22515894542</v>
      </c>
      <c r="E52" s="396">
        <v>0</v>
      </c>
      <c r="F52" s="396">
        <v>0</v>
      </c>
      <c r="G52" s="396">
        <v>0</v>
      </c>
      <c r="H52" s="419">
        <f t="shared" si="0"/>
        <v>1857917.7343094889</v>
      </c>
      <c r="I52" s="420">
        <v>48921.463913043473</v>
      </c>
      <c r="J52" s="361">
        <f>'B) D RI'!U53</f>
        <v>46793.329731079626</v>
      </c>
      <c r="K52" s="62">
        <f t="shared" si="1"/>
        <v>37.977558022627562</v>
      </c>
      <c r="L52" s="33">
        <f>'B) D RI'!S53</f>
        <v>46</v>
      </c>
      <c r="M52" s="33">
        <f t="shared" si="2"/>
        <v>8.0224419773724378</v>
      </c>
      <c r="N52" s="33">
        <f>'J) Plafonnement effort'!G51+'J) Plafonnement effort'!I51-'K) Plafonnement aide'!I51</f>
        <v>30.318294874851091</v>
      </c>
      <c r="O52" s="126">
        <f t="shared" si="3"/>
        <v>38.340736852223529</v>
      </c>
      <c r="P52" s="47">
        <f t="shared" si="4"/>
        <v>0</v>
      </c>
      <c r="Q52" s="55">
        <f t="shared" si="5"/>
        <v>0</v>
      </c>
      <c r="R52" s="146">
        <f t="shared" si="6"/>
        <v>38.340736852223529</v>
      </c>
      <c r="S52" s="126">
        <f t="shared" si="7"/>
        <v>-7.6592631477764712</v>
      </c>
      <c r="T52" s="145">
        <f t="shared" si="8"/>
        <v>0</v>
      </c>
      <c r="V52" s="12"/>
    </row>
    <row r="53" spans="1:22" x14ac:dyDescent="0.25">
      <c r="A53" s="49">
        <f>'A) Base RI'!A54</f>
        <v>5483</v>
      </c>
      <c r="B53" s="357" t="str">
        <f>'A) Base RI'!B54</f>
        <v>Ferreyres</v>
      </c>
      <c r="C53" s="419">
        <v>207761.33934303792</v>
      </c>
      <c r="D53" s="419">
        <v>156075.14291977254</v>
      </c>
      <c r="E53" s="396">
        <v>0</v>
      </c>
      <c r="F53" s="396">
        <v>0</v>
      </c>
      <c r="G53" s="396">
        <v>0</v>
      </c>
      <c r="H53" s="419">
        <f t="shared" si="0"/>
        <v>363836.48226281046</v>
      </c>
      <c r="I53" s="420">
        <v>12338.918289473684</v>
      </c>
      <c r="J53" s="361">
        <f>'B) D RI'!U54</f>
        <v>8879.9356567959585</v>
      </c>
      <c r="K53" s="62">
        <f t="shared" si="1"/>
        <v>29.486902638231985</v>
      </c>
      <c r="L53" s="33">
        <f>'B) D RI'!S54</f>
        <v>76</v>
      </c>
      <c r="M53" s="33">
        <f t="shared" si="2"/>
        <v>46.513097361768018</v>
      </c>
      <c r="N53" s="33">
        <f>'J) Plafonnement effort'!G52+'J) Plafonnement effort'!I52-'K) Plafonnement aide'!I52</f>
        <v>17.439621404475812</v>
      </c>
      <c r="O53" s="126">
        <f t="shared" si="3"/>
        <v>63.952718766243834</v>
      </c>
      <c r="P53" s="47">
        <f t="shared" si="4"/>
        <v>0</v>
      </c>
      <c r="Q53" s="55">
        <f t="shared" si="5"/>
        <v>0</v>
      </c>
      <c r="R53" s="146">
        <f t="shared" si="6"/>
        <v>63.952718766243834</v>
      </c>
      <c r="S53" s="126">
        <f t="shared" si="7"/>
        <v>-12.047281233756166</v>
      </c>
      <c r="T53" s="145">
        <f t="shared" si="8"/>
        <v>0</v>
      </c>
      <c r="V53" s="12"/>
    </row>
    <row r="54" spans="1:22" x14ac:dyDescent="0.25">
      <c r="A54" s="49">
        <f>'A) Base RI'!A55</f>
        <v>5484</v>
      </c>
      <c r="B54" s="357" t="str">
        <f>'A) Base RI'!B55</f>
        <v>Gollion</v>
      </c>
      <c r="C54" s="419">
        <v>711244.30862631998</v>
      </c>
      <c r="D54" s="419">
        <v>401870.21024870686</v>
      </c>
      <c r="E54" s="396">
        <v>0</v>
      </c>
      <c r="F54" s="396">
        <v>0</v>
      </c>
      <c r="G54" s="396">
        <v>0</v>
      </c>
      <c r="H54" s="419">
        <f t="shared" si="0"/>
        <v>1113114.5188750268</v>
      </c>
      <c r="I54" s="420">
        <v>33965.841756756759</v>
      </c>
      <c r="J54" s="361">
        <f>'B) D RI'!U55</f>
        <v>31794.268758715236</v>
      </c>
      <c r="K54" s="62">
        <f t="shared" si="1"/>
        <v>32.771586432230762</v>
      </c>
      <c r="L54" s="33">
        <f>'B) D RI'!S55</f>
        <v>74</v>
      </c>
      <c r="M54" s="33">
        <f t="shared" si="2"/>
        <v>41.228413567769238</v>
      </c>
      <c r="N54" s="33">
        <f>'J) Plafonnement effort'!G53+'J) Plafonnement effort'!I53-'K) Plafonnement aide'!I53</f>
        <v>27.008175387559554</v>
      </c>
      <c r="O54" s="126">
        <f t="shared" si="3"/>
        <v>68.236588955328784</v>
      </c>
      <c r="P54" s="47">
        <f t="shared" si="4"/>
        <v>0</v>
      </c>
      <c r="Q54" s="55">
        <f t="shared" si="5"/>
        <v>0</v>
      </c>
      <c r="R54" s="146">
        <f t="shared" si="6"/>
        <v>68.236588955328784</v>
      </c>
      <c r="S54" s="126">
        <f t="shared" si="7"/>
        <v>-5.7634110446712157</v>
      </c>
      <c r="T54" s="145">
        <f t="shared" si="8"/>
        <v>0</v>
      </c>
      <c r="V54" s="12"/>
    </row>
    <row r="55" spans="1:22" x14ac:dyDescent="0.25">
      <c r="A55" s="49">
        <f>'A) Base RI'!A56</f>
        <v>5485</v>
      </c>
      <c r="B55" s="357" t="str">
        <f>'A) Base RI'!B56</f>
        <v>Grancy</v>
      </c>
      <c r="C55" s="419">
        <v>324283.47019281017</v>
      </c>
      <c r="D55" s="419">
        <v>295825.18758214347</v>
      </c>
      <c r="E55" s="396">
        <v>0</v>
      </c>
      <c r="F55" s="396">
        <v>0</v>
      </c>
      <c r="G55" s="396">
        <v>0</v>
      </c>
      <c r="H55" s="419">
        <f t="shared" si="0"/>
        <v>620108.65777495364</v>
      </c>
      <c r="I55" s="420">
        <v>17740.37528571429</v>
      </c>
      <c r="J55" s="361">
        <f>'B) D RI'!U56</f>
        <v>18552.92429477413</v>
      </c>
      <c r="K55" s="62">
        <f t="shared" si="1"/>
        <v>34.954652750458195</v>
      </c>
      <c r="L55" s="33">
        <f>'B) D RI'!S56</f>
        <v>70</v>
      </c>
      <c r="M55" s="33">
        <f t="shared" si="2"/>
        <v>35.045347249541805</v>
      </c>
      <c r="N55" s="33">
        <f>'J) Plafonnement effort'!G54+'J) Plafonnement effort'!I54-'K) Plafonnement aide'!I54</f>
        <v>8.8245768259208361</v>
      </c>
      <c r="O55" s="126">
        <f t="shared" si="3"/>
        <v>43.869924075462642</v>
      </c>
      <c r="P55" s="47">
        <f t="shared" si="4"/>
        <v>0</v>
      </c>
      <c r="Q55" s="55">
        <f t="shared" si="5"/>
        <v>0</v>
      </c>
      <c r="R55" s="146">
        <f t="shared" si="6"/>
        <v>43.869924075462642</v>
      </c>
      <c r="S55" s="126">
        <f t="shared" si="7"/>
        <v>-26.130075924537358</v>
      </c>
      <c r="T55" s="145">
        <f t="shared" si="8"/>
        <v>0</v>
      </c>
      <c r="V55" s="12"/>
    </row>
    <row r="56" spans="1:22" x14ac:dyDescent="0.25">
      <c r="A56" s="49">
        <f>'A) Base RI'!A57</f>
        <v>5486</v>
      </c>
      <c r="B56" s="357" t="str">
        <f>'A) Base RI'!B57</f>
        <v>L'Isle</v>
      </c>
      <c r="C56" s="419">
        <v>512848.55536974658</v>
      </c>
      <c r="D56" s="419">
        <v>-65046.732840988843</v>
      </c>
      <c r="E56" s="396">
        <v>0</v>
      </c>
      <c r="F56" s="396">
        <v>0</v>
      </c>
      <c r="G56" s="396">
        <v>0</v>
      </c>
      <c r="H56" s="419">
        <f t="shared" si="0"/>
        <v>447801.82252875774</v>
      </c>
      <c r="I56" s="420">
        <v>25696.695921052633</v>
      </c>
      <c r="J56" s="361">
        <f>'B) D RI'!U57</f>
        <v>30546.431240274927</v>
      </c>
      <c r="K56" s="62">
        <f t="shared" si="1"/>
        <v>17.426435830681459</v>
      </c>
      <c r="L56" s="33">
        <f>'B) D RI'!S57</f>
        <v>76</v>
      </c>
      <c r="M56" s="33">
        <f t="shared" si="2"/>
        <v>58.573564169318544</v>
      </c>
      <c r="N56" s="33">
        <f>'J) Plafonnement effort'!G55+'J) Plafonnement effort'!I55-'K) Plafonnement aide'!I55</f>
        <v>12.636062433605131</v>
      </c>
      <c r="O56" s="126">
        <f t="shared" si="3"/>
        <v>71.209626602923677</v>
      </c>
      <c r="P56" s="47">
        <f t="shared" si="4"/>
        <v>0</v>
      </c>
      <c r="Q56" s="55">
        <f t="shared" si="5"/>
        <v>0</v>
      </c>
      <c r="R56" s="146">
        <f t="shared" si="6"/>
        <v>71.209626602923677</v>
      </c>
      <c r="S56" s="126">
        <f t="shared" si="7"/>
        <v>-4.7903733970763227</v>
      </c>
      <c r="T56" s="145">
        <f t="shared" si="8"/>
        <v>0</v>
      </c>
      <c r="V56" s="12"/>
    </row>
    <row r="57" spans="1:22" x14ac:dyDescent="0.25">
      <c r="A57" s="49">
        <f>'A) Base RI'!A58</f>
        <v>5487</v>
      </c>
      <c r="B57" s="357" t="str">
        <f>'A) Base RI'!B58</f>
        <v>Lussery-Villars</v>
      </c>
      <c r="C57" s="419">
        <v>271507.03756311414</v>
      </c>
      <c r="D57" s="419">
        <v>98184.195766918885</v>
      </c>
      <c r="E57" s="396">
        <v>0</v>
      </c>
      <c r="F57" s="396">
        <v>0</v>
      </c>
      <c r="G57" s="396">
        <v>0</v>
      </c>
      <c r="H57" s="419">
        <f t="shared" si="0"/>
        <v>369691.23333003302</v>
      </c>
      <c r="I57" s="420">
        <v>14347.116805555555</v>
      </c>
      <c r="J57" s="361">
        <f>'B) D RI'!U58</f>
        <v>14615.228333906985</v>
      </c>
      <c r="K57" s="62">
        <f t="shared" si="1"/>
        <v>25.767632503478296</v>
      </c>
      <c r="L57" s="33">
        <f>'B) D RI'!S58</f>
        <v>75</v>
      </c>
      <c r="M57" s="33">
        <f t="shared" si="2"/>
        <v>49.232367496521704</v>
      </c>
      <c r="N57" s="33">
        <f>'J) Plafonnement effort'!G56+'J) Plafonnement effort'!I56-'K) Plafonnement aide'!I56</f>
        <v>21.856987709522528</v>
      </c>
      <c r="O57" s="126">
        <f t="shared" si="3"/>
        <v>71.089355206044232</v>
      </c>
      <c r="P57" s="47">
        <f t="shared" si="4"/>
        <v>0</v>
      </c>
      <c r="Q57" s="55">
        <f t="shared" si="5"/>
        <v>0</v>
      </c>
      <c r="R57" s="146">
        <f t="shared" si="6"/>
        <v>71.089355206044232</v>
      </c>
      <c r="S57" s="126">
        <f t="shared" si="7"/>
        <v>-3.9106447939557683</v>
      </c>
      <c r="T57" s="145">
        <f t="shared" si="8"/>
        <v>0</v>
      </c>
      <c r="V57" s="12"/>
    </row>
    <row r="58" spans="1:22" x14ac:dyDescent="0.25">
      <c r="A58" s="49">
        <f>'A) Base RI'!A59</f>
        <v>5488</v>
      </c>
      <c r="B58" s="357" t="str">
        <f>'A) Base RI'!B59</f>
        <v>Mauraz</v>
      </c>
      <c r="C58" s="419">
        <v>25813.536160772615</v>
      </c>
      <c r="D58" s="419">
        <v>1859.8872718858765</v>
      </c>
      <c r="E58" s="396">
        <v>0</v>
      </c>
      <c r="F58" s="396">
        <v>0</v>
      </c>
      <c r="G58" s="396">
        <v>0</v>
      </c>
      <c r="H58" s="419">
        <f t="shared" si="0"/>
        <v>27673.423432658492</v>
      </c>
      <c r="I58" s="420">
        <v>1636.236081081081</v>
      </c>
      <c r="J58" s="361">
        <f>'B) D RI'!U59</f>
        <v>1907.69174397183</v>
      </c>
      <c r="K58" s="62">
        <f t="shared" si="1"/>
        <v>16.912854906838582</v>
      </c>
      <c r="L58" s="33">
        <f>'B) D RI'!S59</f>
        <v>78</v>
      </c>
      <c r="M58" s="33">
        <f t="shared" si="2"/>
        <v>61.087145093161418</v>
      </c>
      <c r="N58" s="33">
        <f>'J) Plafonnement effort'!G57+'J) Plafonnement effort'!I57-'K) Plafonnement aide'!I57</f>
        <v>25.782929063192146</v>
      </c>
      <c r="O58" s="126">
        <f t="shared" si="3"/>
        <v>86.870074156353567</v>
      </c>
      <c r="P58" s="47">
        <f t="shared" si="4"/>
        <v>0</v>
      </c>
      <c r="Q58" s="55">
        <f t="shared" si="5"/>
        <v>0</v>
      </c>
      <c r="R58" s="146">
        <f t="shared" si="6"/>
        <v>86.870074156353567</v>
      </c>
      <c r="S58" s="126">
        <f t="shared" si="7"/>
        <v>8.8700741563535672</v>
      </c>
      <c r="T58" s="145">
        <f t="shared" si="8"/>
        <v>0</v>
      </c>
      <c r="V58" s="12"/>
    </row>
    <row r="59" spans="1:22" x14ac:dyDescent="0.25">
      <c r="A59" s="49">
        <f>'A) Base RI'!A60</f>
        <v>5489</v>
      </c>
      <c r="B59" s="357" t="str">
        <f>'A) Base RI'!B60</f>
        <v>Mex</v>
      </c>
      <c r="C59" s="419">
        <v>1352429.8752463115</v>
      </c>
      <c r="D59" s="419">
        <v>970548.17685105151</v>
      </c>
      <c r="E59" s="396">
        <v>0</v>
      </c>
      <c r="F59" s="396">
        <v>0</v>
      </c>
      <c r="G59" s="396">
        <v>0</v>
      </c>
      <c r="H59" s="419">
        <f t="shared" si="0"/>
        <v>2322978.0520973629</v>
      </c>
      <c r="I59" s="420">
        <v>52928.292459016397</v>
      </c>
      <c r="J59" s="361">
        <f>'B) D RI'!U60</f>
        <v>59050.274266098029</v>
      </c>
      <c r="K59" s="62">
        <f t="shared" si="1"/>
        <v>43.889155386905756</v>
      </c>
      <c r="L59" s="33">
        <f>'B) D RI'!S60</f>
        <v>61</v>
      </c>
      <c r="M59" s="33">
        <f t="shared" si="2"/>
        <v>17.110844613094244</v>
      </c>
      <c r="N59" s="33">
        <f>'J) Plafonnement effort'!G58+'J) Plafonnement effort'!I58-'K) Plafonnement aide'!I58</f>
        <v>44.28864292382562</v>
      </c>
      <c r="O59" s="126">
        <f t="shared" si="3"/>
        <v>61.399487536919864</v>
      </c>
      <c r="P59" s="47">
        <f t="shared" si="4"/>
        <v>0</v>
      </c>
      <c r="Q59" s="55">
        <f t="shared" si="5"/>
        <v>0</v>
      </c>
      <c r="R59" s="146">
        <f t="shared" si="6"/>
        <v>61.399487536919864</v>
      </c>
      <c r="S59" s="126">
        <f t="shared" si="7"/>
        <v>0.39948753691986383</v>
      </c>
      <c r="T59" s="145">
        <f t="shared" si="8"/>
        <v>0</v>
      </c>
      <c r="V59" s="12"/>
    </row>
    <row r="60" spans="1:22" x14ac:dyDescent="0.25">
      <c r="A60" s="49">
        <f>'A) Base RI'!A61</f>
        <v>5490</v>
      </c>
      <c r="B60" s="357" t="str">
        <f>'A) Base RI'!B61</f>
        <v>Moiry</v>
      </c>
      <c r="C60" s="419">
        <v>135586.31606409713</v>
      </c>
      <c r="D60" s="419">
        <v>-35070.568735520152</v>
      </c>
      <c r="E60" s="396">
        <v>0</v>
      </c>
      <c r="F60" s="396">
        <v>0</v>
      </c>
      <c r="G60" s="396">
        <v>0</v>
      </c>
      <c r="H60" s="419">
        <f t="shared" si="0"/>
        <v>100515.74732857698</v>
      </c>
      <c r="I60" s="420">
        <v>8175.9358024691346</v>
      </c>
      <c r="J60" s="361">
        <f>'B) D RI'!U61</f>
        <v>9338.2754275452353</v>
      </c>
      <c r="K60" s="62">
        <f t="shared" si="1"/>
        <v>12.294096939731498</v>
      </c>
      <c r="L60" s="33">
        <f>'B) D RI'!S61</f>
        <v>80</v>
      </c>
      <c r="M60" s="33">
        <f t="shared" si="2"/>
        <v>67.705903060268497</v>
      </c>
      <c r="N60" s="33">
        <f>'J) Plafonnement effort'!G59+'J) Plafonnement effort'!I59-'K) Plafonnement aide'!I59</f>
        <v>15.980751935058855</v>
      </c>
      <c r="O60" s="126">
        <f t="shared" si="3"/>
        <v>83.686654995327359</v>
      </c>
      <c r="P60" s="47">
        <f t="shared" si="4"/>
        <v>0</v>
      </c>
      <c r="Q60" s="55">
        <f t="shared" si="5"/>
        <v>0</v>
      </c>
      <c r="R60" s="146">
        <f t="shared" si="6"/>
        <v>83.686654995327359</v>
      </c>
      <c r="S60" s="126">
        <f t="shared" si="7"/>
        <v>3.6866549953273591</v>
      </c>
      <c r="T60" s="145">
        <f t="shared" si="8"/>
        <v>0</v>
      </c>
      <c r="V60" s="12"/>
    </row>
    <row r="61" spans="1:22" x14ac:dyDescent="0.25">
      <c r="A61" s="49">
        <f>'A) Base RI'!A62</f>
        <v>5491</v>
      </c>
      <c r="B61" s="357" t="str">
        <f>'A) Base RI'!B62</f>
        <v>Mont-la-Ville</v>
      </c>
      <c r="C61" s="419">
        <v>190078.08196394314</v>
      </c>
      <c r="D61" s="419">
        <v>-31577.195196352608</v>
      </c>
      <c r="E61" s="396">
        <v>0</v>
      </c>
      <c r="F61" s="396">
        <v>0</v>
      </c>
      <c r="G61" s="396">
        <v>0</v>
      </c>
      <c r="H61" s="419">
        <f t="shared" si="0"/>
        <v>158500.88676759053</v>
      </c>
      <c r="I61" s="420">
        <v>10544.805394736843</v>
      </c>
      <c r="J61" s="361">
        <f>'B) D RI'!U62</f>
        <v>12342.149373733142</v>
      </c>
      <c r="K61" s="62">
        <f t="shared" si="1"/>
        <v>15.031181784227332</v>
      </c>
      <c r="L61" s="33">
        <f>'B) D RI'!S62</f>
        <v>76</v>
      </c>
      <c r="M61" s="33">
        <f t="shared" ref="M61:M114" si="9">L61-K61</f>
        <v>60.968818215772671</v>
      </c>
      <c r="N61" s="33">
        <f>'J) Plafonnement effort'!G60+'J) Plafonnement effort'!I60-'K) Plafonnement aide'!I60</f>
        <v>5.1689449246276506</v>
      </c>
      <c r="O61" s="126">
        <f t="shared" ref="O61:O114" si="10">M61+N61</f>
        <v>66.137763140400324</v>
      </c>
      <c r="P61" s="47">
        <f t="shared" ref="P61:P114" si="11">IF(O61&gt;$P$5,$P$5-O61,0)</f>
        <v>0</v>
      </c>
      <c r="Q61" s="55">
        <f t="shared" si="5"/>
        <v>0</v>
      </c>
      <c r="R61" s="146">
        <f t="shared" ref="R61:R114" si="12">O61+P61</f>
        <v>66.137763140400324</v>
      </c>
      <c r="S61" s="126">
        <f t="shared" ref="S61:S114" si="13">R61-L61</f>
        <v>-9.8622368595996761</v>
      </c>
      <c r="T61" s="145">
        <f t="shared" si="8"/>
        <v>0</v>
      </c>
      <c r="V61" s="12"/>
    </row>
    <row r="62" spans="1:22" x14ac:dyDescent="0.25">
      <c r="A62" s="49">
        <f>'A) Base RI'!A63</f>
        <v>5492</v>
      </c>
      <c r="B62" s="357" t="str">
        <f>'A) Base RI'!B63</f>
        <v>Montricher</v>
      </c>
      <c r="C62" s="419">
        <v>9388061.3140610047</v>
      </c>
      <c r="D62" s="419">
        <v>4338444.0956662009</v>
      </c>
      <c r="E62" s="396">
        <v>0</v>
      </c>
      <c r="F62" s="396">
        <v>-3603172.3264068929</v>
      </c>
      <c r="G62" s="396">
        <v>0</v>
      </c>
      <c r="H62" s="419">
        <f t="shared" si="0"/>
        <v>10123333.083320312</v>
      </c>
      <c r="I62" s="420">
        <v>222873.70244791667</v>
      </c>
      <c r="J62" s="361">
        <f>'B) D RI'!U63</f>
        <v>235377.8890618468</v>
      </c>
      <c r="K62" s="62">
        <f t="shared" ref="K62:K116" si="14">H62/I62</f>
        <v>45.42183744484629</v>
      </c>
      <c r="L62" s="33">
        <f>'B) D RI'!S63</f>
        <v>64</v>
      </c>
      <c r="M62" s="33">
        <f t="shared" si="9"/>
        <v>18.57816255515371</v>
      </c>
      <c r="N62" s="33">
        <f>'J) Plafonnement effort'!G61+'J) Plafonnement effort'!I61-'K) Plafonnement aide'!I61</f>
        <v>49.344605312170337</v>
      </c>
      <c r="O62" s="126">
        <f t="shared" si="10"/>
        <v>67.92276786732404</v>
      </c>
      <c r="P62" s="47">
        <f t="shared" si="11"/>
        <v>0</v>
      </c>
      <c r="Q62" s="55">
        <f t="shared" si="5"/>
        <v>0</v>
      </c>
      <c r="R62" s="146">
        <f t="shared" si="12"/>
        <v>67.92276786732404</v>
      </c>
      <c r="S62" s="126">
        <f t="shared" si="13"/>
        <v>3.9227678673240405</v>
      </c>
      <c r="T62" s="145">
        <f t="shared" si="8"/>
        <v>0</v>
      </c>
      <c r="V62" s="12"/>
    </row>
    <row r="63" spans="1:22" x14ac:dyDescent="0.25">
      <c r="A63" s="49">
        <f>'A) Base RI'!A64</f>
        <v>5493</v>
      </c>
      <c r="B63" s="357" t="str">
        <f>'A) Base RI'!B64</f>
        <v>Orny</v>
      </c>
      <c r="C63" s="419">
        <v>211566.73633469554</v>
      </c>
      <c r="D63" s="419">
        <v>22525.547086444625</v>
      </c>
      <c r="E63" s="396">
        <v>0</v>
      </c>
      <c r="F63" s="396">
        <v>0</v>
      </c>
      <c r="G63" s="396">
        <v>0</v>
      </c>
      <c r="H63" s="419">
        <f t="shared" si="0"/>
        <v>234092.28342114016</v>
      </c>
      <c r="I63" s="420">
        <v>9896.3592518440455</v>
      </c>
      <c r="J63" s="361">
        <f>'B) D RI'!U64</f>
        <v>10742.508207895562</v>
      </c>
      <c r="K63" s="62">
        <f t="shared" si="14"/>
        <v>23.654384149152669</v>
      </c>
      <c r="L63" s="33">
        <f>'B) D RI'!S64</f>
        <v>73</v>
      </c>
      <c r="M63" s="33">
        <f t="shared" si="9"/>
        <v>49.345615850847331</v>
      </c>
      <c r="N63" s="33">
        <f>'J) Plafonnement effort'!G62+'J) Plafonnement effort'!I62-'K) Plafonnement aide'!I62</f>
        <v>-41.734352967893905</v>
      </c>
      <c r="O63" s="126">
        <f t="shared" si="10"/>
        <v>7.6112628829534259</v>
      </c>
      <c r="P63" s="47">
        <f t="shared" si="11"/>
        <v>0</v>
      </c>
      <c r="Q63" s="55">
        <f t="shared" ref="Q63:Q117" si="15">P63*J63</f>
        <v>0</v>
      </c>
      <c r="R63" s="146">
        <f t="shared" si="12"/>
        <v>7.6112628829534259</v>
      </c>
      <c r="S63" s="126">
        <f t="shared" si="13"/>
        <v>-65.388737117046574</v>
      </c>
      <c r="T63" s="145">
        <f t="shared" si="8"/>
        <v>0</v>
      </c>
      <c r="V63" s="12"/>
    </row>
    <row r="64" spans="1:22" x14ac:dyDescent="0.25">
      <c r="A64" s="49">
        <f>'A) Base RI'!A65</f>
        <v>5494</v>
      </c>
      <c r="B64" s="357" t="str">
        <f>'A) Base RI'!B65</f>
        <v>Pampigny</v>
      </c>
      <c r="C64" s="419">
        <v>613347.13865960867</v>
      </c>
      <c r="D64" s="419">
        <v>264405.51762064977</v>
      </c>
      <c r="E64" s="396">
        <v>0</v>
      </c>
      <c r="F64" s="396">
        <v>0</v>
      </c>
      <c r="G64" s="396">
        <v>0</v>
      </c>
      <c r="H64" s="419">
        <f t="shared" si="0"/>
        <v>877752.65628025844</v>
      </c>
      <c r="I64" s="420">
        <v>36998.378139682543</v>
      </c>
      <c r="J64" s="361">
        <f>'B) D RI'!U65</f>
        <v>37463.804333090258</v>
      </c>
      <c r="K64" s="62">
        <f t="shared" si="14"/>
        <v>23.724084687345428</v>
      </c>
      <c r="L64" s="33">
        <f>'B) D RI'!S65</f>
        <v>75</v>
      </c>
      <c r="M64" s="33">
        <f t="shared" si="9"/>
        <v>51.275915312654575</v>
      </c>
      <c r="N64" s="33">
        <f>'J) Plafonnement effort'!G63+'J) Plafonnement effort'!I63-'K) Plafonnement aide'!I63</f>
        <v>22.296422754288237</v>
      </c>
      <c r="O64" s="126">
        <f t="shared" si="10"/>
        <v>73.57233806694282</v>
      </c>
      <c r="P64" s="47">
        <f t="shared" si="11"/>
        <v>0</v>
      </c>
      <c r="Q64" s="55">
        <f t="shared" si="15"/>
        <v>0</v>
      </c>
      <c r="R64" s="146">
        <f t="shared" si="12"/>
        <v>73.57233806694282</v>
      </c>
      <c r="S64" s="126">
        <f t="shared" si="13"/>
        <v>-1.4276619330571805</v>
      </c>
      <c r="T64" s="145">
        <f t="shared" si="8"/>
        <v>0</v>
      </c>
      <c r="V64" s="12"/>
    </row>
    <row r="65" spans="1:22" x14ac:dyDescent="0.25">
      <c r="A65" s="49">
        <f>'A) Base RI'!A66</f>
        <v>5495</v>
      </c>
      <c r="B65" s="357" t="str">
        <f>'A) Base RI'!B66</f>
        <v>Penthalaz</v>
      </c>
      <c r="C65" s="419">
        <v>1844483.8964229277</v>
      </c>
      <c r="D65" s="419">
        <v>-306700.53122765385</v>
      </c>
      <c r="E65" s="396">
        <v>0</v>
      </c>
      <c r="F65" s="396">
        <v>0</v>
      </c>
      <c r="G65" s="396">
        <v>0</v>
      </c>
      <c r="H65" s="419">
        <f t="shared" si="0"/>
        <v>1537783.3651952739</v>
      </c>
      <c r="I65" s="420">
        <v>92865.132567567576</v>
      </c>
      <c r="J65" s="361">
        <f>'B) D RI'!U66</f>
        <v>91501.360926624242</v>
      </c>
      <c r="K65" s="62">
        <f t="shared" si="14"/>
        <v>16.559319118791983</v>
      </c>
      <c r="L65" s="33">
        <f>'B) D RI'!S66</f>
        <v>74</v>
      </c>
      <c r="M65" s="33">
        <f t="shared" si="9"/>
        <v>57.440680881208017</v>
      </c>
      <c r="N65" s="33">
        <f>'J) Plafonnement effort'!G64+'J) Plafonnement effort'!I64-'K) Plafonnement aide'!I64</f>
        <v>8.5249955900685457</v>
      </c>
      <c r="O65" s="126">
        <f t="shared" si="10"/>
        <v>65.965676471276566</v>
      </c>
      <c r="P65" s="47">
        <f t="shared" si="11"/>
        <v>0</v>
      </c>
      <c r="Q65" s="55">
        <f t="shared" si="15"/>
        <v>0</v>
      </c>
      <c r="R65" s="146">
        <f t="shared" si="12"/>
        <v>65.965676471276566</v>
      </c>
      <c r="S65" s="126">
        <f t="shared" si="13"/>
        <v>-8.0343235287234336</v>
      </c>
      <c r="T65" s="145">
        <f t="shared" si="8"/>
        <v>0</v>
      </c>
      <c r="V65" s="12"/>
    </row>
    <row r="66" spans="1:22" x14ac:dyDescent="0.25">
      <c r="A66" s="49">
        <f>'A) Base RI'!A67</f>
        <v>5496</v>
      </c>
      <c r="B66" s="357" t="str">
        <f>'A) Base RI'!B67</f>
        <v>Penthaz</v>
      </c>
      <c r="C66" s="419">
        <v>1010185.6412547021</v>
      </c>
      <c r="D66" s="419">
        <v>256602.54118853505</v>
      </c>
      <c r="E66" s="396">
        <v>0</v>
      </c>
      <c r="F66" s="396">
        <v>0</v>
      </c>
      <c r="G66" s="396">
        <v>0</v>
      </c>
      <c r="H66" s="419">
        <f t="shared" si="0"/>
        <v>1266788.1824432372</v>
      </c>
      <c r="I66" s="420">
        <v>54824.850845070439</v>
      </c>
      <c r="J66" s="361">
        <f>'B) D RI'!U67</f>
        <v>56734.953960585386</v>
      </c>
      <c r="K66" s="62">
        <f t="shared" si="14"/>
        <v>23.106094461124101</v>
      </c>
      <c r="L66" s="33">
        <f>'B) D RI'!S67</f>
        <v>71</v>
      </c>
      <c r="M66" s="33">
        <f t="shared" si="9"/>
        <v>47.893905538875899</v>
      </c>
      <c r="N66" s="33">
        <f>'J) Plafonnement effort'!G65+'J) Plafonnement effort'!I65-'K) Plafonnement aide'!I65</f>
        <v>21.356367829680742</v>
      </c>
      <c r="O66" s="126">
        <f t="shared" si="10"/>
        <v>69.250273368556634</v>
      </c>
      <c r="P66" s="47">
        <f t="shared" si="11"/>
        <v>0</v>
      </c>
      <c r="Q66" s="55">
        <f t="shared" si="15"/>
        <v>0</v>
      </c>
      <c r="R66" s="146">
        <f t="shared" si="12"/>
        <v>69.250273368556634</v>
      </c>
      <c r="S66" s="126">
        <f t="shared" si="13"/>
        <v>-1.7497266314433659</v>
      </c>
      <c r="T66" s="145">
        <f t="shared" si="8"/>
        <v>0</v>
      </c>
      <c r="V66" s="12"/>
    </row>
    <row r="67" spans="1:22" x14ac:dyDescent="0.25">
      <c r="A67" s="49">
        <f>'A) Base RI'!A68</f>
        <v>5497</v>
      </c>
      <c r="B67" s="357" t="str">
        <f>'A) Base RI'!B68</f>
        <v>Pompaples</v>
      </c>
      <c r="C67" s="419">
        <v>594317.2284704675</v>
      </c>
      <c r="D67" s="419">
        <v>36164.494617570483</v>
      </c>
      <c r="E67" s="396">
        <v>0</v>
      </c>
      <c r="F67" s="396">
        <v>0</v>
      </c>
      <c r="G67" s="396">
        <v>0</v>
      </c>
      <c r="H67" s="419">
        <f t="shared" si="0"/>
        <v>630481.72308803792</v>
      </c>
      <c r="I67" s="420">
        <v>21718.90772727273</v>
      </c>
      <c r="J67" s="361">
        <f>'B) D RI'!U68</f>
        <v>22161.340037381338</v>
      </c>
      <c r="K67" s="62">
        <f t="shared" si="14"/>
        <v>29.029163483038946</v>
      </c>
      <c r="L67" s="33">
        <f>'B) D RI'!S68</f>
        <v>66</v>
      </c>
      <c r="M67" s="33">
        <f t="shared" si="9"/>
        <v>36.970836516961057</v>
      </c>
      <c r="N67" s="33">
        <f>'J) Plafonnement effort'!G66+'J) Plafonnement effort'!I66-'K) Plafonnement aide'!I66</f>
        <v>15.849115841245736</v>
      </c>
      <c r="O67" s="126">
        <f t="shared" si="10"/>
        <v>52.819952358206791</v>
      </c>
      <c r="P67" s="47">
        <f t="shared" si="11"/>
        <v>0</v>
      </c>
      <c r="Q67" s="55">
        <f t="shared" si="15"/>
        <v>0</v>
      </c>
      <c r="R67" s="146">
        <f t="shared" si="12"/>
        <v>52.819952358206791</v>
      </c>
      <c r="S67" s="126">
        <f t="shared" si="13"/>
        <v>-13.180047641793209</v>
      </c>
      <c r="T67" s="145">
        <f t="shared" si="8"/>
        <v>0</v>
      </c>
      <c r="V67" s="12"/>
    </row>
    <row r="68" spans="1:22" x14ac:dyDescent="0.25">
      <c r="A68" s="49">
        <f>'A) Base RI'!A69</f>
        <v>5498</v>
      </c>
      <c r="B68" s="357" t="str">
        <f>'A) Base RI'!B69</f>
        <v>La Sarraz</v>
      </c>
      <c r="C68" s="419">
        <v>1550261.7191714572</v>
      </c>
      <c r="D68" s="419">
        <v>-76755.829706127988</v>
      </c>
      <c r="E68" s="396">
        <v>0</v>
      </c>
      <c r="F68" s="396">
        <v>0</v>
      </c>
      <c r="G68" s="396">
        <v>0</v>
      </c>
      <c r="H68" s="419">
        <f t="shared" si="0"/>
        <v>1473505.8894653292</v>
      </c>
      <c r="I68" s="420">
        <v>70914.560303030303</v>
      </c>
      <c r="J68" s="361">
        <f>'B) D RI'!U69</f>
        <v>77385.435956102505</v>
      </c>
      <c r="K68" s="62">
        <f t="shared" si="14"/>
        <v>20.778608556110076</v>
      </c>
      <c r="L68" s="33">
        <f>'B) D RI'!S69</f>
        <v>66</v>
      </c>
      <c r="M68" s="33">
        <f t="shared" si="9"/>
        <v>45.221391443889928</v>
      </c>
      <c r="N68" s="33">
        <f>'J) Plafonnement effort'!G67+'J) Plafonnement effort'!I67-'K) Plafonnement aide'!I67</f>
        <v>12.083039525605567</v>
      </c>
      <c r="O68" s="126">
        <f t="shared" si="10"/>
        <v>57.304430969495499</v>
      </c>
      <c r="P68" s="47">
        <f t="shared" si="11"/>
        <v>0</v>
      </c>
      <c r="Q68" s="55">
        <f t="shared" si="15"/>
        <v>0</v>
      </c>
      <c r="R68" s="146">
        <f t="shared" si="12"/>
        <v>57.304430969495499</v>
      </c>
      <c r="S68" s="126">
        <f t="shared" si="13"/>
        <v>-8.695569030504501</v>
      </c>
      <c r="T68" s="145">
        <f t="shared" si="8"/>
        <v>0</v>
      </c>
      <c r="V68" s="12"/>
    </row>
    <row r="69" spans="1:22" x14ac:dyDescent="0.25">
      <c r="A69" s="49">
        <f>'A) Base RI'!A70</f>
        <v>5499</v>
      </c>
      <c r="B69" s="357" t="str">
        <f>'A) Base RI'!B70</f>
        <v>Senarclens</v>
      </c>
      <c r="C69" s="419">
        <v>495413.38698205317</v>
      </c>
      <c r="D69" s="419">
        <v>290904.49174391729</v>
      </c>
      <c r="E69" s="396">
        <v>0</v>
      </c>
      <c r="F69" s="396">
        <v>0</v>
      </c>
      <c r="G69" s="396">
        <v>0</v>
      </c>
      <c r="H69" s="419">
        <f t="shared" si="0"/>
        <v>786317.8787259704</v>
      </c>
      <c r="I69" s="420">
        <v>20155.097956204383</v>
      </c>
      <c r="J69" s="361">
        <f>'B) D RI'!U70</f>
        <v>23640.951925367579</v>
      </c>
      <c r="K69" s="62">
        <f t="shared" si="14"/>
        <v>39.013349398478944</v>
      </c>
      <c r="L69" s="33">
        <f>'B) D RI'!S70</f>
        <v>68.5</v>
      </c>
      <c r="M69" s="33">
        <f t="shared" si="9"/>
        <v>29.486650601521056</v>
      </c>
      <c r="N69" s="33">
        <f>'J) Plafonnement effort'!G68+'J) Plafonnement effort'!I68-'K) Plafonnement aide'!I68</f>
        <v>36.088078572245237</v>
      </c>
      <c r="O69" s="126">
        <f t="shared" si="10"/>
        <v>65.574729173766286</v>
      </c>
      <c r="P69" s="47">
        <f t="shared" si="11"/>
        <v>0</v>
      </c>
      <c r="Q69" s="55">
        <f t="shared" si="15"/>
        <v>0</v>
      </c>
      <c r="R69" s="146">
        <f t="shared" si="12"/>
        <v>65.574729173766286</v>
      </c>
      <c r="S69" s="126">
        <f t="shared" si="13"/>
        <v>-2.9252708262337137</v>
      </c>
      <c r="T69" s="145">
        <f t="shared" si="8"/>
        <v>0</v>
      </c>
      <c r="V69" s="12"/>
    </row>
    <row r="70" spans="1:22" x14ac:dyDescent="0.25">
      <c r="A70" s="49">
        <f>'A) Base RI'!A71</f>
        <v>5500</v>
      </c>
      <c r="B70" s="357" t="str">
        <f>'A) Base RI'!B71</f>
        <v>Sévery</v>
      </c>
      <c r="C70" s="419">
        <v>157305.0520911435</v>
      </c>
      <c r="D70" s="419">
        <v>114002.08857105684</v>
      </c>
      <c r="E70" s="396">
        <v>0</v>
      </c>
      <c r="F70" s="396">
        <v>0</v>
      </c>
      <c r="G70" s="396">
        <v>0</v>
      </c>
      <c r="H70" s="419">
        <f t="shared" si="0"/>
        <v>271307.14066220034</v>
      </c>
      <c r="I70" s="420">
        <v>8930.8127555555548</v>
      </c>
      <c r="J70" s="361">
        <f>'B) D RI'!U71</f>
        <v>6301.5037699957575</v>
      </c>
      <c r="K70" s="62">
        <f t="shared" si="14"/>
        <v>30.378773812431504</v>
      </c>
      <c r="L70" s="33">
        <f>'B) D RI'!S71</f>
        <v>75</v>
      </c>
      <c r="M70" s="33">
        <f t="shared" si="9"/>
        <v>44.621226187568496</v>
      </c>
      <c r="N70" s="33">
        <f>'J) Plafonnement effort'!G69+'J) Plafonnement effort'!I69-'K) Plafonnement aide'!I69</f>
        <v>17.172386385804941</v>
      </c>
      <c r="O70" s="126">
        <f t="shared" si="10"/>
        <v>61.793612573373437</v>
      </c>
      <c r="P70" s="47">
        <f t="shared" si="11"/>
        <v>0</v>
      </c>
      <c r="Q70" s="55">
        <f t="shared" si="15"/>
        <v>0</v>
      </c>
      <c r="R70" s="146">
        <f t="shared" si="12"/>
        <v>61.793612573373437</v>
      </c>
      <c r="S70" s="126">
        <f t="shared" si="13"/>
        <v>-13.206387426626563</v>
      </c>
      <c r="T70" s="145">
        <f t="shared" si="8"/>
        <v>0</v>
      </c>
      <c r="V70" s="12"/>
    </row>
    <row r="71" spans="1:22" x14ac:dyDescent="0.25">
      <c r="A71" s="49">
        <f>'A) Base RI'!A72</f>
        <v>5501</v>
      </c>
      <c r="B71" s="357" t="str">
        <f>'A) Base RI'!B72</f>
        <v>Sullens</v>
      </c>
      <c r="C71" s="419">
        <v>630444.8717773247</v>
      </c>
      <c r="D71" s="419">
        <v>340863.07383103506</v>
      </c>
      <c r="E71" s="396">
        <v>0</v>
      </c>
      <c r="F71" s="396">
        <v>0</v>
      </c>
      <c r="G71" s="396">
        <v>0</v>
      </c>
      <c r="H71" s="419">
        <f t="shared" ref="H71:H134" si="16">SUM(C71:G71)</f>
        <v>971307.94560835976</v>
      </c>
      <c r="I71" s="420">
        <v>34225.937428571429</v>
      </c>
      <c r="J71" s="361">
        <f>'B) D RI'!U72</f>
        <v>37513.894014769903</v>
      </c>
      <c r="K71" s="62">
        <f t="shared" si="14"/>
        <v>28.379294143088181</v>
      </c>
      <c r="L71" s="33">
        <f>'B) D RI'!S72</f>
        <v>70</v>
      </c>
      <c r="M71" s="33">
        <f t="shared" si="9"/>
        <v>41.620705856911819</v>
      </c>
      <c r="N71" s="33">
        <f>'J) Plafonnement effort'!G70+'J) Plafonnement effort'!I70-'K) Plafonnement aide'!I70</f>
        <v>29.58374100009669</v>
      </c>
      <c r="O71" s="126">
        <f t="shared" si="10"/>
        <v>71.204446857008506</v>
      </c>
      <c r="P71" s="47">
        <f t="shared" si="11"/>
        <v>0</v>
      </c>
      <c r="Q71" s="55">
        <f t="shared" si="15"/>
        <v>0</v>
      </c>
      <c r="R71" s="146">
        <f t="shared" si="12"/>
        <v>71.204446857008506</v>
      </c>
      <c r="S71" s="126">
        <f t="shared" si="13"/>
        <v>1.2044468570085058</v>
      </c>
      <c r="T71" s="145">
        <f t="shared" ref="T71:T134" si="17">+C71+D71+E71+F71+G71-H71</f>
        <v>0</v>
      </c>
      <c r="V71" s="12"/>
    </row>
    <row r="72" spans="1:22" x14ac:dyDescent="0.25">
      <c r="A72" s="49">
        <f>'A) Base RI'!A73</f>
        <v>5503</v>
      </c>
      <c r="B72" s="357" t="str">
        <f>'A) Base RI'!B73</f>
        <v>Vufflens-la-Ville</v>
      </c>
      <c r="C72" s="419">
        <v>1246859.7064182421</v>
      </c>
      <c r="D72" s="419">
        <v>1069423.7811553748</v>
      </c>
      <c r="E72" s="396">
        <v>0</v>
      </c>
      <c r="F72" s="396">
        <v>0</v>
      </c>
      <c r="G72" s="396">
        <v>0</v>
      </c>
      <c r="H72" s="419">
        <f t="shared" si="16"/>
        <v>2316283.4875736171</v>
      </c>
      <c r="I72" s="420">
        <v>64516.192437810947</v>
      </c>
      <c r="J72" s="361">
        <f>'B) D RI'!U73</f>
        <v>71529.073769442432</v>
      </c>
      <c r="K72" s="62">
        <f t="shared" si="14"/>
        <v>35.902358773052995</v>
      </c>
      <c r="L72" s="33">
        <f>'B) D RI'!S73</f>
        <v>67</v>
      </c>
      <c r="M72" s="33">
        <f t="shared" si="9"/>
        <v>31.097641226947005</v>
      </c>
      <c r="N72" s="33">
        <f>'J) Plafonnement effort'!G71+'J) Plafonnement effort'!I71-'K) Plafonnement aide'!I71</f>
        <v>40.750019897729985</v>
      </c>
      <c r="O72" s="126">
        <f t="shared" si="10"/>
        <v>71.847661124676989</v>
      </c>
      <c r="P72" s="47">
        <f t="shared" si="11"/>
        <v>0</v>
      </c>
      <c r="Q72" s="55">
        <f t="shared" si="15"/>
        <v>0</v>
      </c>
      <c r="R72" s="146">
        <f t="shared" si="12"/>
        <v>71.847661124676989</v>
      </c>
      <c r="S72" s="126">
        <f t="shared" si="13"/>
        <v>4.8476611246769892</v>
      </c>
      <c r="T72" s="145">
        <f t="shared" si="17"/>
        <v>0</v>
      </c>
      <c r="V72" s="12"/>
    </row>
    <row r="73" spans="1:22" x14ac:dyDescent="0.25">
      <c r="A73" s="49">
        <f>'A) Base RI'!A74</f>
        <v>5511</v>
      </c>
      <c r="B73" s="357" t="str">
        <f>'A) Base RI'!B74</f>
        <v>Assens</v>
      </c>
      <c r="C73" s="419">
        <v>802942.24195966311</v>
      </c>
      <c r="D73" s="419">
        <v>808587.28085418988</v>
      </c>
      <c r="E73" s="396">
        <v>0</v>
      </c>
      <c r="F73" s="396">
        <v>0</v>
      </c>
      <c r="G73" s="396">
        <v>0</v>
      </c>
      <c r="H73" s="419">
        <f t="shared" si="16"/>
        <v>1611529.5228138529</v>
      </c>
      <c r="I73" s="420">
        <v>48081.721857142853</v>
      </c>
      <c r="J73" s="361">
        <f>'B) D RI'!U74</f>
        <v>42924.75672243804</v>
      </c>
      <c r="K73" s="62">
        <f t="shared" si="14"/>
        <v>33.516468640659753</v>
      </c>
      <c r="L73" s="33">
        <f>'B) D RI'!S74</f>
        <v>70</v>
      </c>
      <c r="M73" s="33">
        <f t="shared" si="9"/>
        <v>36.483531359340247</v>
      </c>
      <c r="N73" s="33">
        <f>'J) Plafonnement effort'!G72+'J) Plafonnement effort'!I72-'K) Plafonnement aide'!I72</f>
        <v>23.136009270171854</v>
      </c>
      <c r="O73" s="126">
        <f t="shared" si="10"/>
        <v>59.619540629512102</v>
      </c>
      <c r="P73" s="47">
        <f t="shared" si="11"/>
        <v>0</v>
      </c>
      <c r="Q73" s="55">
        <f t="shared" si="15"/>
        <v>0</v>
      </c>
      <c r="R73" s="146">
        <f t="shared" si="12"/>
        <v>59.619540629512102</v>
      </c>
      <c r="S73" s="126">
        <f t="shared" si="13"/>
        <v>-10.380459370487898</v>
      </c>
      <c r="T73" s="145">
        <f t="shared" si="17"/>
        <v>0</v>
      </c>
      <c r="V73" s="12"/>
    </row>
    <row r="74" spans="1:22" x14ac:dyDescent="0.25">
      <c r="A74" s="49">
        <f>'A) Base RI'!A75</f>
        <v>5512</v>
      </c>
      <c r="B74" s="357" t="str">
        <f>'A) Base RI'!B75</f>
        <v>Bercher</v>
      </c>
      <c r="C74" s="419">
        <v>711948.40384601115</v>
      </c>
      <c r="D74" s="419">
        <v>111822.83738725516</v>
      </c>
      <c r="E74" s="396">
        <v>0</v>
      </c>
      <c r="F74" s="396">
        <v>0</v>
      </c>
      <c r="G74" s="396">
        <v>0</v>
      </c>
      <c r="H74" s="419">
        <f t="shared" si="16"/>
        <v>823771.24123326631</v>
      </c>
      <c r="I74" s="420">
        <v>37529.742911392401</v>
      </c>
      <c r="J74" s="361">
        <f>'B) D RI'!U75</f>
        <v>37044.132282785904</v>
      </c>
      <c r="K74" s="62">
        <f t="shared" si="14"/>
        <v>21.949823721899389</v>
      </c>
      <c r="L74" s="33">
        <f>'B) D RI'!S75</f>
        <v>79</v>
      </c>
      <c r="M74" s="33">
        <f t="shared" si="9"/>
        <v>57.050176278100608</v>
      </c>
      <c r="N74" s="33">
        <f>'J) Plafonnement effort'!G73+'J) Plafonnement effort'!I73-'K) Plafonnement aide'!I73</f>
        <v>16.548106006485551</v>
      </c>
      <c r="O74" s="126">
        <f t="shared" si="10"/>
        <v>73.598282284586162</v>
      </c>
      <c r="P74" s="47">
        <f t="shared" si="11"/>
        <v>0</v>
      </c>
      <c r="Q74" s="55">
        <f t="shared" si="15"/>
        <v>0</v>
      </c>
      <c r="R74" s="146">
        <f t="shared" si="12"/>
        <v>73.598282284586162</v>
      </c>
      <c r="S74" s="126">
        <f t="shared" si="13"/>
        <v>-5.4017177154138381</v>
      </c>
      <c r="T74" s="145">
        <f t="shared" si="17"/>
        <v>0</v>
      </c>
      <c r="V74" s="12"/>
    </row>
    <row r="75" spans="1:22" x14ac:dyDescent="0.25">
      <c r="A75" s="49">
        <f>'A) Base RI'!A76</f>
        <v>5513</v>
      </c>
      <c r="B75" s="357" t="str">
        <f>'A) Base RI'!B76</f>
        <v>Bioley-Orjulaz</v>
      </c>
      <c r="C75" s="419">
        <v>545741.01661566447</v>
      </c>
      <c r="D75" s="419">
        <v>331578.61753175507</v>
      </c>
      <c r="E75" s="396">
        <v>0</v>
      </c>
      <c r="F75" s="396">
        <v>0</v>
      </c>
      <c r="G75" s="396">
        <v>0</v>
      </c>
      <c r="H75" s="419">
        <f t="shared" si="16"/>
        <v>877319.63414741959</v>
      </c>
      <c r="I75" s="420">
        <v>21045.596470588232</v>
      </c>
      <c r="J75" s="361">
        <f>'B) D RI'!U76</f>
        <v>21181.93028195855</v>
      </c>
      <c r="K75" s="62">
        <f t="shared" si="14"/>
        <v>41.686612939362234</v>
      </c>
      <c r="L75" s="33">
        <f>'B) D RI'!S76</f>
        <v>68</v>
      </c>
      <c r="M75" s="33">
        <f t="shared" si="9"/>
        <v>26.313387060637766</v>
      </c>
      <c r="N75" s="33">
        <f>'J) Plafonnement effort'!G74+'J) Plafonnement effort'!I74-'K) Plafonnement aide'!I74</f>
        <v>34.44182388089272</v>
      </c>
      <c r="O75" s="126">
        <f t="shared" si="10"/>
        <v>60.755210941530486</v>
      </c>
      <c r="P75" s="47">
        <f t="shared" si="11"/>
        <v>0</v>
      </c>
      <c r="Q75" s="55">
        <f t="shared" si="15"/>
        <v>0</v>
      </c>
      <c r="R75" s="146">
        <f t="shared" si="12"/>
        <v>60.755210941530486</v>
      </c>
      <c r="S75" s="126">
        <f t="shared" si="13"/>
        <v>-7.2447890584695145</v>
      </c>
      <c r="T75" s="145">
        <f t="shared" si="17"/>
        <v>0</v>
      </c>
      <c r="V75" s="12"/>
    </row>
    <row r="76" spans="1:22" x14ac:dyDescent="0.25">
      <c r="A76" s="49">
        <f>'A) Base RI'!A77</f>
        <v>5514</v>
      </c>
      <c r="B76" s="357" t="str">
        <f>'A) Base RI'!B77</f>
        <v>Bottens</v>
      </c>
      <c r="C76" s="419">
        <v>707740.76395040832</v>
      </c>
      <c r="D76" s="419">
        <v>297310.16540482023</v>
      </c>
      <c r="E76" s="396">
        <v>0</v>
      </c>
      <c r="F76" s="396">
        <v>0</v>
      </c>
      <c r="G76" s="396">
        <v>0</v>
      </c>
      <c r="H76" s="419">
        <f t="shared" si="16"/>
        <v>1005050.9293552286</v>
      </c>
      <c r="I76" s="420">
        <v>40912.963623188407</v>
      </c>
      <c r="J76" s="361">
        <f>'B) D RI'!U77</f>
        <v>44638.492368569219</v>
      </c>
      <c r="K76" s="62">
        <f t="shared" si="14"/>
        <v>24.565586072224594</v>
      </c>
      <c r="L76" s="33">
        <f>'B) D RI'!S77</f>
        <v>69</v>
      </c>
      <c r="M76" s="33">
        <f t="shared" si="9"/>
        <v>44.43441392777541</v>
      </c>
      <c r="N76" s="33">
        <f>'J) Plafonnement effort'!G75+'J) Plafonnement effort'!I75-'K) Plafonnement aide'!I75</f>
        <v>26.034620253281744</v>
      </c>
      <c r="O76" s="126">
        <f t="shared" si="10"/>
        <v>70.469034181057154</v>
      </c>
      <c r="P76" s="47">
        <f t="shared" si="11"/>
        <v>0</v>
      </c>
      <c r="Q76" s="55">
        <f t="shared" si="15"/>
        <v>0</v>
      </c>
      <c r="R76" s="146">
        <f t="shared" si="12"/>
        <v>70.469034181057154</v>
      </c>
      <c r="S76" s="126">
        <f t="shared" si="13"/>
        <v>1.4690341810571539</v>
      </c>
      <c r="T76" s="145">
        <f t="shared" si="17"/>
        <v>0</v>
      </c>
      <c r="V76" s="12"/>
    </row>
    <row r="77" spans="1:22" x14ac:dyDescent="0.25">
      <c r="A77" s="49">
        <f>'A) Base RI'!A78</f>
        <v>5515</v>
      </c>
      <c r="B77" s="357" t="str">
        <f>'A) Base RI'!B78</f>
        <v>Bretigny-sur-Morrens</v>
      </c>
      <c r="C77" s="419">
        <v>492610.2702195067</v>
      </c>
      <c r="D77" s="419">
        <v>248403.80612372211</v>
      </c>
      <c r="E77" s="396">
        <v>0</v>
      </c>
      <c r="F77" s="396">
        <v>0</v>
      </c>
      <c r="G77" s="396">
        <v>0</v>
      </c>
      <c r="H77" s="419">
        <f t="shared" si="16"/>
        <v>741014.07634322881</v>
      </c>
      <c r="I77" s="420">
        <v>27693.425342465755</v>
      </c>
      <c r="J77" s="361">
        <f>'B) D RI'!U78</f>
        <v>28831.158924958156</v>
      </c>
      <c r="K77" s="62">
        <f t="shared" si="14"/>
        <v>26.757761713461292</v>
      </c>
      <c r="L77" s="33">
        <f>'B) D RI'!S78</f>
        <v>81</v>
      </c>
      <c r="M77" s="33">
        <f t="shared" si="9"/>
        <v>54.242238286538708</v>
      </c>
      <c r="N77" s="33">
        <f>'J) Plafonnement effort'!G76+'J) Plafonnement effort'!I76-'K) Plafonnement aide'!I76</f>
        <v>25.866648119042065</v>
      </c>
      <c r="O77" s="126">
        <f t="shared" si="10"/>
        <v>80.108886405580776</v>
      </c>
      <c r="P77" s="47">
        <f t="shared" si="11"/>
        <v>0</v>
      </c>
      <c r="Q77" s="55">
        <f t="shared" si="15"/>
        <v>0</v>
      </c>
      <c r="R77" s="146">
        <f t="shared" si="12"/>
        <v>80.108886405580776</v>
      </c>
      <c r="S77" s="126">
        <f t="shared" si="13"/>
        <v>-0.89111359441922389</v>
      </c>
      <c r="T77" s="145">
        <f t="shared" si="17"/>
        <v>0</v>
      </c>
      <c r="V77" s="12"/>
    </row>
    <row r="78" spans="1:22" x14ac:dyDescent="0.25">
      <c r="A78" s="49">
        <f>'A) Base RI'!A79</f>
        <v>5516</v>
      </c>
      <c r="B78" s="357" t="str">
        <f>'A) Base RI'!B79</f>
        <v>Cugy</v>
      </c>
      <c r="C78" s="419">
        <v>2041788.3407018781</v>
      </c>
      <c r="D78" s="419">
        <v>1200817.4192753404</v>
      </c>
      <c r="E78" s="396">
        <v>0</v>
      </c>
      <c r="F78" s="396">
        <v>0</v>
      </c>
      <c r="G78" s="396">
        <v>0</v>
      </c>
      <c r="H78" s="419">
        <f t="shared" si="16"/>
        <v>3242605.7599772187</v>
      </c>
      <c r="I78" s="420">
        <v>110018.3817142857</v>
      </c>
      <c r="J78" s="361">
        <f>'B) D RI'!U79</f>
        <v>111243.36559703569</v>
      </c>
      <c r="K78" s="62">
        <f t="shared" si="14"/>
        <v>29.473309000292012</v>
      </c>
      <c r="L78" s="33">
        <f>'B) D RI'!S79</f>
        <v>78</v>
      </c>
      <c r="M78" s="33">
        <f t="shared" si="9"/>
        <v>48.526690999707988</v>
      </c>
      <c r="N78" s="33">
        <f>'J) Plafonnement effort'!G77+'J) Plafonnement effort'!I77-'K) Plafonnement aide'!I77</f>
        <v>27.564324804981041</v>
      </c>
      <c r="O78" s="126">
        <f t="shared" si="10"/>
        <v>76.091015804689022</v>
      </c>
      <c r="P78" s="47">
        <f t="shared" si="11"/>
        <v>0</v>
      </c>
      <c r="Q78" s="55">
        <f t="shared" si="15"/>
        <v>0</v>
      </c>
      <c r="R78" s="146">
        <f t="shared" si="12"/>
        <v>76.091015804689022</v>
      </c>
      <c r="S78" s="126">
        <f t="shared" si="13"/>
        <v>-1.9089841953109783</v>
      </c>
      <c r="T78" s="145">
        <f t="shared" si="17"/>
        <v>0</v>
      </c>
      <c r="V78" s="12"/>
    </row>
    <row r="79" spans="1:22" x14ac:dyDescent="0.25">
      <c r="A79" s="49">
        <f>'A) Base RI'!A80</f>
        <v>5518</v>
      </c>
      <c r="B79" s="357" t="str">
        <f>'A) Base RI'!B80</f>
        <v>Echallens</v>
      </c>
      <c r="C79" s="419">
        <v>3257131.7251791549</v>
      </c>
      <c r="D79" s="419">
        <v>-93424.372788166627</v>
      </c>
      <c r="E79" s="396">
        <v>0</v>
      </c>
      <c r="F79" s="396">
        <v>0</v>
      </c>
      <c r="G79" s="396">
        <v>0</v>
      </c>
      <c r="H79" s="419">
        <f t="shared" si="16"/>
        <v>3163707.3523909883</v>
      </c>
      <c r="I79" s="420">
        <v>186251.15094594596</v>
      </c>
      <c r="J79" s="361">
        <f>'B) D RI'!U80</f>
        <v>180959.47694399237</v>
      </c>
      <c r="K79" s="62">
        <f t="shared" si="14"/>
        <v>16.986243232983636</v>
      </c>
      <c r="L79" s="33">
        <f>'B) D RI'!S80</f>
        <v>74</v>
      </c>
      <c r="M79" s="33">
        <f t="shared" si="9"/>
        <v>57.013756767016361</v>
      </c>
      <c r="N79" s="33">
        <f>'J) Plafonnement effort'!G78+'J) Plafonnement effort'!I78-'K) Plafonnement aide'!I78</f>
        <v>10.155480569434239</v>
      </c>
      <c r="O79" s="126">
        <f t="shared" si="10"/>
        <v>67.169237336450607</v>
      </c>
      <c r="P79" s="47">
        <f t="shared" si="11"/>
        <v>0</v>
      </c>
      <c r="Q79" s="55">
        <f t="shared" si="15"/>
        <v>0</v>
      </c>
      <c r="R79" s="146">
        <f t="shared" si="12"/>
        <v>67.169237336450607</v>
      </c>
      <c r="S79" s="126">
        <f t="shared" si="13"/>
        <v>-6.8307626635493932</v>
      </c>
      <c r="T79" s="145">
        <f t="shared" si="17"/>
        <v>0</v>
      </c>
      <c r="V79" s="12"/>
    </row>
    <row r="80" spans="1:22" x14ac:dyDescent="0.25">
      <c r="A80" s="49">
        <f>'A) Base RI'!A81</f>
        <v>5520</v>
      </c>
      <c r="B80" s="357" t="str">
        <f>'A) Base RI'!B81</f>
        <v>Essertines-sur-Yverdon</v>
      </c>
      <c r="C80" s="419">
        <v>606787.84688492515</v>
      </c>
      <c r="D80" s="419">
        <v>258117.431541192</v>
      </c>
      <c r="E80" s="396">
        <v>0</v>
      </c>
      <c r="F80" s="396">
        <v>0</v>
      </c>
      <c r="G80" s="396">
        <v>0</v>
      </c>
      <c r="H80" s="419">
        <f t="shared" si="16"/>
        <v>864905.27842611715</v>
      </c>
      <c r="I80" s="420">
        <v>32026.22082191781</v>
      </c>
      <c r="J80" s="361">
        <f>'B) D RI'!U81</f>
        <v>31792.947431853896</v>
      </c>
      <c r="K80" s="62">
        <f t="shared" si="14"/>
        <v>27.006161083926621</v>
      </c>
      <c r="L80" s="33">
        <f>'B) D RI'!S81</f>
        <v>73</v>
      </c>
      <c r="M80" s="33">
        <f t="shared" si="9"/>
        <v>45.993838916073379</v>
      </c>
      <c r="N80" s="33">
        <f>'J) Plafonnement effort'!G79+'J) Plafonnement effort'!I79-'K) Plafonnement aide'!I79</f>
        <v>21.654730060771659</v>
      </c>
      <c r="O80" s="126">
        <f t="shared" si="10"/>
        <v>67.648568976845041</v>
      </c>
      <c r="P80" s="47">
        <f t="shared" si="11"/>
        <v>0</v>
      </c>
      <c r="Q80" s="55">
        <f t="shared" si="15"/>
        <v>0</v>
      </c>
      <c r="R80" s="146">
        <f t="shared" si="12"/>
        <v>67.648568976845041</v>
      </c>
      <c r="S80" s="126">
        <f t="shared" si="13"/>
        <v>-5.3514310231549587</v>
      </c>
      <c r="T80" s="145">
        <f t="shared" si="17"/>
        <v>0</v>
      </c>
      <c r="V80" s="12"/>
    </row>
    <row r="81" spans="1:22" x14ac:dyDescent="0.25">
      <c r="A81" s="49">
        <f>'A) Base RI'!A82</f>
        <v>5521</v>
      </c>
      <c r="B81" s="357" t="str">
        <f>'A) Base RI'!B82</f>
        <v>Etagnières</v>
      </c>
      <c r="C81" s="419">
        <v>734797.13769961626</v>
      </c>
      <c r="D81" s="419">
        <v>449690.62604889914</v>
      </c>
      <c r="E81" s="396">
        <v>0</v>
      </c>
      <c r="F81" s="396">
        <v>0</v>
      </c>
      <c r="G81" s="396">
        <v>0</v>
      </c>
      <c r="H81" s="419">
        <f t="shared" si="16"/>
        <v>1184487.7637485154</v>
      </c>
      <c r="I81" s="420">
        <v>40939.440821917808</v>
      </c>
      <c r="J81" s="361">
        <f>'B) D RI'!U82</f>
        <v>41863.452740254725</v>
      </c>
      <c r="K81" s="62">
        <f t="shared" si="14"/>
        <v>28.932680563491587</v>
      </c>
      <c r="L81" s="33">
        <f>'B) D RI'!S82</f>
        <v>73</v>
      </c>
      <c r="M81" s="33">
        <f t="shared" si="9"/>
        <v>44.067319436508413</v>
      </c>
      <c r="N81" s="33">
        <f>'J) Plafonnement effort'!G80+'J) Plafonnement effort'!I80-'K) Plafonnement aide'!I80</f>
        <v>29.271962233987324</v>
      </c>
      <c r="O81" s="126">
        <f t="shared" si="10"/>
        <v>73.339281670495737</v>
      </c>
      <c r="P81" s="47">
        <f t="shared" si="11"/>
        <v>0</v>
      </c>
      <c r="Q81" s="55">
        <f t="shared" si="15"/>
        <v>0</v>
      </c>
      <c r="R81" s="146">
        <f t="shared" si="12"/>
        <v>73.339281670495737</v>
      </c>
      <c r="S81" s="126">
        <f t="shared" si="13"/>
        <v>0.33928167049573688</v>
      </c>
      <c r="T81" s="145">
        <f t="shared" si="17"/>
        <v>0</v>
      </c>
      <c r="V81" s="12"/>
    </row>
    <row r="82" spans="1:22" x14ac:dyDescent="0.25">
      <c r="A82" s="49">
        <f>'A) Base RI'!A83</f>
        <v>5522</v>
      </c>
      <c r="B82" s="357" t="str">
        <f>'A) Base RI'!B83</f>
        <v>Fey</v>
      </c>
      <c r="C82" s="419">
        <v>387871.38590017043</v>
      </c>
      <c r="D82" s="419">
        <v>58599.922475964122</v>
      </c>
      <c r="E82" s="396">
        <v>0</v>
      </c>
      <c r="F82" s="396">
        <v>0</v>
      </c>
      <c r="G82" s="396">
        <v>0</v>
      </c>
      <c r="H82" s="419">
        <f t="shared" si="16"/>
        <v>446471.30837613455</v>
      </c>
      <c r="I82" s="420">
        <v>20215.813200000001</v>
      </c>
      <c r="J82" s="361">
        <f>'B) D RI'!U83</f>
        <v>21530.578579692767</v>
      </c>
      <c r="K82" s="62">
        <f t="shared" si="14"/>
        <v>22.085250984419194</v>
      </c>
      <c r="L82" s="33">
        <f>'B) D RI'!S83</f>
        <v>75</v>
      </c>
      <c r="M82" s="33">
        <f t="shared" si="9"/>
        <v>52.91474901558081</v>
      </c>
      <c r="N82" s="33">
        <f>'J) Plafonnement effort'!G81+'J) Plafonnement effort'!I81-'K) Plafonnement aide'!I81</f>
        <v>20.740721721649841</v>
      </c>
      <c r="O82" s="126">
        <f t="shared" si="10"/>
        <v>73.655470737230644</v>
      </c>
      <c r="P82" s="47">
        <f t="shared" si="11"/>
        <v>0</v>
      </c>
      <c r="Q82" s="55">
        <f t="shared" si="15"/>
        <v>0</v>
      </c>
      <c r="R82" s="146">
        <f t="shared" si="12"/>
        <v>73.655470737230644</v>
      </c>
      <c r="S82" s="126">
        <f t="shared" si="13"/>
        <v>-1.3445292627693561</v>
      </c>
      <c r="T82" s="145">
        <f t="shared" si="17"/>
        <v>0</v>
      </c>
      <c r="V82" s="12"/>
    </row>
    <row r="83" spans="1:22" x14ac:dyDescent="0.25">
      <c r="A83" s="49">
        <f>'A) Base RI'!A84</f>
        <v>5523</v>
      </c>
      <c r="B83" s="357" t="str">
        <f>'A) Base RI'!B84</f>
        <v>Froideville</v>
      </c>
      <c r="C83" s="419">
        <v>1466957.1175540036</v>
      </c>
      <c r="D83" s="419">
        <v>279169.34988435032</v>
      </c>
      <c r="E83" s="396">
        <v>0</v>
      </c>
      <c r="F83" s="396">
        <v>0</v>
      </c>
      <c r="G83" s="396">
        <v>0</v>
      </c>
      <c r="H83" s="419">
        <f t="shared" si="16"/>
        <v>1746126.4674383539</v>
      </c>
      <c r="I83" s="420">
        <v>83831.156184210529</v>
      </c>
      <c r="J83" s="361">
        <f>'B) D RI'!U84</f>
        <v>82933.673531693348</v>
      </c>
      <c r="K83" s="62">
        <f t="shared" si="14"/>
        <v>20.829087262036762</v>
      </c>
      <c r="L83" s="33">
        <f>'B) D RI'!S84</f>
        <v>76</v>
      </c>
      <c r="M83" s="33">
        <f t="shared" si="9"/>
        <v>55.170912737963235</v>
      </c>
      <c r="N83" s="33">
        <f>'J) Plafonnement effort'!G82+'J) Plafonnement effort'!I82-'K) Plafonnement aide'!I82</f>
        <v>19.512325579784417</v>
      </c>
      <c r="O83" s="126">
        <f t="shared" si="10"/>
        <v>74.683238317747652</v>
      </c>
      <c r="P83" s="47">
        <f t="shared" si="11"/>
        <v>0</v>
      </c>
      <c r="Q83" s="55">
        <f t="shared" si="15"/>
        <v>0</v>
      </c>
      <c r="R83" s="146">
        <f t="shared" si="12"/>
        <v>74.683238317747652</v>
      </c>
      <c r="S83" s="126">
        <f t="shared" si="13"/>
        <v>-1.3167616822523485</v>
      </c>
      <c r="T83" s="145">
        <f t="shared" si="17"/>
        <v>0</v>
      </c>
      <c r="V83" s="12"/>
    </row>
    <row r="84" spans="1:22" x14ac:dyDescent="0.25">
      <c r="A84" s="49">
        <f>'A) Base RI'!A85</f>
        <v>5527</v>
      </c>
      <c r="B84" s="357" t="str">
        <f>'A) Base RI'!B85</f>
        <v>Morrens</v>
      </c>
      <c r="C84" s="419">
        <v>707541.3049601547</v>
      </c>
      <c r="D84" s="419">
        <v>443598.03938878147</v>
      </c>
      <c r="E84" s="396">
        <v>0</v>
      </c>
      <c r="F84" s="396">
        <v>0</v>
      </c>
      <c r="G84" s="396">
        <v>0</v>
      </c>
      <c r="H84" s="419">
        <f t="shared" si="16"/>
        <v>1151139.3443489361</v>
      </c>
      <c r="I84" s="420">
        <v>39666.797042253522</v>
      </c>
      <c r="J84" s="361">
        <f>'B) D RI'!U85</f>
        <v>37846.307885294293</v>
      </c>
      <c r="K84" s="62">
        <f t="shared" si="14"/>
        <v>29.020224222357289</v>
      </c>
      <c r="L84" s="33">
        <f>'B) D RI'!S85</f>
        <v>74</v>
      </c>
      <c r="M84" s="33">
        <f t="shared" si="9"/>
        <v>44.979775777642715</v>
      </c>
      <c r="N84" s="33">
        <f>'J) Plafonnement effort'!G83+'J) Plafonnement effort'!I83-'K) Plafonnement aide'!I83</f>
        <v>28.471581359224999</v>
      </c>
      <c r="O84" s="126">
        <f t="shared" si="10"/>
        <v>73.451357136867713</v>
      </c>
      <c r="P84" s="47">
        <f t="shared" si="11"/>
        <v>0</v>
      </c>
      <c r="Q84" s="55">
        <f t="shared" si="15"/>
        <v>0</v>
      </c>
      <c r="R84" s="146">
        <f t="shared" si="12"/>
        <v>73.451357136867713</v>
      </c>
      <c r="S84" s="126">
        <f t="shared" si="13"/>
        <v>-0.54864286313228661</v>
      </c>
      <c r="T84" s="145">
        <f t="shared" si="17"/>
        <v>0</v>
      </c>
      <c r="V84" s="12"/>
    </row>
    <row r="85" spans="1:22" x14ac:dyDescent="0.25">
      <c r="A85" s="49">
        <f>'A) Base RI'!A86</f>
        <v>5529</v>
      </c>
      <c r="B85" s="357" t="str">
        <f>'A) Base RI'!B86</f>
        <v>Oulens-sous-Echallens</v>
      </c>
      <c r="C85" s="419">
        <v>371904.30165323464</v>
      </c>
      <c r="D85" s="419">
        <v>215736.30532588216</v>
      </c>
      <c r="E85" s="396">
        <v>0</v>
      </c>
      <c r="F85" s="396">
        <v>0</v>
      </c>
      <c r="G85" s="396">
        <v>0</v>
      </c>
      <c r="H85" s="419">
        <f t="shared" si="16"/>
        <v>587640.6069791168</v>
      </c>
      <c r="I85" s="420">
        <v>20224.362535211272</v>
      </c>
      <c r="J85" s="361">
        <f>'B) D RI'!U86</f>
        <v>21232.684624593807</v>
      </c>
      <c r="K85" s="62">
        <f t="shared" si="14"/>
        <v>29.056075609602797</v>
      </c>
      <c r="L85" s="33">
        <f>'B) D RI'!S86</f>
        <v>71</v>
      </c>
      <c r="M85" s="33">
        <f t="shared" si="9"/>
        <v>41.9439243903972</v>
      </c>
      <c r="N85" s="33">
        <f>'J) Plafonnement effort'!G84+'J) Plafonnement effort'!I84-'K) Plafonnement aide'!I84</f>
        <v>21.615027373763226</v>
      </c>
      <c r="O85" s="126">
        <f t="shared" si="10"/>
        <v>63.558951764160426</v>
      </c>
      <c r="P85" s="47">
        <f t="shared" si="11"/>
        <v>0</v>
      </c>
      <c r="Q85" s="55">
        <f t="shared" si="15"/>
        <v>0</v>
      </c>
      <c r="R85" s="146">
        <f t="shared" si="12"/>
        <v>63.558951764160426</v>
      </c>
      <c r="S85" s="126">
        <f t="shared" si="13"/>
        <v>-7.441048235839574</v>
      </c>
      <c r="T85" s="145">
        <f t="shared" si="17"/>
        <v>0</v>
      </c>
      <c r="V85" s="12"/>
    </row>
    <row r="86" spans="1:22" x14ac:dyDescent="0.25">
      <c r="A86" s="49">
        <f>'A) Base RI'!A87</f>
        <v>5530</v>
      </c>
      <c r="B86" s="357" t="str">
        <f>'A) Base RI'!B87</f>
        <v>Pailly</v>
      </c>
      <c r="C86" s="419">
        <v>307845.01901892002</v>
      </c>
      <c r="D86" s="419">
        <v>60699.069452316035</v>
      </c>
      <c r="E86" s="396">
        <v>0</v>
      </c>
      <c r="F86" s="396">
        <v>0</v>
      </c>
      <c r="G86" s="396">
        <v>0</v>
      </c>
      <c r="H86" s="419">
        <f t="shared" si="16"/>
        <v>368544.08847123606</v>
      </c>
      <c r="I86" s="420">
        <v>16275.145870967741</v>
      </c>
      <c r="J86" s="361">
        <f>'B) D RI'!U87</f>
        <v>16822.836054480296</v>
      </c>
      <c r="K86" s="62">
        <f t="shared" si="14"/>
        <v>22.644595101827001</v>
      </c>
      <c r="L86" s="33">
        <f>'B) D RI'!S87</f>
        <v>77.5</v>
      </c>
      <c r="M86" s="33">
        <f t="shared" si="9"/>
        <v>54.855404898172999</v>
      </c>
      <c r="N86" s="33">
        <f>'J) Plafonnement effort'!G85+'J) Plafonnement effort'!I85-'K) Plafonnement aide'!I85</f>
        <v>11.511305790673671</v>
      </c>
      <c r="O86" s="126">
        <f t="shared" si="10"/>
        <v>66.366710688846666</v>
      </c>
      <c r="P86" s="47">
        <f t="shared" si="11"/>
        <v>0</v>
      </c>
      <c r="Q86" s="55">
        <f t="shared" si="15"/>
        <v>0</v>
      </c>
      <c r="R86" s="146">
        <f t="shared" si="12"/>
        <v>66.366710688846666</v>
      </c>
      <c r="S86" s="126">
        <f t="shared" si="13"/>
        <v>-11.133289311153334</v>
      </c>
      <c r="T86" s="145">
        <f t="shared" si="17"/>
        <v>0</v>
      </c>
      <c r="V86" s="12"/>
    </row>
    <row r="87" spans="1:22" x14ac:dyDescent="0.25">
      <c r="A87" s="49">
        <f>'A) Base RI'!A88</f>
        <v>5531</v>
      </c>
      <c r="B87" s="357" t="str">
        <f>'A) Base RI'!B88</f>
        <v>Penthéréaz</v>
      </c>
      <c r="C87" s="419">
        <v>235717.82118547428</v>
      </c>
      <c r="D87" s="419">
        <v>70717.772886958788</v>
      </c>
      <c r="E87" s="396">
        <v>0</v>
      </c>
      <c r="F87" s="396">
        <v>0</v>
      </c>
      <c r="G87" s="396">
        <v>0</v>
      </c>
      <c r="H87" s="419">
        <f t="shared" si="16"/>
        <v>306435.59407243307</v>
      </c>
      <c r="I87" s="420">
        <v>13115.607307692309</v>
      </c>
      <c r="J87" s="361">
        <f>'B) D RI'!U88</f>
        <v>14989.425098501475</v>
      </c>
      <c r="K87" s="62">
        <f t="shared" si="14"/>
        <v>23.364194038709016</v>
      </c>
      <c r="L87" s="33">
        <f>'B) D RI'!S88</f>
        <v>78</v>
      </c>
      <c r="M87" s="33">
        <f t="shared" si="9"/>
        <v>54.635805961290984</v>
      </c>
      <c r="N87" s="33">
        <f>'J) Plafonnement effort'!G86+'J) Plafonnement effort'!I86-'K) Plafonnement aide'!I86</f>
        <v>24.898471048469734</v>
      </c>
      <c r="O87" s="126">
        <f t="shared" si="10"/>
        <v>79.534277009760714</v>
      </c>
      <c r="P87" s="47">
        <f t="shared" si="11"/>
        <v>0</v>
      </c>
      <c r="Q87" s="55">
        <f t="shared" si="15"/>
        <v>0</v>
      </c>
      <c r="R87" s="146">
        <f t="shared" si="12"/>
        <v>79.534277009760714</v>
      </c>
      <c r="S87" s="126">
        <f t="shared" si="13"/>
        <v>1.5342770097607143</v>
      </c>
      <c r="T87" s="145">
        <f t="shared" si="17"/>
        <v>0</v>
      </c>
      <c r="V87" s="12"/>
    </row>
    <row r="88" spans="1:22" x14ac:dyDescent="0.25">
      <c r="A88" s="49">
        <f>'A) Base RI'!A89</f>
        <v>5533</v>
      </c>
      <c r="B88" s="357" t="str">
        <f>'A) Base RI'!B89</f>
        <v>Poliez-Pittet</v>
      </c>
      <c r="C88" s="419">
        <v>452738.69064472208</v>
      </c>
      <c r="D88" s="419">
        <v>227302.7822520574</v>
      </c>
      <c r="E88" s="396">
        <v>0</v>
      </c>
      <c r="F88" s="396">
        <v>0</v>
      </c>
      <c r="G88" s="396">
        <v>0</v>
      </c>
      <c r="H88" s="419">
        <f t="shared" si="16"/>
        <v>680041.47289677942</v>
      </c>
      <c r="I88" s="420">
        <v>27509.250422535213</v>
      </c>
      <c r="J88" s="361">
        <f>'B) D RI'!U89</f>
        <v>25275.822973621725</v>
      </c>
      <c r="K88" s="62">
        <f t="shared" si="14"/>
        <v>24.720465387152043</v>
      </c>
      <c r="L88" s="33">
        <f>'B) D RI'!S89</f>
        <v>71</v>
      </c>
      <c r="M88" s="33">
        <f t="shared" si="9"/>
        <v>46.279534612847954</v>
      </c>
      <c r="N88" s="33">
        <f>'J) Plafonnement effort'!G87+'J) Plafonnement effort'!I87-'K) Plafonnement aide'!I87</f>
        <v>21.642691611430074</v>
      </c>
      <c r="O88" s="126">
        <f t="shared" si="10"/>
        <v>67.922226224278035</v>
      </c>
      <c r="P88" s="47">
        <f t="shared" si="11"/>
        <v>0</v>
      </c>
      <c r="Q88" s="55">
        <f t="shared" si="15"/>
        <v>0</v>
      </c>
      <c r="R88" s="146">
        <f t="shared" si="12"/>
        <v>67.922226224278035</v>
      </c>
      <c r="S88" s="126">
        <f t="shared" si="13"/>
        <v>-3.0777737757219654</v>
      </c>
      <c r="T88" s="145">
        <f t="shared" si="17"/>
        <v>0</v>
      </c>
      <c r="V88" s="12"/>
    </row>
    <row r="89" spans="1:22" x14ac:dyDescent="0.25">
      <c r="A89" s="49">
        <f>'A) Base RI'!A90</f>
        <v>5534</v>
      </c>
      <c r="B89" s="357" t="str">
        <f>'A) Base RI'!B90</f>
        <v>Rueyres</v>
      </c>
      <c r="C89" s="419">
        <v>158002.46375087873</v>
      </c>
      <c r="D89" s="419">
        <v>104407.94560335319</v>
      </c>
      <c r="E89" s="396">
        <v>0</v>
      </c>
      <c r="F89" s="396">
        <v>0</v>
      </c>
      <c r="G89" s="396">
        <v>0</v>
      </c>
      <c r="H89" s="419">
        <f t="shared" si="16"/>
        <v>262410.4093542319</v>
      </c>
      <c r="I89" s="420">
        <v>9282.5224657534254</v>
      </c>
      <c r="J89" s="361">
        <f>'B) D RI'!U90</f>
        <v>8313.1321594227738</v>
      </c>
      <c r="K89" s="62">
        <f t="shared" si="14"/>
        <v>28.269299678224165</v>
      </c>
      <c r="L89" s="33">
        <f>'B) D RI'!S90</f>
        <v>73</v>
      </c>
      <c r="M89" s="33">
        <f t="shared" si="9"/>
        <v>44.730700321775835</v>
      </c>
      <c r="N89" s="33">
        <f>'J) Plafonnement effort'!G88+'J) Plafonnement effort'!I88-'K) Plafonnement aide'!I88</f>
        <v>22.645993503959208</v>
      </c>
      <c r="O89" s="126">
        <f t="shared" si="10"/>
        <v>67.376693825735046</v>
      </c>
      <c r="P89" s="47">
        <f t="shared" si="11"/>
        <v>0</v>
      </c>
      <c r="Q89" s="55">
        <f t="shared" si="15"/>
        <v>0</v>
      </c>
      <c r="R89" s="146">
        <f t="shared" si="12"/>
        <v>67.376693825735046</v>
      </c>
      <c r="S89" s="126">
        <f t="shared" si="13"/>
        <v>-5.6233061742649539</v>
      </c>
      <c r="T89" s="145">
        <f t="shared" si="17"/>
        <v>0</v>
      </c>
      <c r="V89" s="12"/>
    </row>
    <row r="90" spans="1:22" x14ac:dyDescent="0.25">
      <c r="A90" s="49">
        <f>'A) Base RI'!A91</f>
        <v>5535</v>
      </c>
      <c r="B90" s="357" t="str">
        <f>'A) Base RI'!B91</f>
        <v>Saint-Barthélemy</v>
      </c>
      <c r="C90" s="419">
        <v>392366.78594328585</v>
      </c>
      <c r="D90" s="419">
        <v>96423.973687032238</v>
      </c>
      <c r="E90" s="396">
        <v>0</v>
      </c>
      <c r="F90" s="396">
        <v>0</v>
      </c>
      <c r="G90" s="396">
        <v>0</v>
      </c>
      <c r="H90" s="419">
        <f t="shared" si="16"/>
        <v>488790.75963031809</v>
      </c>
      <c r="I90" s="420">
        <v>23206.167922077926</v>
      </c>
      <c r="J90" s="361">
        <f>'B) D RI'!U91</f>
        <v>21802.428816169639</v>
      </c>
      <c r="K90" s="62">
        <f t="shared" si="14"/>
        <v>21.062967452083782</v>
      </c>
      <c r="L90" s="33">
        <f>'B) D RI'!S91</f>
        <v>77</v>
      </c>
      <c r="M90" s="33">
        <f t="shared" si="9"/>
        <v>55.937032547916218</v>
      </c>
      <c r="N90" s="33">
        <f>'J) Plafonnement effort'!G89+'J) Plafonnement effort'!I89-'K) Plafonnement aide'!I89</f>
        <v>21.078559716413473</v>
      </c>
      <c r="O90" s="126">
        <f t="shared" si="10"/>
        <v>77.015592264329683</v>
      </c>
      <c r="P90" s="47">
        <f t="shared" si="11"/>
        <v>0</v>
      </c>
      <c r="Q90" s="55">
        <f t="shared" si="15"/>
        <v>0</v>
      </c>
      <c r="R90" s="146">
        <f t="shared" si="12"/>
        <v>77.015592264329683</v>
      </c>
      <c r="S90" s="126">
        <f t="shared" si="13"/>
        <v>1.5592264329683303E-2</v>
      </c>
      <c r="T90" s="145">
        <f t="shared" si="17"/>
        <v>0</v>
      </c>
      <c r="V90" s="12"/>
    </row>
    <row r="91" spans="1:22" x14ac:dyDescent="0.25">
      <c r="A91" s="49">
        <f>'A) Base RI'!A92</f>
        <v>5537</v>
      </c>
      <c r="B91" s="357" t="str">
        <f>'A) Base RI'!B92</f>
        <v>Villars-le-Terroir</v>
      </c>
      <c r="C91" s="419">
        <v>601175.68290938344</v>
      </c>
      <c r="D91" s="419">
        <v>102744.42813620029</v>
      </c>
      <c r="E91" s="396">
        <v>0</v>
      </c>
      <c r="F91" s="396">
        <v>0</v>
      </c>
      <c r="G91" s="396">
        <v>0</v>
      </c>
      <c r="H91" s="419">
        <f t="shared" si="16"/>
        <v>703920.11104558373</v>
      </c>
      <c r="I91" s="420">
        <v>33504.625479452057</v>
      </c>
      <c r="J91" s="361">
        <f>'B) D RI'!U92</f>
        <v>37312.302103659451</v>
      </c>
      <c r="K91" s="62">
        <f t="shared" si="14"/>
        <v>21.009639742945005</v>
      </c>
      <c r="L91" s="33">
        <f>'B) D RI'!S92</f>
        <v>73</v>
      </c>
      <c r="M91" s="33">
        <f t="shared" si="9"/>
        <v>51.990360257054995</v>
      </c>
      <c r="N91" s="33">
        <f>'J) Plafonnement effort'!G90+'J) Plafonnement effort'!I90-'K) Plafonnement aide'!I90</f>
        <v>21.674981821156496</v>
      </c>
      <c r="O91" s="126">
        <f t="shared" si="10"/>
        <v>73.665342078211495</v>
      </c>
      <c r="P91" s="47">
        <f t="shared" si="11"/>
        <v>0</v>
      </c>
      <c r="Q91" s="55">
        <f t="shared" si="15"/>
        <v>0</v>
      </c>
      <c r="R91" s="146">
        <f t="shared" si="12"/>
        <v>73.665342078211495</v>
      </c>
      <c r="S91" s="126">
        <f t="shared" si="13"/>
        <v>0.66534207821149494</v>
      </c>
      <c r="T91" s="145">
        <f t="shared" si="17"/>
        <v>0</v>
      </c>
      <c r="V91" s="12"/>
    </row>
    <row r="92" spans="1:22" x14ac:dyDescent="0.25">
      <c r="A92" s="49">
        <f>'A) Base RI'!A93</f>
        <v>5539</v>
      </c>
      <c r="B92" s="357" t="str">
        <f>'A) Base RI'!B93</f>
        <v>Vuarrens</v>
      </c>
      <c r="C92" s="419">
        <v>472556.58767281123</v>
      </c>
      <c r="D92" s="419">
        <v>1683.8890555804828</v>
      </c>
      <c r="E92" s="396">
        <v>0</v>
      </c>
      <c r="F92" s="396">
        <v>0</v>
      </c>
      <c r="G92" s="396">
        <v>0</v>
      </c>
      <c r="H92" s="419">
        <f t="shared" si="16"/>
        <v>474240.47672839172</v>
      </c>
      <c r="I92" s="420">
        <v>26926.432233333333</v>
      </c>
      <c r="J92" s="361">
        <f>'B) D RI'!U93</f>
        <v>28863.357859136209</v>
      </c>
      <c r="K92" s="62">
        <f t="shared" si="14"/>
        <v>17.612451312480605</v>
      </c>
      <c r="L92" s="33">
        <f>'B) D RI'!S93</f>
        <v>75</v>
      </c>
      <c r="M92" s="33">
        <f t="shared" si="9"/>
        <v>57.387548687519399</v>
      </c>
      <c r="N92" s="33">
        <f>'J) Plafonnement effort'!G91+'J) Plafonnement effort'!I91-'K) Plafonnement aide'!I91</f>
        <v>19.164263848518367</v>
      </c>
      <c r="O92" s="126">
        <f t="shared" si="10"/>
        <v>76.551812536037772</v>
      </c>
      <c r="P92" s="47">
        <f t="shared" si="11"/>
        <v>0</v>
      </c>
      <c r="Q92" s="55">
        <f t="shared" si="15"/>
        <v>0</v>
      </c>
      <c r="R92" s="146">
        <f t="shared" si="12"/>
        <v>76.551812536037772</v>
      </c>
      <c r="S92" s="126">
        <f t="shared" si="13"/>
        <v>1.5518125360377724</v>
      </c>
      <c r="T92" s="145">
        <f t="shared" si="17"/>
        <v>0</v>
      </c>
      <c r="V92" s="12"/>
    </row>
    <row r="93" spans="1:22" x14ac:dyDescent="0.25">
      <c r="A93" s="49">
        <f>'A) Base RI'!A94</f>
        <v>5540</v>
      </c>
      <c r="B93" s="357" t="str">
        <f>'A) Base RI'!B94</f>
        <v>Montilliez</v>
      </c>
      <c r="C93" s="419">
        <v>1004555.4315990731</v>
      </c>
      <c r="D93" s="419">
        <v>299986.53126579977</v>
      </c>
      <c r="E93" s="396">
        <v>0</v>
      </c>
      <c r="F93" s="396">
        <v>0</v>
      </c>
      <c r="G93" s="396">
        <v>0</v>
      </c>
      <c r="H93" s="419">
        <f t="shared" si="16"/>
        <v>1304541.962864873</v>
      </c>
      <c r="I93" s="420">
        <v>56983.650067567571</v>
      </c>
      <c r="J93" s="361">
        <f>'B) D RI'!U94</f>
        <v>59091.740495657374</v>
      </c>
      <c r="K93" s="62">
        <f>H93/I93</f>
        <v>22.893267828895315</v>
      </c>
      <c r="L93" s="33">
        <f>'B) D RI'!S94</f>
        <v>74</v>
      </c>
      <c r="M93" s="33">
        <f>L93-K93</f>
        <v>51.106732171104682</v>
      </c>
      <c r="N93" s="33">
        <f>'J) Plafonnement effort'!G92+'J) Plafonnement effort'!I92-'K) Plafonnement aide'!I92</f>
        <v>12.038586848902204</v>
      </c>
      <c r="O93" s="126">
        <f>M93+N93</f>
        <v>63.145319020006887</v>
      </c>
      <c r="P93" s="47">
        <f t="shared" si="11"/>
        <v>0</v>
      </c>
      <c r="Q93" s="55">
        <f>P93*J93</f>
        <v>0</v>
      </c>
      <c r="R93" s="146">
        <f>O93+P93</f>
        <v>63.145319020006887</v>
      </c>
      <c r="S93" s="126">
        <f>R93-L93</f>
        <v>-10.854680979993113</v>
      </c>
      <c r="T93" s="145">
        <f t="shared" si="17"/>
        <v>0</v>
      </c>
      <c r="V93" s="12"/>
    </row>
    <row r="94" spans="1:22" x14ac:dyDescent="0.25">
      <c r="A94" s="49">
        <f>'A) Base RI'!A95</f>
        <v>5541</v>
      </c>
      <c r="B94" s="357" t="str">
        <f>'A) Base RI'!B95</f>
        <v>Goumoëns</v>
      </c>
      <c r="C94" s="419">
        <v>680243.53621039551</v>
      </c>
      <c r="D94" s="419">
        <v>335046.657367095</v>
      </c>
      <c r="E94" s="396">
        <v>0</v>
      </c>
      <c r="F94" s="396">
        <v>0</v>
      </c>
      <c r="G94" s="396">
        <v>0</v>
      </c>
      <c r="H94" s="419">
        <f t="shared" si="16"/>
        <v>1015290.1935774905</v>
      </c>
      <c r="I94" s="420">
        <v>38548.273636363643</v>
      </c>
      <c r="J94" s="361">
        <f>'B) D RI'!U95</f>
        <v>35230.967112736034</v>
      </c>
      <c r="K94" s="62">
        <f>H94/I94</f>
        <v>26.338149489001744</v>
      </c>
      <c r="L94" s="33">
        <f>'B) D RI'!S95</f>
        <v>77</v>
      </c>
      <c r="M94" s="33">
        <f>L94-K94</f>
        <v>50.661850510998256</v>
      </c>
      <c r="N94" s="33">
        <f>'J) Plafonnement effort'!G93+'J) Plafonnement effort'!I93-'K) Plafonnement aide'!I93</f>
        <v>20.621884289643742</v>
      </c>
      <c r="O94" s="126">
        <f>M94+N94</f>
        <v>71.283734800641994</v>
      </c>
      <c r="P94" s="47">
        <f t="shared" si="11"/>
        <v>0</v>
      </c>
      <c r="Q94" s="55">
        <f>P94*J94</f>
        <v>0</v>
      </c>
      <c r="R94" s="146">
        <f>O94+P94</f>
        <v>71.283734800641994</v>
      </c>
      <c r="S94" s="126">
        <f>R94-L94</f>
        <v>-5.7162651993580056</v>
      </c>
      <c r="T94" s="145">
        <f t="shared" si="17"/>
        <v>0</v>
      </c>
      <c r="V94" s="12"/>
    </row>
    <row r="95" spans="1:22" x14ac:dyDescent="0.25">
      <c r="A95" s="49">
        <f>'A) Base RI'!A96</f>
        <v>5551</v>
      </c>
      <c r="B95" s="357" t="str">
        <f>'A) Base RI'!B96</f>
        <v>Bonvillars</v>
      </c>
      <c r="C95" s="419">
        <v>357303.53665403894</v>
      </c>
      <c r="D95" s="419">
        <v>271153.65264892223</v>
      </c>
      <c r="E95" s="396">
        <v>0</v>
      </c>
      <c r="F95" s="396">
        <v>0</v>
      </c>
      <c r="G95" s="396">
        <v>0</v>
      </c>
      <c r="H95" s="419">
        <f t="shared" si="16"/>
        <v>628457.18930296111</v>
      </c>
      <c r="I95" s="420">
        <v>18775.330727272729</v>
      </c>
      <c r="J95" s="361">
        <f>'B) D RI'!U96</f>
        <v>21415.305138743261</v>
      </c>
      <c r="K95" s="62">
        <f t="shared" si="14"/>
        <v>33.472496353423743</v>
      </c>
      <c r="L95" s="33">
        <f>'B) D RI'!S96</f>
        <v>55</v>
      </c>
      <c r="M95" s="33">
        <f>L95-K95</f>
        <v>21.527503646576257</v>
      </c>
      <c r="N95" s="33">
        <f>'J) Plafonnement effort'!G94+'J) Plafonnement effort'!I94-'K) Plafonnement aide'!I94</f>
        <v>31.208739717091568</v>
      </c>
      <c r="O95" s="126">
        <f>M95+N95</f>
        <v>52.736243363667825</v>
      </c>
      <c r="P95" s="47">
        <f t="shared" si="11"/>
        <v>0</v>
      </c>
      <c r="Q95" s="55">
        <f>P95*J95</f>
        <v>0</v>
      </c>
      <c r="R95" s="146">
        <f>O95+P95</f>
        <v>52.736243363667825</v>
      </c>
      <c r="S95" s="126">
        <f>R95-L95</f>
        <v>-2.2637566363321753</v>
      </c>
      <c r="T95" s="145">
        <f t="shared" si="17"/>
        <v>0</v>
      </c>
      <c r="V95" s="12"/>
    </row>
    <row r="96" spans="1:22" x14ac:dyDescent="0.25">
      <c r="A96" s="49">
        <f>'A) Base RI'!A97</f>
        <v>5552</v>
      </c>
      <c r="B96" s="357" t="str">
        <f>'A) Base RI'!B97</f>
        <v>Bullet</v>
      </c>
      <c r="C96" s="419">
        <v>339815.95499522641</v>
      </c>
      <c r="D96" s="419">
        <v>55422.946009918465</v>
      </c>
      <c r="E96" s="396">
        <v>0</v>
      </c>
      <c r="F96" s="396">
        <v>0</v>
      </c>
      <c r="G96" s="396">
        <v>0</v>
      </c>
      <c r="H96" s="419">
        <f t="shared" si="16"/>
        <v>395238.90100514487</v>
      </c>
      <c r="I96" s="420">
        <v>17788.918428571429</v>
      </c>
      <c r="J96" s="361">
        <f>'B) D RI'!U97</f>
        <v>17732.087898586105</v>
      </c>
      <c r="K96" s="62">
        <f t="shared" si="14"/>
        <v>22.218264847981835</v>
      </c>
      <c r="L96" s="33">
        <f>'B) D RI'!S97</f>
        <v>73</v>
      </c>
      <c r="M96" s="33">
        <f t="shared" si="9"/>
        <v>50.781735152018165</v>
      </c>
      <c r="N96" s="33">
        <f>'J) Plafonnement effort'!G95+'J) Plafonnement effort'!I95-'K) Plafonnement aide'!I95</f>
        <v>8.0692020747063697</v>
      </c>
      <c r="O96" s="126">
        <f t="shared" si="10"/>
        <v>58.850937226724533</v>
      </c>
      <c r="P96" s="47">
        <f t="shared" si="11"/>
        <v>0</v>
      </c>
      <c r="Q96" s="55">
        <f t="shared" si="15"/>
        <v>0</v>
      </c>
      <c r="R96" s="146">
        <f t="shared" si="12"/>
        <v>58.850937226724533</v>
      </c>
      <c r="S96" s="126">
        <f t="shared" si="13"/>
        <v>-14.149062773275467</v>
      </c>
      <c r="T96" s="145">
        <f t="shared" si="17"/>
        <v>0</v>
      </c>
      <c r="V96" s="12"/>
    </row>
    <row r="97" spans="1:22" x14ac:dyDescent="0.25">
      <c r="A97" s="49">
        <f>'A) Base RI'!A98</f>
        <v>5553</v>
      </c>
      <c r="B97" s="357" t="str">
        <f>'A) Base RI'!B98</f>
        <v>Champagne</v>
      </c>
      <c r="C97" s="419">
        <v>643127.52473792806</v>
      </c>
      <c r="D97" s="419">
        <v>340576.32142981305</v>
      </c>
      <c r="E97" s="396">
        <v>0</v>
      </c>
      <c r="F97" s="396">
        <v>0</v>
      </c>
      <c r="G97" s="396">
        <v>0</v>
      </c>
      <c r="H97" s="419">
        <f t="shared" si="16"/>
        <v>983703.84616774111</v>
      </c>
      <c r="I97" s="420">
        <v>34060.380307692314</v>
      </c>
      <c r="J97" s="361">
        <f>'B) D RI'!U98</f>
        <v>38083.02347761167</v>
      </c>
      <c r="K97" s="62">
        <f t="shared" si="14"/>
        <v>28.881176231187826</v>
      </c>
      <c r="L97" s="33">
        <f>'B) D RI'!S98</f>
        <v>65</v>
      </c>
      <c r="M97" s="33">
        <f t="shared" si="9"/>
        <v>36.118823768812177</v>
      </c>
      <c r="N97" s="33">
        <f>'J) Plafonnement effort'!G96+'J) Plafonnement effort'!I96-'K) Plafonnement aide'!I96</f>
        <v>24.068614949237364</v>
      </c>
      <c r="O97" s="126">
        <f t="shared" si="10"/>
        <v>60.187438718049542</v>
      </c>
      <c r="P97" s="47">
        <f t="shared" si="11"/>
        <v>0</v>
      </c>
      <c r="Q97" s="55">
        <f t="shared" si="15"/>
        <v>0</v>
      </c>
      <c r="R97" s="146">
        <f t="shared" si="12"/>
        <v>60.187438718049542</v>
      </c>
      <c r="S97" s="126">
        <f t="shared" si="13"/>
        <v>-4.8125612819504582</v>
      </c>
      <c r="T97" s="145">
        <f t="shared" si="17"/>
        <v>0</v>
      </c>
      <c r="V97" s="12"/>
    </row>
    <row r="98" spans="1:22" x14ac:dyDescent="0.25">
      <c r="A98" s="49">
        <f>'A) Base RI'!A99</f>
        <v>5554</v>
      </c>
      <c r="B98" s="357" t="str">
        <f>'A) Base RI'!B99</f>
        <v>Concise</v>
      </c>
      <c r="C98" s="419">
        <v>559223.32860480715</v>
      </c>
      <c r="D98" s="419">
        <v>243426.46496225125</v>
      </c>
      <c r="E98" s="396">
        <v>0</v>
      </c>
      <c r="F98" s="396">
        <v>0</v>
      </c>
      <c r="G98" s="396">
        <v>0</v>
      </c>
      <c r="H98" s="419">
        <f t="shared" si="16"/>
        <v>802649.7935670584</v>
      </c>
      <c r="I98" s="420">
        <v>31701.023466666669</v>
      </c>
      <c r="J98" s="361">
        <f>'B) D RI'!U99</f>
        <v>29757.199499444905</v>
      </c>
      <c r="K98" s="62">
        <f t="shared" si="14"/>
        <v>25.319365300966929</v>
      </c>
      <c r="L98" s="33">
        <f>'B) D RI'!S99</f>
        <v>75</v>
      </c>
      <c r="M98" s="33">
        <f t="shared" si="9"/>
        <v>49.680634699033071</v>
      </c>
      <c r="N98" s="33">
        <f>'J) Plafonnement effort'!G97+'J) Plafonnement effort'!I97-'K) Plafonnement aide'!I97</f>
        <v>20.578327994591376</v>
      </c>
      <c r="O98" s="126">
        <f t="shared" si="10"/>
        <v>70.258962693624454</v>
      </c>
      <c r="P98" s="47">
        <f t="shared" si="11"/>
        <v>0</v>
      </c>
      <c r="Q98" s="55">
        <f t="shared" si="15"/>
        <v>0</v>
      </c>
      <c r="R98" s="146">
        <f t="shared" si="12"/>
        <v>70.258962693624454</v>
      </c>
      <c r="S98" s="126">
        <f t="shared" si="13"/>
        <v>-4.7410373063755458</v>
      </c>
      <c r="T98" s="145">
        <f t="shared" si="17"/>
        <v>0</v>
      </c>
      <c r="V98" s="12"/>
    </row>
    <row r="99" spans="1:22" x14ac:dyDescent="0.25">
      <c r="A99" s="49">
        <f>'A) Base RI'!A100</f>
        <v>5555</v>
      </c>
      <c r="B99" s="357" t="str">
        <f>'A) Base RI'!B100</f>
        <v>Corcelles-près-Concise</v>
      </c>
      <c r="C99" s="419">
        <v>277011.77618996485</v>
      </c>
      <c r="D99" s="419">
        <v>157697.71318760669</v>
      </c>
      <c r="E99" s="396">
        <v>0</v>
      </c>
      <c r="F99" s="396">
        <v>0</v>
      </c>
      <c r="G99" s="396">
        <v>0</v>
      </c>
      <c r="H99" s="419">
        <f t="shared" si="16"/>
        <v>434709.4893775715</v>
      </c>
      <c r="I99" s="420">
        <v>13631.876197183097</v>
      </c>
      <c r="J99" s="361">
        <f>'B) D RI'!U100</f>
        <v>13026.26930420642</v>
      </c>
      <c r="K99" s="62">
        <f t="shared" si="14"/>
        <v>31.889189946384654</v>
      </c>
      <c r="L99" s="33">
        <f>'B) D RI'!S100</f>
        <v>71</v>
      </c>
      <c r="M99" s="33">
        <f t="shared" si="9"/>
        <v>39.110810053615346</v>
      </c>
      <c r="N99" s="33">
        <f>'J) Plafonnement effort'!G98+'J) Plafonnement effort'!I98-'K) Plafonnement aide'!I98</f>
        <v>15.73727658116546</v>
      </c>
      <c r="O99" s="126">
        <f t="shared" si="10"/>
        <v>54.848086634780806</v>
      </c>
      <c r="P99" s="47">
        <f t="shared" si="11"/>
        <v>0</v>
      </c>
      <c r="Q99" s="55">
        <f t="shared" si="15"/>
        <v>0</v>
      </c>
      <c r="R99" s="146">
        <f t="shared" si="12"/>
        <v>54.848086634780806</v>
      </c>
      <c r="S99" s="126">
        <f t="shared" si="13"/>
        <v>-16.151913365219194</v>
      </c>
      <c r="T99" s="145">
        <f t="shared" si="17"/>
        <v>0</v>
      </c>
      <c r="V99" s="12"/>
    </row>
    <row r="100" spans="1:22" x14ac:dyDescent="0.25">
      <c r="A100" s="49">
        <f>'A) Base RI'!A101</f>
        <v>5556</v>
      </c>
      <c r="B100" s="357" t="str">
        <f>'A) Base RI'!B101</f>
        <v>Fiez</v>
      </c>
      <c r="C100" s="419">
        <v>440921.40814908559</v>
      </c>
      <c r="D100" s="419">
        <v>86262.612250024365</v>
      </c>
      <c r="E100" s="396">
        <v>0</v>
      </c>
      <c r="F100" s="396">
        <v>0</v>
      </c>
      <c r="G100" s="396">
        <v>0</v>
      </c>
      <c r="H100" s="419">
        <f t="shared" si="16"/>
        <v>527184.02039910993</v>
      </c>
      <c r="I100" s="420">
        <v>12908.608502415458</v>
      </c>
      <c r="J100" s="361">
        <f>'B) D RI'!U101</f>
        <v>12681.485348367609</v>
      </c>
      <c r="K100" s="62">
        <f t="shared" si="14"/>
        <v>40.839724924685981</v>
      </c>
      <c r="L100" s="33">
        <f>'B) D RI'!S101</f>
        <v>69</v>
      </c>
      <c r="M100" s="33">
        <f t="shared" si="9"/>
        <v>28.160275075314019</v>
      </c>
      <c r="N100" s="33">
        <f>'J) Plafonnement effort'!G99+'J) Plafonnement effort'!I99-'K) Plafonnement aide'!I99</f>
        <v>21.383597802111673</v>
      </c>
      <c r="O100" s="126">
        <f t="shared" si="10"/>
        <v>49.543872877425692</v>
      </c>
      <c r="P100" s="47">
        <f t="shared" si="11"/>
        <v>0</v>
      </c>
      <c r="Q100" s="55">
        <f t="shared" si="15"/>
        <v>0</v>
      </c>
      <c r="R100" s="146">
        <f t="shared" si="12"/>
        <v>49.543872877425692</v>
      </c>
      <c r="S100" s="126">
        <f t="shared" si="13"/>
        <v>-19.456127122574308</v>
      </c>
      <c r="T100" s="145">
        <f t="shared" si="17"/>
        <v>0</v>
      </c>
      <c r="V100" s="12"/>
    </row>
    <row r="101" spans="1:22" x14ac:dyDescent="0.25">
      <c r="A101" s="49">
        <f>'A) Base RI'!A102</f>
        <v>5557</v>
      </c>
      <c r="B101" s="357" t="str">
        <f>'A) Base RI'!B102</f>
        <v>Fontaines-sur-Grandson</v>
      </c>
      <c r="C101" s="419">
        <v>85227.400442168684</v>
      </c>
      <c r="D101" s="419">
        <v>-33228.059961546474</v>
      </c>
      <c r="E101" s="396">
        <v>0</v>
      </c>
      <c r="F101" s="396">
        <v>0</v>
      </c>
      <c r="G101" s="396">
        <v>0</v>
      </c>
      <c r="H101" s="419">
        <f t="shared" si="16"/>
        <v>51999.34048062221</v>
      </c>
      <c r="I101" s="420">
        <v>4431.6020289855087</v>
      </c>
      <c r="J101" s="361">
        <f>'B) D RI'!U102</f>
        <v>5466.9806268353996</v>
      </c>
      <c r="K101" s="62">
        <f t="shared" si="14"/>
        <v>11.733756808601788</v>
      </c>
      <c r="L101" s="33">
        <f>'B) D RI'!S102</f>
        <v>69</v>
      </c>
      <c r="M101" s="33">
        <f t="shared" si="9"/>
        <v>57.26624319139821</v>
      </c>
      <c r="N101" s="33">
        <f>'J) Plafonnement effort'!G100+'J) Plafonnement effort'!I100-'K) Plafonnement aide'!I100</f>
        <v>9.0122054668043514</v>
      </c>
      <c r="O101" s="126">
        <f t="shared" si="10"/>
        <v>66.278448658202564</v>
      </c>
      <c r="P101" s="47">
        <f t="shared" si="11"/>
        <v>0</v>
      </c>
      <c r="Q101" s="55">
        <f t="shared" si="15"/>
        <v>0</v>
      </c>
      <c r="R101" s="146">
        <f t="shared" si="12"/>
        <v>66.278448658202564</v>
      </c>
      <c r="S101" s="126">
        <f t="shared" si="13"/>
        <v>-2.7215513417974364</v>
      </c>
      <c r="T101" s="145">
        <f t="shared" si="17"/>
        <v>0</v>
      </c>
      <c r="V101" s="12"/>
    </row>
    <row r="102" spans="1:22" x14ac:dyDescent="0.25">
      <c r="A102" s="49">
        <f>'A) Base RI'!A103</f>
        <v>5559</v>
      </c>
      <c r="B102" s="357" t="str">
        <f>'A) Base RI'!B103</f>
        <v>Giez</v>
      </c>
      <c r="C102" s="419">
        <v>283307.13062917918</v>
      </c>
      <c r="D102" s="419">
        <v>207676.31826669342</v>
      </c>
      <c r="E102" s="396">
        <v>0</v>
      </c>
      <c r="F102" s="396">
        <v>0</v>
      </c>
      <c r="G102" s="396">
        <v>0</v>
      </c>
      <c r="H102" s="419">
        <f t="shared" si="16"/>
        <v>490983.44889587257</v>
      </c>
      <c r="I102" s="420">
        <v>15789.686212121214</v>
      </c>
      <c r="J102" s="361">
        <f>'B) D RI'!U103</f>
        <v>19176.421195753639</v>
      </c>
      <c r="K102" s="62">
        <f t="shared" si="14"/>
        <v>31.095199885540538</v>
      </c>
      <c r="L102" s="33">
        <f>'B) D RI'!S103</f>
        <v>66</v>
      </c>
      <c r="M102" s="33">
        <f t="shared" si="9"/>
        <v>34.904800114459462</v>
      </c>
      <c r="N102" s="33">
        <f>'J) Plafonnement effort'!G101+'J) Plafonnement effort'!I101-'K) Plafonnement aide'!I101</f>
        <v>38.750276585030811</v>
      </c>
      <c r="O102" s="126">
        <f t="shared" si="10"/>
        <v>73.65507669949028</v>
      </c>
      <c r="P102" s="47">
        <f t="shared" si="11"/>
        <v>0</v>
      </c>
      <c r="Q102" s="55">
        <f t="shared" si="15"/>
        <v>0</v>
      </c>
      <c r="R102" s="146">
        <f t="shared" si="12"/>
        <v>73.65507669949028</v>
      </c>
      <c r="S102" s="126">
        <f t="shared" si="13"/>
        <v>7.6550766994902801</v>
      </c>
      <c r="T102" s="145">
        <f t="shared" si="17"/>
        <v>0</v>
      </c>
      <c r="V102" s="12"/>
    </row>
    <row r="103" spans="1:22" x14ac:dyDescent="0.25">
      <c r="A103" s="49">
        <f>'A) Base RI'!A104</f>
        <v>5560</v>
      </c>
      <c r="B103" s="357" t="str">
        <f>'A) Base RI'!B104</f>
        <v>Grandevent</v>
      </c>
      <c r="C103" s="419">
        <v>112494.67972159453</v>
      </c>
      <c r="D103" s="419">
        <v>21743.893401198642</v>
      </c>
      <c r="E103" s="396">
        <v>0</v>
      </c>
      <c r="F103" s="396">
        <v>0</v>
      </c>
      <c r="G103" s="396">
        <v>0</v>
      </c>
      <c r="H103" s="419">
        <f t="shared" si="16"/>
        <v>134238.57312279317</v>
      </c>
      <c r="I103" s="420">
        <v>6263.3176470588232</v>
      </c>
      <c r="J103" s="361">
        <f>'B) D RI'!U104</f>
        <v>7435.5518015193766</v>
      </c>
      <c r="K103" s="62">
        <f t="shared" si="14"/>
        <v>21.432502818347388</v>
      </c>
      <c r="L103" s="33">
        <f>'B) D RI'!S104</f>
        <v>68</v>
      </c>
      <c r="M103" s="33">
        <f t="shared" si="9"/>
        <v>46.567497181652612</v>
      </c>
      <c r="N103" s="33">
        <f>'J) Plafonnement effort'!G102+'J) Plafonnement effort'!I102-'K) Plafonnement aide'!I102</f>
        <v>22.777681548398327</v>
      </c>
      <c r="O103" s="126">
        <f t="shared" si="10"/>
        <v>69.345178730050947</v>
      </c>
      <c r="P103" s="47">
        <f t="shared" si="11"/>
        <v>0</v>
      </c>
      <c r="Q103" s="55">
        <f t="shared" si="15"/>
        <v>0</v>
      </c>
      <c r="R103" s="146">
        <f t="shared" si="12"/>
        <v>69.345178730050947</v>
      </c>
      <c r="S103" s="126">
        <f t="shared" si="13"/>
        <v>1.3451787300509466</v>
      </c>
      <c r="T103" s="145">
        <f t="shared" si="17"/>
        <v>0</v>
      </c>
      <c r="V103" s="12"/>
    </row>
    <row r="104" spans="1:22" x14ac:dyDescent="0.25">
      <c r="A104" s="49">
        <f>'A) Base RI'!A105</f>
        <v>5561</v>
      </c>
      <c r="B104" s="357" t="str">
        <f>'A) Base RI'!B105</f>
        <v>Grandson</v>
      </c>
      <c r="C104" s="419">
        <v>2103080.8634242695</v>
      </c>
      <c r="D104" s="419">
        <v>736786.08174023265</v>
      </c>
      <c r="E104" s="396">
        <v>0</v>
      </c>
      <c r="F104" s="396">
        <v>0</v>
      </c>
      <c r="G104" s="396">
        <v>0</v>
      </c>
      <c r="H104" s="419">
        <f t="shared" si="16"/>
        <v>2839866.9451645021</v>
      </c>
      <c r="I104" s="420">
        <v>115658.41101449275</v>
      </c>
      <c r="J104" s="361">
        <f>'B) D RI'!U105</f>
        <v>121785.01104961828</v>
      </c>
      <c r="K104" s="62">
        <f t="shared" si="14"/>
        <v>24.553916314902928</v>
      </c>
      <c r="L104" s="33">
        <f>'B) D RI'!S105</f>
        <v>69</v>
      </c>
      <c r="M104" s="33">
        <f t="shared" si="9"/>
        <v>44.446083685097072</v>
      </c>
      <c r="N104" s="33">
        <f>'J) Plafonnement effort'!G103+'J) Plafonnement effort'!I103-'K) Plafonnement aide'!I103</f>
        <v>20.358650700588463</v>
      </c>
      <c r="O104" s="126">
        <f t="shared" si="10"/>
        <v>64.804734385685535</v>
      </c>
      <c r="P104" s="47">
        <f t="shared" si="11"/>
        <v>0</v>
      </c>
      <c r="Q104" s="55">
        <f t="shared" si="15"/>
        <v>0</v>
      </c>
      <c r="R104" s="146">
        <f t="shared" si="12"/>
        <v>64.804734385685535</v>
      </c>
      <c r="S104" s="126">
        <f t="shared" si="13"/>
        <v>-4.1952656143144651</v>
      </c>
      <c r="T104" s="145">
        <f t="shared" si="17"/>
        <v>0</v>
      </c>
      <c r="V104" s="12"/>
    </row>
    <row r="105" spans="1:22" x14ac:dyDescent="0.25">
      <c r="A105" s="49">
        <f>'A) Base RI'!A106</f>
        <v>5562</v>
      </c>
      <c r="B105" s="357" t="str">
        <f>'A) Base RI'!B106</f>
        <v>Mauborget</v>
      </c>
      <c r="C105" s="419">
        <v>106976.42053576342</v>
      </c>
      <c r="D105" s="419">
        <v>103432.21278792615</v>
      </c>
      <c r="E105" s="396">
        <v>0</v>
      </c>
      <c r="F105" s="396">
        <v>0</v>
      </c>
      <c r="G105" s="396">
        <v>0</v>
      </c>
      <c r="H105" s="419">
        <f t="shared" si="16"/>
        <v>210408.63332368957</v>
      </c>
      <c r="I105" s="420">
        <v>5902.7637857142863</v>
      </c>
      <c r="J105" s="361">
        <f>'B) D RI'!U106</f>
        <v>5293.9932786811205</v>
      </c>
      <c r="K105" s="62">
        <f t="shared" si="14"/>
        <v>35.645782376200621</v>
      </c>
      <c r="L105" s="33">
        <f>'B) D RI'!S106</f>
        <v>70</v>
      </c>
      <c r="M105" s="33">
        <f t="shared" si="9"/>
        <v>34.354217623799379</v>
      </c>
      <c r="N105" s="33">
        <f>'J) Plafonnement effort'!G104+'J) Plafonnement effort'!I104-'K) Plafonnement aide'!I104</f>
        <v>32.436929213931606</v>
      </c>
      <c r="O105" s="126">
        <f t="shared" si="10"/>
        <v>66.791146837730992</v>
      </c>
      <c r="P105" s="47">
        <f t="shared" si="11"/>
        <v>0</v>
      </c>
      <c r="Q105" s="55">
        <f t="shared" si="15"/>
        <v>0</v>
      </c>
      <c r="R105" s="146">
        <f t="shared" si="12"/>
        <v>66.791146837730992</v>
      </c>
      <c r="S105" s="126">
        <f t="shared" si="13"/>
        <v>-3.2088531622690084</v>
      </c>
      <c r="T105" s="145">
        <f t="shared" si="17"/>
        <v>0</v>
      </c>
      <c r="V105" s="12"/>
    </row>
    <row r="106" spans="1:22" x14ac:dyDescent="0.25">
      <c r="A106" s="49">
        <f>'A) Base RI'!A107</f>
        <v>5563</v>
      </c>
      <c r="B106" s="357" t="str">
        <f>'A) Base RI'!B107</f>
        <v>Mutrux</v>
      </c>
      <c r="C106" s="419">
        <v>55173.973017142453</v>
      </c>
      <c r="D106" s="419">
        <v>-62438.191987995386</v>
      </c>
      <c r="E106" s="396">
        <v>0</v>
      </c>
      <c r="F106" s="396">
        <v>0</v>
      </c>
      <c r="G106" s="396">
        <v>0</v>
      </c>
      <c r="H106" s="419">
        <f t="shared" si="16"/>
        <v>-7264.2189708529331</v>
      </c>
      <c r="I106" s="420">
        <v>3109.2766878980892</v>
      </c>
      <c r="J106" s="361">
        <f>'B) D RI'!U107</f>
        <v>3292.4675996165679</v>
      </c>
      <c r="K106" s="62">
        <f t="shared" si="14"/>
        <v>-2.3363050960137093</v>
      </c>
      <c r="L106" s="33">
        <f>'B) D RI'!S107</f>
        <v>78.5</v>
      </c>
      <c r="M106" s="33">
        <f t="shared" si="9"/>
        <v>80.836305096013703</v>
      </c>
      <c r="N106" s="33">
        <f>'J) Plafonnement effort'!G105+'J) Plafonnement effort'!I105-'K) Plafonnement aide'!I105</f>
        <v>-6.0648680525760934</v>
      </c>
      <c r="O106" s="126">
        <f t="shared" si="10"/>
        <v>74.771437043437615</v>
      </c>
      <c r="P106" s="47">
        <f t="shared" si="11"/>
        <v>0</v>
      </c>
      <c r="Q106" s="55">
        <f t="shared" si="15"/>
        <v>0</v>
      </c>
      <c r="R106" s="146">
        <f t="shared" si="12"/>
        <v>74.771437043437615</v>
      </c>
      <c r="S106" s="126">
        <f t="shared" si="13"/>
        <v>-3.728562956562385</v>
      </c>
      <c r="T106" s="145">
        <f t="shared" si="17"/>
        <v>0</v>
      </c>
      <c r="V106" s="12"/>
    </row>
    <row r="107" spans="1:22" x14ac:dyDescent="0.25">
      <c r="A107" s="49">
        <f>'A) Base RI'!A108</f>
        <v>5564</v>
      </c>
      <c r="B107" s="357" t="str">
        <f>'A) Base RI'!B108</f>
        <v>Novalles</v>
      </c>
      <c r="C107" s="419">
        <v>49851.002954813252</v>
      </c>
      <c r="D107" s="419">
        <v>-4561.7655892496477</v>
      </c>
      <c r="E107" s="396">
        <v>0</v>
      </c>
      <c r="F107" s="396">
        <v>0</v>
      </c>
      <c r="G107" s="396">
        <v>0</v>
      </c>
      <c r="H107" s="419">
        <f t="shared" si="16"/>
        <v>45289.237365563604</v>
      </c>
      <c r="I107" s="420">
        <v>2625.7898355263155</v>
      </c>
      <c r="J107" s="361">
        <f>'B) D RI'!U108</f>
        <v>2878.9025109575691</v>
      </c>
      <c r="K107" s="62">
        <f t="shared" si="14"/>
        <v>17.247853104163529</v>
      </c>
      <c r="L107" s="33">
        <f>'B) D RI'!S108</f>
        <v>76</v>
      </c>
      <c r="M107" s="33">
        <f t="shared" si="9"/>
        <v>58.752146895836475</v>
      </c>
      <c r="N107" s="33">
        <f>'J) Plafonnement effort'!G106+'J) Plafonnement effort'!I106-'K) Plafonnement aide'!I106</f>
        <v>18.74837162338854</v>
      </c>
      <c r="O107" s="126">
        <f t="shared" si="10"/>
        <v>77.500518519225011</v>
      </c>
      <c r="P107" s="47">
        <f t="shared" si="11"/>
        <v>0</v>
      </c>
      <c r="Q107" s="55">
        <f t="shared" si="15"/>
        <v>0</v>
      </c>
      <c r="R107" s="146">
        <f t="shared" si="12"/>
        <v>77.500518519225011</v>
      </c>
      <c r="S107" s="126">
        <f t="shared" si="13"/>
        <v>1.500518519225011</v>
      </c>
      <c r="T107" s="145">
        <f t="shared" si="17"/>
        <v>0</v>
      </c>
      <c r="V107" s="12"/>
    </row>
    <row r="108" spans="1:22" x14ac:dyDescent="0.25">
      <c r="A108" s="49">
        <f>'A) Base RI'!A109</f>
        <v>5565</v>
      </c>
      <c r="B108" s="357" t="str">
        <f>'A) Base RI'!B109</f>
        <v>Onnens</v>
      </c>
      <c r="C108" s="419">
        <v>340911.5490026105</v>
      </c>
      <c r="D108" s="419">
        <v>259239.01607465543</v>
      </c>
      <c r="E108" s="396">
        <v>0</v>
      </c>
      <c r="F108" s="396">
        <v>0</v>
      </c>
      <c r="G108" s="396">
        <v>0</v>
      </c>
      <c r="H108" s="419">
        <f t="shared" si="16"/>
        <v>600150.56507726596</v>
      </c>
      <c r="I108" s="420">
        <v>18487.846307692304</v>
      </c>
      <c r="J108" s="361">
        <f>'B) D RI'!U109</f>
        <v>22496.162634074011</v>
      </c>
      <c r="K108" s="62">
        <f t="shared" si="14"/>
        <v>32.461897134419559</v>
      </c>
      <c r="L108" s="33">
        <f>'B) D RI'!S109</f>
        <v>65</v>
      </c>
      <c r="M108" s="33">
        <f t="shared" si="9"/>
        <v>32.538102865580441</v>
      </c>
      <c r="N108" s="33">
        <f>'J) Plafonnement effort'!G107+'J) Plafonnement effort'!I107-'K) Plafonnement aide'!I107</f>
        <v>31.276077166886779</v>
      </c>
      <c r="O108" s="126">
        <f t="shared" si="10"/>
        <v>63.81418003246722</v>
      </c>
      <c r="P108" s="47">
        <f t="shared" si="11"/>
        <v>0</v>
      </c>
      <c r="Q108" s="55">
        <f t="shared" si="15"/>
        <v>0</v>
      </c>
      <c r="R108" s="146">
        <f t="shared" si="12"/>
        <v>63.81418003246722</v>
      </c>
      <c r="S108" s="126">
        <f t="shared" si="13"/>
        <v>-1.1858199675327796</v>
      </c>
      <c r="T108" s="145">
        <f t="shared" si="17"/>
        <v>0</v>
      </c>
      <c r="V108" s="12"/>
    </row>
    <row r="109" spans="1:22" x14ac:dyDescent="0.25">
      <c r="A109" s="49">
        <f>'A) Base RI'!A110</f>
        <v>5566</v>
      </c>
      <c r="B109" s="357" t="str">
        <f>'A) Base RI'!B110</f>
        <v>Provence</v>
      </c>
      <c r="C109" s="419">
        <v>145035.70133865566</v>
      </c>
      <c r="D109" s="419">
        <v>-139957.08525113214</v>
      </c>
      <c r="E109" s="396">
        <v>0</v>
      </c>
      <c r="F109" s="396">
        <v>0</v>
      </c>
      <c r="G109" s="396">
        <v>0</v>
      </c>
      <c r="H109" s="419">
        <f t="shared" si="16"/>
        <v>5078.6160875235219</v>
      </c>
      <c r="I109" s="420">
        <v>7938.210164609055</v>
      </c>
      <c r="J109" s="361">
        <f>'B) D RI'!U110</f>
        <v>8235.6819296483191</v>
      </c>
      <c r="K109" s="62">
        <f t="shared" si="14"/>
        <v>0.63976840902569332</v>
      </c>
      <c r="L109" s="33">
        <f>'B) D RI'!S110</f>
        <v>81</v>
      </c>
      <c r="M109" s="33">
        <f t="shared" si="9"/>
        <v>80.360231590974308</v>
      </c>
      <c r="N109" s="33">
        <f>'J) Plafonnement effort'!G108+'J) Plafonnement effort'!I108-'K) Plafonnement aide'!I108</f>
        <v>-6.3747898736661917</v>
      </c>
      <c r="O109" s="126">
        <f t="shared" si="10"/>
        <v>73.98544171730812</v>
      </c>
      <c r="P109" s="47">
        <f t="shared" si="11"/>
        <v>0</v>
      </c>
      <c r="Q109" s="55">
        <f t="shared" si="15"/>
        <v>0</v>
      </c>
      <c r="R109" s="146">
        <f t="shared" si="12"/>
        <v>73.98544171730812</v>
      </c>
      <c r="S109" s="126">
        <f t="shared" si="13"/>
        <v>-7.0145582826918798</v>
      </c>
      <c r="T109" s="145">
        <f t="shared" si="17"/>
        <v>0</v>
      </c>
      <c r="V109" s="12"/>
    </row>
    <row r="110" spans="1:22" x14ac:dyDescent="0.25">
      <c r="A110" s="49">
        <f>'A) Base RI'!A111</f>
        <v>5568</v>
      </c>
      <c r="B110" s="357" t="str">
        <f>'A) Base RI'!B111</f>
        <v>Sainte-Croix</v>
      </c>
      <c r="C110" s="419">
        <v>2503416.7402406977</v>
      </c>
      <c r="D110" s="419">
        <v>-2164035.9416634208</v>
      </c>
      <c r="E110" s="396">
        <v>0</v>
      </c>
      <c r="F110" s="396">
        <v>0</v>
      </c>
      <c r="G110" s="396">
        <v>0</v>
      </c>
      <c r="H110" s="419">
        <f t="shared" si="16"/>
        <v>339380.79857727699</v>
      </c>
      <c r="I110" s="420">
        <v>99640.524428571414</v>
      </c>
      <c r="J110" s="361">
        <f>'B) D RI'!U111</f>
        <v>101939.03540611925</v>
      </c>
      <c r="K110" s="62">
        <f t="shared" si="14"/>
        <v>3.4060519103406213</v>
      </c>
      <c r="L110" s="33">
        <f>'B) D RI'!S111</f>
        <v>70</v>
      </c>
      <c r="M110" s="33">
        <f t="shared" si="9"/>
        <v>66.593948089659378</v>
      </c>
      <c r="N110" s="33">
        <f>'J) Plafonnement effort'!G109+'J) Plafonnement effort'!I109-'K) Plafonnement aide'!I109</f>
        <v>-6.1172121743669425</v>
      </c>
      <c r="O110" s="126">
        <f t="shared" si="10"/>
        <v>60.476735915292437</v>
      </c>
      <c r="P110" s="47">
        <f t="shared" si="11"/>
        <v>0</v>
      </c>
      <c r="Q110" s="55">
        <f t="shared" si="15"/>
        <v>0</v>
      </c>
      <c r="R110" s="146">
        <f t="shared" si="12"/>
        <v>60.476735915292437</v>
      </c>
      <c r="S110" s="126">
        <f t="shared" si="13"/>
        <v>-9.5232640847075629</v>
      </c>
      <c r="T110" s="145">
        <f t="shared" si="17"/>
        <v>0</v>
      </c>
      <c r="V110" s="12"/>
    </row>
    <row r="111" spans="1:22" x14ac:dyDescent="0.25">
      <c r="A111" s="49">
        <f>'A) Base RI'!A112</f>
        <v>5571</v>
      </c>
      <c r="B111" s="357" t="str">
        <f>'A) Base RI'!B112</f>
        <v>Tévenon</v>
      </c>
      <c r="C111" s="419">
        <v>396640.46051905182</v>
      </c>
      <c r="D111" s="419">
        <v>-33631.068325649539</v>
      </c>
      <c r="E111" s="396">
        <v>0</v>
      </c>
      <c r="F111" s="396">
        <v>0</v>
      </c>
      <c r="G111" s="396">
        <v>0</v>
      </c>
      <c r="H111" s="419">
        <f t="shared" si="16"/>
        <v>363009.39219340228</v>
      </c>
      <c r="I111" s="420">
        <v>21324.629931506846</v>
      </c>
      <c r="J111" s="361">
        <f>'B) D RI'!U112</f>
        <v>22492.192645834311</v>
      </c>
      <c r="K111" s="62">
        <f t="shared" si="14"/>
        <v>17.023010169900342</v>
      </c>
      <c r="L111" s="33">
        <f>'B) D RI'!S112</f>
        <v>73</v>
      </c>
      <c r="M111" s="33">
        <f t="shared" si="9"/>
        <v>55.976989830099654</v>
      </c>
      <c r="N111" s="33">
        <f>'J) Plafonnement effort'!G110+'J) Plafonnement effort'!I110-'K) Plafonnement aide'!I110</f>
        <v>13.492996393882533</v>
      </c>
      <c r="O111" s="126">
        <f t="shared" si="10"/>
        <v>69.46998622398219</v>
      </c>
      <c r="P111" s="47">
        <f t="shared" si="11"/>
        <v>0</v>
      </c>
      <c r="Q111" s="55">
        <f t="shared" si="15"/>
        <v>0</v>
      </c>
      <c r="R111" s="146">
        <f t="shared" si="12"/>
        <v>69.46998622398219</v>
      </c>
      <c r="S111" s="126">
        <f t="shared" si="13"/>
        <v>-3.5300137760178103</v>
      </c>
      <c r="T111" s="145">
        <f t="shared" si="17"/>
        <v>0</v>
      </c>
      <c r="V111" s="12"/>
    </row>
    <row r="112" spans="1:22" x14ac:dyDescent="0.25">
      <c r="A112" s="49">
        <f>'A) Base RI'!A113</f>
        <v>5581</v>
      </c>
      <c r="B112" s="357" t="str">
        <f>'A) Base RI'!B113</f>
        <v>Belmont-sur-Lausanne</v>
      </c>
      <c r="C112" s="419">
        <v>3902472.7494666805</v>
      </c>
      <c r="D112" s="419">
        <v>2701348.9131336859</v>
      </c>
      <c r="E112" s="396">
        <v>0</v>
      </c>
      <c r="F112" s="396">
        <v>0</v>
      </c>
      <c r="G112" s="396">
        <v>0</v>
      </c>
      <c r="H112" s="419">
        <f t="shared" si="16"/>
        <v>6603821.6626003664</v>
      </c>
      <c r="I112" s="420">
        <v>192051.94455635498</v>
      </c>
      <c r="J112" s="361">
        <f>'B) D RI'!U113</f>
        <v>185422.93708910214</v>
      </c>
      <c r="K112" s="62">
        <f t="shared" si="14"/>
        <v>34.385601655090589</v>
      </c>
      <c r="L112" s="33">
        <f>'B) D RI'!S113</f>
        <v>69.5</v>
      </c>
      <c r="M112" s="33">
        <f t="shared" si="9"/>
        <v>35.114398344909411</v>
      </c>
      <c r="N112" s="33">
        <f>'J) Plafonnement effort'!G111+'J) Plafonnement effort'!I111-'K) Plafonnement aide'!I111</f>
        <v>29.93201977928894</v>
      </c>
      <c r="O112" s="126">
        <f t="shared" si="10"/>
        <v>65.046418124198354</v>
      </c>
      <c r="P112" s="47">
        <f t="shared" si="11"/>
        <v>0</v>
      </c>
      <c r="Q112" s="55">
        <f t="shared" si="15"/>
        <v>0</v>
      </c>
      <c r="R112" s="146">
        <f t="shared" si="12"/>
        <v>65.046418124198354</v>
      </c>
      <c r="S112" s="126">
        <f t="shared" si="13"/>
        <v>-4.4535818758016461</v>
      </c>
      <c r="T112" s="145">
        <f t="shared" si="17"/>
        <v>0</v>
      </c>
      <c r="V112" s="12"/>
    </row>
    <row r="113" spans="1:22" x14ac:dyDescent="0.25">
      <c r="A113" s="49">
        <f>'A) Base RI'!A114</f>
        <v>5582</v>
      </c>
      <c r="B113" s="357" t="str">
        <f>'A) Base RI'!B114</f>
        <v>Cheseaux-sur-Lausanne</v>
      </c>
      <c r="C113" s="419">
        <v>3044018.9414713746</v>
      </c>
      <c r="D113" s="419">
        <v>1698690.8722215174</v>
      </c>
      <c r="E113" s="396">
        <v>0</v>
      </c>
      <c r="F113" s="396">
        <v>0</v>
      </c>
      <c r="G113" s="396">
        <v>0</v>
      </c>
      <c r="H113" s="419">
        <f t="shared" si="16"/>
        <v>4742709.813692892</v>
      </c>
      <c r="I113" s="420">
        <v>179002.65087248324</v>
      </c>
      <c r="J113" s="361">
        <f>'B) D RI'!U114</f>
        <v>172785.13258345879</v>
      </c>
      <c r="K113" s="62">
        <f t="shared" si="14"/>
        <v>26.495193174940596</v>
      </c>
      <c r="L113" s="33">
        <f>'B) D RI'!S114</f>
        <v>74.5</v>
      </c>
      <c r="M113" s="33">
        <f t="shared" si="9"/>
        <v>48.004806825059404</v>
      </c>
      <c r="N113" s="33">
        <f>'J) Plafonnement effort'!G112+'J) Plafonnement effort'!I112-'K) Plafonnement aide'!I112</f>
        <v>25.079940628970661</v>
      </c>
      <c r="O113" s="126">
        <f t="shared" si="10"/>
        <v>73.084747454030065</v>
      </c>
      <c r="P113" s="47">
        <f t="shared" si="11"/>
        <v>0</v>
      </c>
      <c r="Q113" s="55">
        <f t="shared" si="15"/>
        <v>0</v>
      </c>
      <c r="R113" s="146">
        <f t="shared" si="12"/>
        <v>73.084747454030065</v>
      </c>
      <c r="S113" s="126">
        <f t="shared" si="13"/>
        <v>-1.4152525459699348</v>
      </c>
      <c r="T113" s="145">
        <f t="shared" si="17"/>
        <v>0</v>
      </c>
      <c r="V113" s="12"/>
    </row>
    <row r="114" spans="1:22" x14ac:dyDescent="0.25">
      <c r="A114" s="49">
        <f>'A) Base RI'!A115</f>
        <v>5583</v>
      </c>
      <c r="B114" s="357" t="str">
        <f>'A) Base RI'!B115</f>
        <v>Crissier</v>
      </c>
      <c r="C114" s="419">
        <v>5641368.3245898196</v>
      </c>
      <c r="D114" s="419">
        <v>1171973.2546979683</v>
      </c>
      <c r="E114" s="396">
        <v>0</v>
      </c>
      <c r="F114" s="396">
        <v>0</v>
      </c>
      <c r="G114" s="396">
        <v>0</v>
      </c>
      <c r="H114" s="419">
        <f t="shared" si="16"/>
        <v>6813341.5792877879</v>
      </c>
      <c r="I114" s="420">
        <v>294545.40292307688</v>
      </c>
      <c r="J114" s="361">
        <f>'B) D RI'!U115</f>
        <v>311434.56630958844</v>
      </c>
      <c r="K114" s="62">
        <f t="shared" si="14"/>
        <v>23.131719292414665</v>
      </c>
      <c r="L114" s="33">
        <f>'B) D RI'!S115</f>
        <v>65</v>
      </c>
      <c r="M114" s="33">
        <f t="shared" si="9"/>
        <v>41.868280707585335</v>
      </c>
      <c r="N114" s="33">
        <f>'J) Plafonnement effort'!G113+'J) Plafonnement effort'!I113-'K) Plafonnement aide'!I113</f>
        <v>21.301846154363155</v>
      </c>
      <c r="O114" s="126">
        <f t="shared" si="10"/>
        <v>63.170126861948489</v>
      </c>
      <c r="P114" s="47">
        <f t="shared" si="11"/>
        <v>0</v>
      </c>
      <c r="Q114" s="55">
        <f t="shared" si="15"/>
        <v>0</v>
      </c>
      <c r="R114" s="146">
        <f t="shared" si="12"/>
        <v>63.170126861948489</v>
      </c>
      <c r="S114" s="126">
        <f t="shared" si="13"/>
        <v>-1.8298731380515108</v>
      </c>
      <c r="T114" s="145">
        <f t="shared" si="17"/>
        <v>0</v>
      </c>
      <c r="V114" s="12"/>
    </row>
    <row r="115" spans="1:22" x14ac:dyDescent="0.25">
      <c r="A115" s="49">
        <f>'A) Base RI'!A116</f>
        <v>5584</v>
      </c>
      <c r="B115" s="357" t="str">
        <f>'A) Base RI'!B116</f>
        <v>Epalinges</v>
      </c>
      <c r="C115" s="419">
        <v>7995209.7435515486</v>
      </c>
      <c r="D115" s="419">
        <v>3703553.9600448953</v>
      </c>
      <c r="E115" s="396">
        <v>0</v>
      </c>
      <c r="F115" s="396">
        <v>0</v>
      </c>
      <c r="G115" s="396">
        <v>0</v>
      </c>
      <c r="H115" s="419">
        <f t="shared" si="16"/>
        <v>11698763.703596443</v>
      </c>
      <c r="I115" s="420">
        <v>414398.09409090912</v>
      </c>
      <c r="J115" s="361">
        <f>'B) D RI'!U116</f>
        <v>462898.41144046158</v>
      </c>
      <c r="K115" s="62">
        <f t="shared" si="14"/>
        <v>28.23073723169685</v>
      </c>
      <c r="L115" s="33">
        <f>'B) D RI'!S116</f>
        <v>66</v>
      </c>
      <c r="M115" s="33">
        <f t="shared" ref="M115:M166" si="18">L115-K115</f>
        <v>37.76926276830315</v>
      </c>
      <c r="N115" s="33">
        <f>'J) Plafonnement effort'!G114+'J) Plafonnement effort'!I114-'K) Plafonnement aide'!I114</f>
        <v>27.244918983887107</v>
      </c>
      <c r="O115" s="126">
        <f t="shared" ref="O115:O166" si="19">M115+N115</f>
        <v>65.014181752190254</v>
      </c>
      <c r="P115" s="47">
        <f t="shared" ref="P115:P166" si="20">IF(O115&gt;$P$5,$P$5-O115,0)</f>
        <v>0</v>
      </c>
      <c r="Q115" s="55">
        <f t="shared" si="15"/>
        <v>0</v>
      </c>
      <c r="R115" s="146">
        <f t="shared" ref="R115:R166" si="21">O115+P115</f>
        <v>65.014181752190254</v>
      </c>
      <c r="S115" s="126">
        <f t="shared" ref="S115:S166" si="22">R115-L115</f>
        <v>-0.98581824780974614</v>
      </c>
      <c r="T115" s="145">
        <f t="shared" si="17"/>
        <v>0</v>
      </c>
      <c r="V115" s="12"/>
    </row>
    <row r="116" spans="1:22" x14ac:dyDescent="0.25">
      <c r="A116" s="49">
        <f>'A) Base RI'!A117</f>
        <v>5585</v>
      </c>
      <c r="B116" s="357" t="str">
        <f>'A) Base RI'!B117</f>
        <v>Jouxtens-Mézery</v>
      </c>
      <c r="C116" s="419">
        <v>5075664.6390066352</v>
      </c>
      <c r="D116" s="419">
        <v>3148177.4507662817</v>
      </c>
      <c r="E116" s="396">
        <v>0</v>
      </c>
      <c r="F116" s="396">
        <v>-502442.17750876572</v>
      </c>
      <c r="G116" s="396">
        <v>0</v>
      </c>
      <c r="H116" s="419">
        <f t="shared" si="16"/>
        <v>7721399.9122641515</v>
      </c>
      <c r="I116" s="420">
        <v>171586.66471698115</v>
      </c>
      <c r="J116" s="361">
        <f>'B) D RI'!U117</f>
        <v>219524.13851096807</v>
      </c>
      <c r="K116" s="62">
        <f t="shared" si="14"/>
        <v>45</v>
      </c>
      <c r="L116" s="33">
        <f>'B) D RI'!S117</f>
        <v>53</v>
      </c>
      <c r="M116" s="33">
        <f t="shared" si="18"/>
        <v>8</v>
      </c>
      <c r="N116" s="33">
        <f>'J) Plafonnement effort'!G115+'J) Plafonnement effort'!I115-'K) Plafonnement aide'!I115</f>
        <v>49.107633865001368</v>
      </c>
      <c r="O116" s="126">
        <f t="shared" si="19"/>
        <v>57.107633865001368</v>
      </c>
      <c r="P116" s="47">
        <f t="shared" si="20"/>
        <v>0</v>
      </c>
      <c r="Q116" s="55">
        <f t="shared" si="15"/>
        <v>0</v>
      </c>
      <c r="R116" s="146">
        <f t="shared" si="21"/>
        <v>57.107633865001368</v>
      </c>
      <c r="S116" s="126">
        <f t="shared" si="22"/>
        <v>4.1076338650013682</v>
      </c>
      <c r="T116" s="145">
        <f t="shared" si="17"/>
        <v>0</v>
      </c>
      <c r="V116" s="12"/>
    </row>
    <row r="117" spans="1:22" x14ac:dyDescent="0.25">
      <c r="A117" s="49">
        <f>'A) Base RI'!A118</f>
        <v>5586</v>
      </c>
      <c r="B117" s="357" t="str">
        <f>'A) Base RI'!B118</f>
        <v>Lausanne</v>
      </c>
      <c r="C117" s="419">
        <v>112839110.44550021</v>
      </c>
      <c r="D117" s="419">
        <v>-32407063.271456435</v>
      </c>
      <c r="E117" s="396">
        <v>0</v>
      </c>
      <c r="F117" s="396">
        <v>0</v>
      </c>
      <c r="G117" s="396">
        <v>0</v>
      </c>
      <c r="H117" s="419">
        <f t="shared" si="16"/>
        <v>80432047.174043775</v>
      </c>
      <c r="I117" s="420">
        <v>5871810.1056962032</v>
      </c>
      <c r="J117" s="361">
        <f>'B) D RI'!U118</f>
        <v>5631743.9365920834</v>
      </c>
      <c r="K117" s="62">
        <f t="shared" ref="K117:K167" si="23">H117/I117</f>
        <v>13.697998696520719</v>
      </c>
      <c r="L117" s="33">
        <f>'B) D RI'!S118</f>
        <v>79</v>
      </c>
      <c r="M117" s="33">
        <f t="shared" si="18"/>
        <v>65.302001303479287</v>
      </c>
      <c r="N117" s="33">
        <f>'J) Plafonnement effort'!G116+'J) Plafonnement effort'!I116-'K) Plafonnement aide'!I116</f>
        <v>2.4798767885202757</v>
      </c>
      <c r="O117" s="126">
        <f t="shared" si="19"/>
        <v>67.781878091999559</v>
      </c>
      <c r="P117" s="47">
        <f t="shared" si="20"/>
        <v>0</v>
      </c>
      <c r="Q117" s="55">
        <f t="shared" si="15"/>
        <v>0</v>
      </c>
      <c r="R117" s="146">
        <f t="shared" si="21"/>
        <v>67.781878091999559</v>
      </c>
      <c r="S117" s="126">
        <f t="shared" si="22"/>
        <v>-11.218121908000441</v>
      </c>
      <c r="T117" s="145">
        <f t="shared" si="17"/>
        <v>0</v>
      </c>
      <c r="V117" s="12"/>
    </row>
    <row r="118" spans="1:22" x14ac:dyDescent="0.25">
      <c r="A118" s="49">
        <f>'A) Base RI'!A119</f>
        <v>5587</v>
      </c>
      <c r="B118" s="357" t="str">
        <f>'A) Base RI'!B119</f>
        <v>Le Mont-sur-Lausanne</v>
      </c>
      <c r="C118" s="419">
        <v>8378194.3951671692</v>
      </c>
      <c r="D118" s="419">
        <v>4687648.0544749368</v>
      </c>
      <c r="E118" s="396">
        <v>0</v>
      </c>
      <c r="F118" s="396">
        <v>0</v>
      </c>
      <c r="G118" s="396">
        <v>0</v>
      </c>
      <c r="H118" s="419">
        <f t="shared" si="16"/>
        <v>13065842.449642107</v>
      </c>
      <c r="I118" s="420">
        <v>415945.64633333334</v>
      </c>
      <c r="J118" s="361">
        <f>'B) D RI'!U119</f>
        <v>419159.15757031104</v>
      </c>
      <c r="K118" s="62">
        <f t="shared" si="23"/>
        <v>31.412379393367452</v>
      </c>
      <c r="L118" s="33">
        <f>'B) D RI'!S119</f>
        <v>75</v>
      </c>
      <c r="M118" s="33">
        <f t="shared" si="18"/>
        <v>43.587620606632548</v>
      </c>
      <c r="N118" s="33">
        <f>'J) Plafonnement effort'!G117+'J) Plafonnement effort'!I117-'K) Plafonnement aide'!I117</f>
        <v>24.285004534232076</v>
      </c>
      <c r="O118" s="126">
        <f t="shared" si="19"/>
        <v>67.872625140864628</v>
      </c>
      <c r="P118" s="47">
        <f t="shared" si="20"/>
        <v>0</v>
      </c>
      <c r="Q118" s="55">
        <f t="shared" ref="Q118:Q167" si="24">P118*J118</f>
        <v>0</v>
      </c>
      <c r="R118" s="146">
        <f t="shared" si="21"/>
        <v>67.872625140864628</v>
      </c>
      <c r="S118" s="126">
        <f t="shared" si="22"/>
        <v>-7.1273748591353723</v>
      </c>
      <c r="T118" s="145">
        <f t="shared" si="17"/>
        <v>0</v>
      </c>
      <c r="V118" s="12"/>
    </row>
    <row r="119" spans="1:22" x14ac:dyDescent="0.25">
      <c r="A119" s="49">
        <f>'A) Base RI'!A120</f>
        <v>5588</v>
      </c>
      <c r="B119" s="357" t="str">
        <f>'A) Base RI'!B120</f>
        <v>Paudex</v>
      </c>
      <c r="C119" s="419">
        <v>4104374.0013926057</v>
      </c>
      <c r="D119" s="419">
        <v>2656546.3797517773</v>
      </c>
      <c r="E119" s="396">
        <v>0</v>
      </c>
      <c r="F119" s="396">
        <v>-136460.1090189461</v>
      </c>
      <c r="G119" s="396">
        <v>0</v>
      </c>
      <c r="H119" s="419">
        <f t="shared" si="16"/>
        <v>6624460.2721254369</v>
      </c>
      <c r="I119" s="420">
        <v>147210.22826945415</v>
      </c>
      <c r="J119" s="361">
        <f>'B) D RI'!U120</f>
        <v>128424.0019189813</v>
      </c>
      <c r="K119" s="62">
        <f t="shared" si="23"/>
        <v>45</v>
      </c>
      <c r="L119" s="33">
        <f>'B) D RI'!S120</f>
        <v>61.5</v>
      </c>
      <c r="M119" s="33">
        <f t="shared" si="18"/>
        <v>16.5</v>
      </c>
      <c r="N119" s="33">
        <f>'J) Plafonnement effort'!G118+'J) Plafonnement effort'!I118-'K) Plafonnement aide'!I118</f>
        <v>44.593177290830042</v>
      </c>
      <c r="O119" s="126">
        <f t="shared" si="19"/>
        <v>61.093177290830042</v>
      </c>
      <c r="P119" s="47">
        <f t="shared" si="20"/>
        <v>0</v>
      </c>
      <c r="Q119" s="55">
        <f t="shared" si="24"/>
        <v>0</v>
      </c>
      <c r="R119" s="146">
        <f t="shared" si="21"/>
        <v>61.093177290830042</v>
      </c>
      <c r="S119" s="126">
        <f t="shared" si="22"/>
        <v>-0.40682270916995833</v>
      </c>
      <c r="T119" s="145">
        <f t="shared" si="17"/>
        <v>0</v>
      </c>
      <c r="V119" s="12"/>
    </row>
    <row r="120" spans="1:22" x14ac:dyDescent="0.25">
      <c r="A120" s="49">
        <f>'A) Base RI'!A121</f>
        <v>5589</v>
      </c>
      <c r="B120" s="357" t="str">
        <f>'A) Base RI'!B121</f>
        <v>Prilly</v>
      </c>
      <c r="C120" s="419">
        <v>7411998.2274422934</v>
      </c>
      <c r="D120" s="419">
        <v>-2075271.8237570217</v>
      </c>
      <c r="E120" s="396">
        <v>0</v>
      </c>
      <c r="F120" s="396">
        <v>0</v>
      </c>
      <c r="G120" s="396">
        <v>0</v>
      </c>
      <c r="H120" s="419">
        <f t="shared" si="16"/>
        <v>5336726.4036852717</v>
      </c>
      <c r="I120" s="420">
        <v>397261.42585034011</v>
      </c>
      <c r="J120" s="361">
        <f>'B) D RI'!U121</f>
        <v>381105.28464677284</v>
      </c>
      <c r="K120" s="62">
        <f t="shared" si="23"/>
        <v>13.433789581412244</v>
      </c>
      <c r="L120" s="33">
        <f>'B) D RI'!S121</f>
        <v>73.5</v>
      </c>
      <c r="M120" s="33">
        <f t="shared" si="18"/>
        <v>60.066210418587758</v>
      </c>
      <c r="N120" s="33">
        <f>'J) Plafonnement effort'!G119+'J) Plafonnement effort'!I119-'K) Plafonnement aide'!I119</f>
        <v>3.3122034878790911</v>
      </c>
      <c r="O120" s="126">
        <f t="shared" si="19"/>
        <v>63.378413906466847</v>
      </c>
      <c r="P120" s="47">
        <f t="shared" si="20"/>
        <v>0</v>
      </c>
      <c r="Q120" s="55">
        <f t="shared" si="24"/>
        <v>0</v>
      </c>
      <c r="R120" s="146">
        <f t="shared" si="21"/>
        <v>63.378413906466847</v>
      </c>
      <c r="S120" s="126">
        <f t="shared" si="22"/>
        <v>-10.121586093533153</v>
      </c>
      <c r="T120" s="145">
        <f t="shared" si="17"/>
        <v>0</v>
      </c>
      <c r="V120" s="12"/>
    </row>
    <row r="121" spans="1:22" x14ac:dyDescent="0.25">
      <c r="A121" s="49">
        <f>'A) Base RI'!A122</f>
        <v>5590</v>
      </c>
      <c r="B121" s="357" t="str">
        <f>'A) Base RI'!B122</f>
        <v>Pully</v>
      </c>
      <c r="C121" s="419">
        <v>39326294.179557689</v>
      </c>
      <c r="D121" s="419">
        <v>15769471.826448236</v>
      </c>
      <c r="E121" s="396">
        <v>0</v>
      </c>
      <c r="F121" s="396">
        <v>0</v>
      </c>
      <c r="G121" s="396">
        <v>0</v>
      </c>
      <c r="H121" s="419">
        <f t="shared" si="16"/>
        <v>55095766.006005928</v>
      </c>
      <c r="I121" s="420">
        <v>1436103.5918735364</v>
      </c>
      <c r="J121" s="361">
        <f>'B) D RI'!U122</f>
        <v>1400746.467371441</v>
      </c>
      <c r="K121" s="62">
        <f t="shared" si="23"/>
        <v>38.364757471380017</v>
      </c>
      <c r="L121" s="33">
        <f>'B) D RI'!S122</f>
        <v>61</v>
      </c>
      <c r="M121" s="33">
        <f t="shared" si="18"/>
        <v>22.635242528619983</v>
      </c>
      <c r="N121" s="33">
        <f>'J) Plafonnement effort'!G120+'J) Plafonnement effort'!I120-'K) Plafonnement aide'!I120</f>
        <v>37.162379621645393</v>
      </c>
      <c r="O121" s="126">
        <f t="shared" si="19"/>
        <v>59.797622150265376</v>
      </c>
      <c r="P121" s="47">
        <f t="shared" si="20"/>
        <v>0</v>
      </c>
      <c r="Q121" s="55">
        <f t="shared" si="24"/>
        <v>0</v>
      </c>
      <c r="R121" s="146">
        <f t="shared" si="21"/>
        <v>59.797622150265376</v>
      </c>
      <c r="S121" s="126">
        <f t="shared" si="22"/>
        <v>-1.2023778497346242</v>
      </c>
      <c r="T121" s="145">
        <f t="shared" si="17"/>
        <v>0</v>
      </c>
      <c r="V121" s="12"/>
    </row>
    <row r="122" spans="1:22" x14ac:dyDescent="0.25">
      <c r="A122" s="49">
        <f>'A) Base RI'!A123</f>
        <v>5591</v>
      </c>
      <c r="B122" s="357" t="str">
        <f>'A) Base RI'!B123</f>
        <v>Renens</v>
      </c>
      <c r="C122" s="419">
        <v>10055638.501475381</v>
      </c>
      <c r="D122" s="419">
        <v>-15980989.985283472</v>
      </c>
      <c r="E122" s="396">
        <v>1715676.9618062719</v>
      </c>
      <c r="F122" s="396">
        <v>0</v>
      </c>
      <c r="G122" s="396">
        <v>0</v>
      </c>
      <c r="H122" s="419">
        <f t="shared" si="16"/>
        <v>-4209674.5220018188</v>
      </c>
      <c r="I122" s="420">
        <v>526209.31525022746</v>
      </c>
      <c r="J122" s="361">
        <f>'B) D RI'!U123</f>
        <v>542865.69746271567</v>
      </c>
      <c r="K122" s="62">
        <f t="shared" si="23"/>
        <v>-7.9999999999999982</v>
      </c>
      <c r="L122" s="33">
        <f>'B) D RI'!S123</f>
        <v>78.5</v>
      </c>
      <c r="M122" s="33">
        <f t="shared" si="18"/>
        <v>86.5</v>
      </c>
      <c r="N122" s="33">
        <f>'J) Plafonnement effort'!G121+'J) Plafonnement effort'!I121-'K) Plafonnement aide'!I121</f>
        <v>-17.162063438037777</v>
      </c>
      <c r="O122" s="126">
        <f t="shared" si="19"/>
        <v>69.337936561962223</v>
      </c>
      <c r="P122" s="47">
        <f t="shared" si="20"/>
        <v>0</v>
      </c>
      <c r="Q122" s="55">
        <f t="shared" si="24"/>
        <v>0</v>
      </c>
      <c r="R122" s="146">
        <f t="shared" si="21"/>
        <v>69.337936561962223</v>
      </c>
      <c r="S122" s="126">
        <f t="shared" si="22"/>
        <v>-9.1620634380377766</v>
      </c>
      <c r="T122" s="145">
        <f t="shared" si="17"/>
        <v>0</v>
      </c>
      <c r="V122" s="12"/>
    </row>
    <row r="123" spans="1:22" x14ac:dyDescent="0.25">
      <c r="A123" s="49">
        <f>'A) Base RI'!A124</f>
        <v>5592</v>
      </c>
      <c r="B123" s="357" t="str">
        <f>'A) Base RI'!B124</f>
        <v>Romanel-sur-Lausanne</v>
      </c>
      <c r="C123" s="419">
        <v>1982524.4040212485</v>
      </c>
      <c r="D123" s="419">
        <v>532214.84830344981</v>
      </c>
      <c r="E123" s="396">
        <v>0</v>
      </c>
      <c r="F123" s="396">
        <v>0</v>
      </c>
      <c r="G123" s="396">
        <v>0</v>
      </c>
      <c r="H123" s="419">
        <f t="shared" si="16"/>
        <v>2514739.2523246985</v>
      </c>
      <c r="I123" s="420">
        <v>111498.54042857142</v>
      </c>
      <c r="J123" s="361">
        <f>'B) D RI'!U124</f>
        <v>113665.67141569764</v>
      </c>
      <c r="K123" s="62">
        <f t="shared" si="23"/>
        <v>22.554010506852325</v>
      </c>
      <c r="L123" s="33">
        <f>'B) D RI'!S124</f>
        <v>70</v>
      </c>
      <c r="M123" s="33">
        <f t="shared" si="18"/>
        <v>47.445989493147678</v>
      </c>
      <c r="N123" s="33">
        <f>'J) Plafonnement effort'!G122+'J) Plafonnement effort'!I122-'K) Plafonnement aide'!I122</f>
        <v>21.271690810603353</v>
      </c>
      <c r="O123" s="126">
        <f t="shared" si="19"/>
        <v>68.717680303751024</v>
      </c>
      <c r="P123" s="47">
        <f t="shared" si="20"/>
        <v>0</v>
      </c>
      <c r="Q123" s="55">
        <f t="shared" si="24"/>
        <v>0</v>
      </c>
      <c r="R123" s="146">
        <f t="shared" si="21"/>
        <v>68.717680303751024</v>
      </c>
      <c r="S123" s="126">
        <f t="shared" si="22"/>
        <v>-1.282319696248976</v>
      </c>
      <c r="T123" s="145">
        <f t="shared" si="17"/>
        <v>0</v>
      </c>
      <c r="V123" s="12"/>
    </row>
    <row r="124" spans="1:22" x14ac:dyDescent="0.25">
      <c r="A124" s="49">
        <f>'A) Base RI'!A125</f>
        <v>5601</v>
      </c>
      <c r="B124" s="357" t="str">
        <f>'A) Base RI'!B125</f>
        <v>Chexbres</v>
      </c>
      <c r="C124" s="419">
        <v>2632012.6103847204</v>
      </c>
      <c r="D124" s="419">
        <v>1782380.3579173151</v>
      </c>
      <c r="E124" s="396">
        <v>0</v>
      </c>
      <c r="F124" s="396">
        <v>0</v>
      </c>
      <c r="G124" s="396">
        <v>0</v>
      </c>
      <c r="H124" s="419">
        <f t="shared" si="16"/>
        <v>4414392.9683020357</v>
      </c>
      <c r="I124" s="420">
        <v>116832.8703125</v>
      </c>
      <c r="J124" s="361">
        <f>'B) D RI'!U125</f>
        <v>102425.76498358055</v>
      </c>
      <c r="K124" s="62">
        <f t="shared" si="23"/>
        <v>37.783827072762911</v>
      </c>
      <c r="L124" s="33">
        <f>'B) D RI'!S125</f>
        <v>69</v>
      </c>
      <c r="M124" s="33">
        <f t="shared" si="18"/>
        <v>31.216172927237089</v>
      </c>
      <c r="N124" s="33">
        <f>'J) Plafonnement effort'!G123+'J) Plafonnement effort'!I123-'K) Plafonnement aide'!I123</f>
        <v>31.874581482048587</v>
      </c>
      <c r="O124" s="126">
        <f t="shared" si="19"/>
        <v>63.09075440928568</v>
      </c>
      <c r="P124" s="47">
        <f t="shared" si="20"/>
        <v>0</v>
      </c>
      <c r="Q124" s="55">
        <f t="shared" si="24"/>
        <v>0</v>
      </c>
      <c r="R124" s="146">
        <f t="shared" si="21"/>
        <v>63.09075440928568</v>
      </c>
      <c r="S124" s="126">
        <f t="shared" si="22"/>
        <v>-5.9092455907143204</v>
      </c>
      <c r="T124" s="145">
        <f t="shared" si="17"/>
        <v>0</v>
      </c>
      <c r="V124" s="12"/>
    </row>
    <row r="125" spans="1:22" x14ac:dyDescent="0.25">
      <c r="A125" s="49">
        <f>'A) Base RI'!A126</f>
        <v>5604</v>
      </c>
      <c r="B125" s="357" t="str">
        <f>'A) Base RI'!B126</f>
        <v>Forel (Lavaux)</v>
      </c>
      <c r="C125" s="419">
        <v>1264989.8846164136</v>
      </c>
      <c r="D125" s="419">
        <v>423519.79526942456</v>
      </c>
      <c r="E125" s="396">
        <v>0</v>
      </c>
      <c r="F125" s="396">
        <v>0</v>
      </c>
      <c r="G125" s="396">
        <v>0</v>
      </c>
      <c r="H125" s="419">
        <f t="shared" si="16"/>
        <v>1688509.6798858382</v>
      </c>
      <c r="I125" s="420">
        <v>69144.285441176457</v>
      </c>
      <c r="J125" s="361">
        <f>'B) D RI'!U126</f>
        <v>73155.644895461912</v>
      </c>
      <c r="K125" s="62">
        <f t="shared" si="23"/>
        <v>24.420090092945056</v>
      </c>
      <c r="L125" s="33">
        <f>'B) D RI'!S126</f>
        <v>70</v>
      </c>
      <c r="M125" s="33">
        <f t="shared" si="18"/>
        <v>45.57990990705494</v>
      </c>
      <c r="N125" s="33">
        <f>'J) Plafonnement effort'!G124+'J) Plafonnement effort'!I124-'K) Plafonnement aide'!I124</f>
        <v>21.753265251743137</v>
      </c>
      <c r="O125" s="126">
        <f t="shared" si="19"/>
        <v>67.33317515879807</v>
      </c>
      <c r="P125" s="47">
        <f t="shared" si="20"/>
        <v>0</v>
      </c>
      <c r="Q125" s="55">
        <f t="shared" si="24"/>
        <v>0</v>
      </c>
      <c r="R125" s="146">
        <f t="shared" si="21"/>
        <v>67.33317515879807</v>
      </c>
      <c r="S125" s="126">
        <f t="shared" si="22"/>
        <v>-2.6668248412019295</v>
      </c>
      <c r="T125" s="145">
        <f t="shared" si="17"/>
        <v>0</v>
      </c>
      <c r="V125" s="12"/>
    </row>
    <row r="126" spans="1:22" x14ac:dyDescent="0.25">
      <c r="A126" s="49">
        <f>'A) Base RI'!A127</f>
        <v>5606</v>
      </c>
      <c r="B126" s="357" t="str">
        <f>'A) Base RI'!B127</f>
        <v>Lutry</v>
      </c>
      <c r="C126" s="419">
        <v>22484973.571327414</v>
      </c>
      <c r="D126" s="419">
        <v>11381718.966294859</v>
      </c>
      <c r="E126" s="396">
        <v>0</v>
      </c>
      <c r="F126" s="396">
        <v>0</v>
      </c>
      <c r="G126" s="396">
        <v>0</v>
      </c>
      <c r="H126" s="419">
        <f t="shared" si="16"/>
        <v>33866692.537622273</v>
      </c>
      <c r="I126" s="420">
        <v>819312.37389961397</v>
      </c>
      <c r="J126" s="361">
        <f>'B) D RI'!U127</f>
        <v>811441.75973886927</v>
      </c>
      <c r="K126" s="62">
        <f t="shared" si="23"/>
        <v>41.335507208843623</v>
      </c>
      <c r="L126" s="33">
        <f>'B) D RI'!S127</f>
        <v>55.5</v>
      </c>
      <c r="M126" s="33">
        <f t="shared" si="18"/>
        <v>14.164492791156377</v>
      </c>
      <c r="N126" s="33">
        <f>'J) Plafonnement effort'!G125+'J) Plafonnement effort'!I125-'K) Plafonnement aide'!I125</f>
        <v>38.569003707027655</v>
      </c>
      <c r="O126" s="126">
        <f t="shared" si="19"/>
        <v>52.733496498184032</v>
      </c>
      <c r="P126" s="47">
        <f t="shared" si="20"/>
        <v>0</v>
      </c>
      <c r="Q126" s="55">
        <f t="shared" si="24"/>
        <v>0</v>
      </c>
      <c r="R126" s="146">
        <f t="shared" si="21"/>
        <v>52.733496498184032</v>
      </c>
      <c r="S126" s="126">
        <f t="shared" si="22"/>
        <v>-2.7665035018159685</v>
      </c>
      <c r="T126" s="145">
        <f t="shared" si="17"/>
        <v>0</v>
      </c>
      <c r="V126" s="12"/>
    </row>
    <row r="127" spans="1:22" x14ac:dyDescent="0.25">
      <c r="A127" s="49">
        <f>'A) Base RI'!A128</f>
        <v>5607</v>
      </c>
      <c r="B127" s="357" t="str">
        <f>'A) Base RI'!B128</f>
        <v>Puidoux</v>
      </c>
      <c r="C127" s="419">
        <v>2032892.0301772947</v>
      </c>
      <c r="D127" s="419">
        <v>796899.22843264672</v>
      </c>
      <c r="E127" s="396">
        <v>0</v>
      </c>
      <c r="F127" s="396">
        <v>0</v>
      </c>
      <c r="G127" s="396">
        <v>0</v>
      </c>
      <c r="H127" s="419">
        <f t="shared" si="16"/>
        <v>2829791.2586099412</v>
      </c>
      <c r="I127" s="420">
        <v>104767.98296273292</v>
      </c>
      <c r="J127" s="361">
        <f>'B) D RI'!U128</f>
        <v>106681.90706629901</v>
      </c>
      <c r="K127" s="62">
        <f t="shared" si="23"/>
        <v>27.010076729419598</v>
      </c>
      <c r="L127" s="33">
        <f>'B) D RI'!S128</f>
        <v>70</v>
      </c>
      <c r="M127" s="33">
        <f t="shared" si="18"/>
        <v>42.989923270580405</v>
      </c>
      <c r="N127" s="33">
        <f>'J) Plafonnement effort'!G126+'J) Plafonnement effort'!I126-'K) Plafonnement aide'!I126</f>
        <v>20.937956924093339</v>
      </c>
      <c r="O127" s="126">
        <f t="shared" si="19"/>
        <v>63.927880194673747</v>
      </c>
      <c r="P127" s="47">
        <f t="shared" si="20"/>
        <v>0</v>
      </c>
      <c r="Q127" s="55">
        <f t="shared" si="24"/>
        <v>0</v>
      </c>
      <c r="R127" s="146">
        <f t="shared" si="21"/>
        <v>63.927880194673747</v>
      </c>
      <c r="S127" s="126">
        <f t="shared" si="22"/>
        <v>-6.0721198053262526</v>
      </c>
      <c r="T127" s="145">
        <f t="shared" si="17"/>
        <v>0</v>
      </c>
      <c r="V127" s="12"/>
    </row>
    <row r="128" spans="1:22" x14ac:dyDescent="0.25">
      <c r="A128" s="49">
        <f>'A) Base RI'!A129</f>
        <v>5609</v>
      </c>
      <c r="B128" s="357" t="str">
        <f>'A) Base RI'!B129</f>
        <v>Rivaz</v>
      </c>
      <c r="C128" s="419">
        <v>282231.83431867143</v>
      </c>
      <c r="D128" s="419">
        <v>262677.34465058579</v>
      </c>
      <c r="E128" s="396">
        <v>0</v>
      </c>
      <c r="F128" s="396">
        <v>0</v>
      </c>
      <c r="G128" s="396">
        <v>0</v>
      </c>
      <c r="H128" s="419">
        <f t="shared" si="16"/>
        <v>544909.17896925728</v>
      </c>
      <c r="I128" s="420">
        <v>15550.240157480319</v>
      </c>
      <c r="J128" s="361">
        <f>'B) D RI'!U129</f>
        <v>13473.763444719882</v>
      </c>
      <c r="K128" s="62">
        <f t="shared" si="23"/>
        <v>35.041849736779341</v>
      </c>
      <c r="L128" s="33">
        <f>'B) D RI'!S129</f>
        <v>63.5</v>
      </c>
      <c r="M128" s="33">
        <f t="shared" si="18"/>
        <v>28.458150263220659</v>
      </c>
      <c r="N128" s="33">
        <f>'J) Plafonnement effort'!G127+'J) Plafonnement effort'!I127-'K) Plafonnement aide'!I127</f>
        <v>27.835667135535068</v>
      </c>
      <c r="O128" s="126">
        <f t="shared" si="19"/>
        <v>56.293817398755728</v>
      </c>
      <c r="P128" s="47">
        <f t="shared" si="20"/>
        <v>0</v>
      </c>
      <c r="Q128" s="55">
        <f t="shared" si="24"/>
        <v>0</v>
      </c>
      <c r="R128" s="146">
        <f t="shared" si="21"/>
        <v>56.293817398755728</v>
      </c>
      <c r="S128" s="126">
        <f t="shared" si="22"/>
        <v>-7.2061826012442722</v>
      </c>
      <c r="T128" s="145">
        <f t="shared" si="17"/>
        <v>0</v>
      </c>
      <c r="V128" s="12"/>
    </row>
    <row r="129" spans="1:22" x14ac:dyDescent="0.25">
      <c r="A129" s="49">
        <f>'A) Base RI'!A130</f>
        <v>5610</v>
      </c>
      <c r="B129" s="357" t="str">
        <f>'A) Base RI'!B130</f>
        <v>St-Saphorin (Lavaux)</v>
      </c>
      <c r="C129" s="419">
        <v>359506.33993356157</v>
      </c>
      <c r="D129" s="419">
        <v>218938.6461388024</v>
      </c>
      <c r="E129" s="396">
        <v>0</v>
      </c>
      <c r="F129" s="396">
        <v>0</v>
      </c>
      <c r="G129" s="396">
        <v>0</v>
      </c>
      <c r="H129" s="419">
        <f t="shared" si="16"/>
        <v>578444.98607236403</v>
      </c>
      <c r="I129" s="420">
        <v>15345.496567164178</v>
      </c>
      <c r="J129" s="361">
        <f>'B) D RI'!U130</f>
        <v>21538.059608526812</v>
      </c>
      <c r="K129" s="62">
        <f t="shared" si="23"/>
        <v>37.694771462143677</v>
      </c>
      <c r="L129" s="33">
        <f>'B) D RI'!S130</f>
        <v>70</v>
      </c>
      <c r="M129" s="33">
        <f t="shared" si="18"/>
        <v>32.305228537856323</v>
      </c>
      <c r="N129" s="33">
        <f>'J) Plafonnement effort'!G128+'J) Plafonnement effort'!I128-'K) Plafonnement aide'!I128</f>
        <v>35.936071639945233</v>
      </c>
      <c r="O129" s="126">
        <f t="shared" si="19"/>
        <v>68.241300177801548</v>
      </c>
      <c r="P129" s="47">
        <f t="shared" si="20"/>
        <v>0</v>
      </c>
      <c r="Q129" s="55">
        <f t="shared" si="24"/>
        <v>0</v>
      </c>
      <c r="R129" s="146">
        <f t="shared" si="21"/>
        <v>68.241300177801548</v>
      </c>
      <c r="S129" s="126">
        <f t="shared" si="22"/>
        <v>-1.7586998221984516</v>
      </c>
      <c r="T129" s="145">
        <f t="shared" si="17"/>
        <v>0</v>
      </c>
      <c r="V129" s="12"/>
    </row>
    <row r="130" spans="1:22" x14ac:dyDescent="0.25">
      <c r="A130" s="49">
        <f>'A) Base RI'!A131</f>
        <v>5611</v>
      </c>
      <c r="B130" s="357" t="str">
        <f>'A) Base RI'!B131</f>
        <v>Savigny</v>
      </c>
      <c r="C130" s="419">
        <v>2696071.3550427435</v>
      </c>
      <c r="D130" s="419">
        <v>1280968.5922290226</v>
      </c>
      <c r="E130" s="396">
        <v>0</v>
      </c>
      <c r="F130" s="396">
        <v>0</v>
      </c>
      <c r="G130" s="396">
        <v>0</v>
      </c>
      <c r="H130" s="419">
        <f t="shared" si="16"/>
        <v>3977039.9472717661</v>
      </c>
      <c r="I130" s="420">
        <v>131982.7743236715</v>
      </c>
      <c r="J130" s="361">
        <f>'B) D RI'!U131</f>
        <v>135057.67308998347</v>
      </c>
      <c r="K130" s="62">
        <f t="shared" si="23"/>
        <v>30.133022795221482</v>
      </c>
      <c r="L130" s="33">
        <f>'B) D RI'!S131</f>
        <v>69</v>
      </c>
      <c r="M130" s="33">
        <f t="shared" si="18"/>
        <v>38.866977204778522</v>
      </c>
      <c r="N130" s="33">
        <f>'J) Plafonnement effort'!G129+'J) Plafonnement effort'!I129-'K) Plafonnement aide'!I129</f>
        <v>29.14200597167569</v>
      </c>
      <c r="O130" s="126">
        <f t="shared" si="19"/>
        <v>68.008983176454208</v>
      </c>
      <c r="P130" s="47">
        <f t="shared" si="20"/>
        <v>0</v>
      </c>
      <c r="Q130" s="55">
        <f t="shared" si="24"/>
        <v>0</v>
      </c>
      <c r="R130" s="146">
        <f t="shared" si="21"/>
        <v>68.008983176454208</v>
      </c>
      <c r="S130" s="126">
        <f t="shared" si="22"/>
        <v>-0.99101682354579168</v>
      </c>
      <c r="T130" s="145">
        <f t="shared" si="17"/>
        <v>0</v>
      </c>
      <c r="V130" s="12"/>
    </row>
    <row r="131" spans="1:22" x14ac:dyDescent="0.25">
      <c r="A131" s="49">
        <f>'A) Base RI'!A132</f>
        <v>5613</v>
      </c>
      <c r="B131" s="357" t="str">
        <f>'A) Base RI'!B132</f>
        <v>Bourg-en-Lavaux</v>
      </c>
      <c r="C131" s="419">
        <v>7377262.4163704133</v>
      </c>
      <c r="D131" s="419">
        <v>4626756.3216975667</v>
      </c>
      <c r="E131" s="396">
        <v>0</v>
      </c>
      <c r="F131" s="396">
        <v>0</v>
      </c>
      <c r="G131" s="396">
        <v>0</v>
      </c>
      <c r="H131" s="419">
        <f t="shared" si="16"/>
        <v>12004018.738067981</v>
      </c>
      <c r="I131" s="420">
        <v>329819.74420765025</v>
      </c>
      <c r="J131" s="361">
        <f>'B) D RI'!U132</f>
        <v>293013.05852938921</v>
      </c>
      <c r="K131" s="62">
        <f t="shared" si="23"/>
        <v>36.395694766261194</v>
      </c>
      <c r="L131" s="33">
        <f>'B) D RI'!S132</f>
        <v>61</v>
      </c>
      <c r="M131" s="33">
        <f t="shared" si="18"/>
        <v>24.604305233738806</v>
      </c>
      <c r="N131" s="33">
        <f>'J) Plafonnement effort'!G130+'J) Plafonnement effort'!I130-'K) Plafonnement aide'!I130</f>
        <v>34.439898669564222</v>
      </c>
      <c r="O131" s="126">
        <f t="shared" si="19"/>
        <v>59.044203903303028</v>
      </c>
      <c r="P131" s="47">
        <f t="shared" si="20"/>
        <v>0</v>
      </c>
      <c r="Q131" s="55">
        <f t="shared" si="24"/>
        <v>0</v>
      </c>
      <c r="R131" s="146">
        <f t="shared" si="21"/>
        <v>59.044203903303028</v>
      </c>
      <c r="S131" s="126">
        <f t="shared" si="22"/>
        <v>-1.9557960966969716</v>
      </c>
      <c r="T131" s="145">
        <f t="shared" si="17"/>
        <v>0</v>
      </c>
      <c r="V131" s="12"/>
    </row>
    <row r="132" spans="1:22" x14ac:dyDescent="0.25">
      <c r="A132" s="49">
        <f>'A) Base RI'!A133</f>
        <v>5621</v>
      </c>
      <c r="B132" s="357" t="str">
        <f>'A) Base RI'!B133</f>
        <v>Aclens</v>
      </c>
      <c r="C132" s="419">
        <v>875807.23775441002</v>
      </c>
      <c r="D132" s="419">
        <v>528103.24546284694</v>
      </c>
      <c r="E132" s="396">
        <v>0</v>
      </c>
      <c r="F132" s="396">
        <v>-31742.144049368551</v>
      </c>
      <c r="G132" s="396">
        <v>0</v>
      </c>
      <c r="H132" s="419">
        <f t="shared" si="16"/>
        <v>1372168.3391678885</v>
      </c>
      <c r="I132" s="420">
        <v>29752.054618768325</v>
      </c>
      <c r="J132" s="361">
        <f>'B) D RI'!U133</f>
        <v>33712.724093262899</v>
      </c>
      <c r="K132" s="62">
        <f t="shared" si="23"/>
        <v>46.120120332875807</v>
      </c>
      <c r="L132" s="33">
        <f>'B) D RI'!S133</f>
        <v>62</v>
      </c>
      <c r="M132" s="33">
        <f t="shared" si="18"/>
        <v>15.879879667124193</v>
      </c>
      <c r="N132" s="33">
        <f>'J) Plafonnement effort'!G131+'J) Plafonnement effort'!I131-'K) Plafonnement aide'!I131</f>
        <v>43.848600111622929</v>
      </c>
      <c r="O132" s="126">
        <f t="shared" si="19"/>
        <v>59.728479778747122</v>
      </c>
      <c r="P132" s="47">
        <f t="shared" si="20"/>
        <v>0</v>
      </c>
      <c r="Q132" s="55">
        <f t="shared" si="24"/>
        <v>0</v>
      </c>
      <c r="R132" s="146">
        <f t="shared" si="21"/>
        <v>59.728479778747122</v>
      </c>
      <c r="S132" s="126">
        <f t="shared" si="22"/>
        <v>-2.271520221252878</v>
      </c>
      <c r="T132" s="145">
        <f t="shared" si="17"/>
        <v>0</v>
      </c>
      <c r="V132" s="12"/>
    </row>
    <row r="133" spans="1:22" x14ac:dyDescent="0.25">
      <c r="A133" s="49">
        <f>'A) Base RI'!A134</f>
        <v>5622</v>
      </c>
      <c r="B133" s="357" t="str">
        <f>'A) Base RI'!B134</f>
        <v>Bremblens</v>
      </c>
      <c r="C133" s="419">
        <v>583491.52759781701</v>
      </c>
      <c r="D133" s="419">
        <v>534130.31742605241</v>
      </c>
      <c r="E133" s="396">
        <v>0</v>
      </c>
      <c r="F133" s="396">
        <v>0</v>
      </c>
      <c r="G133" s="396">
        <v>0</v>
      </c>
      <c r="H133" s="419">
        <f t="shared" si="16"/>
        <v>1117621.8450238695</v>
      </c>
      <c r="I133" s="420">
        <v>30065.565151515151</v>
      </c>
      <c r="J133" s="361">
        <f>'B) D RI'!U134</f>
        <v>25760.394087687673</v>
      </c>
      <c r="K133" s="62">
        <f t="shared" si="23"/>
        <v>37.172820114693472</v>
      </c>
      <c r="L133" s="33">
        <f>'B) D RI'!S134</f>
        <v>66</v>
      </c>
      <c r="M133" s="33">
        <f t="shared" si="18"/>
        <v>28.827179885306528</v>
      </c>
      <c r="N133" s="33">
        <f>'J) Plafonnement effort'!G132+'J) Plafonnement effort'!I132-'K) Plafonnement aide'!I132</f>
        <v>38.582501873806883</v>
      </c>
      <c r="O133" s="126">
        <f t="shared" si="19"/>
        <v>67.409681759113411</v>
      </c>
      <c r="P133" s="47">
        <f t="shared" si="20"/>
        <v>0</v>
      </c>
      <c r="Q133" s="55">
        <f t="shared" si="24"/>
        <v>0</v>
      </c>
      <c r="R133" s="146">
        <f t="shared" si="21"/>
        <v>67.409681759113411</v>
      </c>
      <c r="S133" s="126">
        <f t="shared" si="22"/>
        <v>1.4096817591134112</v>
      </c>
      <c r="T133" s="145">
        <f t="shared" si="17"/>
        <v>0</v>
      </c>
      <c r="V133" s="12"/>
    </row>
    <row r="134" spans="1:22" x14ac:dyDescent="0.25">
      <c r="A134" s="49">
        <f>'A) Base RI'!A135</f>
        <v>5623</v>
      </c>
      <c r="B134" s="357" t="str">
        <f>'A) Base RI'!B135</f>
        <v>Buchillon</v>
      </c>
      <c r="C134" s="419">
        <v>2205886.4742597071</v>
      </c>
      <c r="D134" s="419">
        <v>1416539.7005404765</v>
      </c>
      <c r="E134" s="396">
        <v>0</v>
      </c>
      <c r="F134" s="396">
        <v>-260001.52668697675</v>
      </c>
      <c r="G134" s="396">
        <v>0</v>
      </c>
      <c r="H134" s="419">
        <f t="shared" si="16"/>
        <v>3362424.648113207</v>
      </c>
      <c r="I134" s="420">
        <v>74720.547735849046</v>
      </c>
      <c r="J134" s="361">
        <f>'B) D RI'!U135</f>
        <v>119048.13355212047</v>
      </c>
      <c r="K134" s="62">
        <f t="shared" si="23"/>
        <v>45</v>
      </c>
      <c r="L134" s="33">
        <f>'B) D RI'!S135</f>
        <v>53</v>
      </c>
      <c r="M134" s="33">
        <f t="shared" si="18"/>
        <v>8</v>
      </c>
      <c r="N134" s="33">
        <f>'J) Plafonnement effort'!G133+'J) Plafonnement effort'!I133-'K) Plafonnement aide'!I133</f>
        <v>49.141549900406474</v>
      </c>
      <c r="O134" s="126">
        <f t="shared" si="19"/>
        <v>57.141549900406474</v>
      </c>
      <c r="P134" s="47">
        <f t="shared" si="20"/>
        <v>0</v>
      </c>
      <c r="Q134" s="55">
        <f t="shared" si="24"/>
        <v>0</v>
      </c>
      <c r="R134" s="146">
        <f t="shared" si="21"/>
        <v>57.141549900406474</v>
      </c>
      <c r="S134" s="126">
        <f t="shared" si="22"/>
        <v>4.1415499004064742</v>
      </c>
      <c r="T134" s="145">
        <f t="shared" si="17"/>
        <v>0</v>
      </c>
      <c r="V134" s="12"/>
    </row>
    <row r="135" spans="1:22" x14ac:dyDescent="0.25">
      <c r="A135" s="49">
        <f>'A) Base RI'!A136</f>
        <v>5624</v>
      </c>
      <c r="B135" s="357" t="str">
        <f>'A) Base RI'!B136</f>
        <v>Bussigny</v>
      </c>
      <c r="C135" s="419">
        <v>6268100.7559034899</v>
      </c>
      <c r="D135" s="419">
        <v>1079158.6606362863</v>
      </c>
      <c r="E135" s="396">
        <v>0</v>
      </c>
      <c r="F135" s="396">
        <v>0</v>
      </c>
      <c r="G135" s="396">
        <v>0</v>
      </c>
      <c r="H135" s="419">
        <f t="shared" ref="H135:H198" si="25">SUM(C135:G135)</f>
        <v>7347259.4165397761</v>
      </c>
      <c r="I135" s="420">
        <v>313352.53032258071</v>
      </c>
      <c r="J135" s="361">
        <f>'B) D RI'!U136</f>
        <v>356482.21982509014</v>
      </c>
      <c r="K135" s="62">
        <f t="shared" si="23"/>
        <v>23.44726372235176</v>
      </c>
      <c r="L135" s="33">
        <f>'B) D RI'!S136</f>
        <v>63</v>
      </c>
      <c r="M135" s="33">
        <f t="shared" si="18"/>
        <v>39.552736277648236</v>
      </c>
      <c r="N135" s="33">
        <f>'J) Plafonnement effort'!G134+'J) Plafonnement effort'!I134-'K) Plafonnement aide'!I134</f>
        <v>23.527413610508706</v>
      </c>
      <c r="O135" s="126">
        <f t="shared" si="19"/>
        <v>63.080149888156939</v>
      </c>
      <c r="P135" s="47">
        <f t="shared" si="20"/>
        <v>0</v>
      </c>
      <c r="Q135" s="55">
        <f t="shared" si="24"/>
        <v>0</v>
      </c>
      <c r="R135" s="146">
        <f t="shared" si="21"/>
        <v>63.080149888156939</v>
      </c>
      <c r="S135" s="126">
        <f t="shared" si="22"/>
        <v>8.0149888156938687E-2</v>
      </c>
      <c r="T135" s="145">
        <f t="shared" ref="T135:T198" si="26">+C135+D135+E135+F135+G135-H135</f>
        <v>0</v>
      </c>
      <c r="V135" s="12"/>
    </row>
    <row r="136" spans="1:22" x14ac:dyDescent="0.25">
      <c r="A136" s="49">
        <f>'A) Base RI'!A137</f>
        <v>5625</v>
      </c>
      <c r="B136" s="357" t="str">
        <f>'A) Base RI'!B137</f>
        <v>Bussy-Chardonney</v>
      </c>
      <c r="C136" s="419">
        <v>255807.22005359599</v>
      </c>
      <c r="D136" s="419">
        <v>151525.5670592511</v>
      </c>
      <c r="E136" s="396">
        <v>0</v>
      </c>
      <c r="F136" s="396">
        <v>0</v>
      </c>
      <c r="G136" s="396">
        <v>0</v>
      </c>
      <c r="H136" s="419">
        <f t="shared" si="25"/>
        <v>407332.78711284709</v>
      </c>
      <c r="I136" s="420">
        <v>13647.695555555556</v>
      </c>
      <c r="J136" s="361">
        <f>'B) D RI'!U137</f>
        <v>13370.312366998642</v>
      </c>
      <c r="K136" s="62">
        <f t="shared" si="23"/>
        <v>29.846268584664791</v>
      </c>
      <c r="L136" s="33">
        <f>'B) D RI'!S137</f>
        <v>78</v>
      </c>
      <c r="M136" s="33">
        <f t="shared" si="18"/>
        <v>48.153731415335209</v>
      </c>
      <c r="N136" s="33">
        <f>'J) Plafonnement effort'!G135+'J) Plafonnement effort'!I135-'K) Plafonnement aide'!I135</f>
        <v>25.675567439455396</v>
      </c>
      <c r="O136" s="126">
        <f t="shared" si="19"/>
        <v>73.829298854790608</v>
      </c>
      <c r="P136" s="47">
        <f t="shared" si="20"/>
        <v>0</v>
      </c>
      <c r="Q136" s="55">
        <f t="shared" si="24"/>
        <v>0</v>
      </c>
      <c r="R136" s="146">
        <f t="shared" si="21"/>
        <v>73.829298854790608</v>
      </c>
      <c r="S136" s="126">
        <f t="shared" si="22"/>
        <v>-4.1707011452093923</v>
      </c>
      <c r="T136" s="145">
        <f t="shared" si="26"/>
        <v>0</v>
      </c>
      <c r="V136" s="12"/>
    </row>
    <row r="137" spans="1:22" x14ac:dyDescent="0.25">
      <c r="A137" s="49">
        <f>'A) Base RI'!A138</f>
        <v>5627</v>
      </c>
      <c r="B137" s="357" t="str">
        <f>'A) Base RI'!B138</f>
        <v>Chavannes-près-Renens</v>
      </c>
      <c r="C137" s="419">
        <v>4030751.8733850941</v>
      </c>
      <c r="D137" s="419">
        <v>-4448848.6387464739</v>
      </c>
      <c r="E137" s="396">
        <v>0</v>
      </c>
      <c r="F137" s="396">
        <v>0</v>
      </c>
      <c r="G137" s="396">
        <v>0</v>
      </c>
      <c r="H137" s="419">
        <f t="shared" si="25"/>
        <v>-418096.76536137983</v>
      </c>
      <c r="I137" s="420">
        <v>167740.14928270038</v>
      </c>
      <c r="J137" s="361">
        <f>'B) D RI'!U138</f>
        <v>173390.58290122479</v>
      </c>
      <c r="K137" s="62">
        <f t="shared" si="23"/>
        <v>-2.4925264890324001</v>
      </c>
      <c r="L137" s="33">
        <f>'B) D RI'!S138</f>
        <v>79</v>
      </c>
      <c r="M137" s="33">
        <f t="shared" si="18"/>
        <v>81.4925264890324</v>
      </c>
      <c r="N137" s="33">
        <f>'J) Plafonnement effort'!G136+'J) Plafonnement effort'!I136-'K) Plafonnement aide'!I136</f>
        <v>-13.597117018768172</v>
      </c>
      <c r="O137" s="126">
        <f t="shared" si="19"/>
        <v>67.895409470264227</v>
      </c>
      <c r="P137" s="47">
        <f t="shared" si="20"/>
        <v>0</v>
      </c>
      <c r="Q137" s="55">
        <f t="shared" si="24"/>
        <v>0</v>
      </c>
      <c r="R137" s="146">
        <f t="shared" si="21"/>
        <v>67.895409470264227</v>
      </c>
      <c r="S137" s="126">
        <f t="shared" si="22"/>
        <v>-11.104590529735773</v>
      </c>
      <c r="T137" s="145">
        <f t="shared" si="26"/>
        <v>0</v>
      </c>
      <c r="V137" s="12"/>
    </row>
    <row r="138" spans="1:22" x14ac:dyDescent="0.25">
      <c r="A138" s="49">
        <f>'A) Base RI'!A139</f>
        <v>5628</v>
      </c>
      <c r="B138" s="357" t="str">
        <f>'A) Base RI'!B139</f>
        <v>Chigny</v>
      </c>
      <c r="C138" s="419">
        <v>424262.20257649315</v>
      </c>
      <c r="D138" s="419">
        <v>348766.28927163989</v>
      </c>
      <c r="E138" s="396">
        <v>0</v>
      </c>
      <c r="F138" s="396">
        <v>0</v>
      </c>
      <c r="G138" s="396">
        <v>0</v>
      </c>
      <c r="H138" s="419">
        <f t="shared" si="25"/>
        <v>773028.49184813304</v>
      </c>
      <c r="I138" s="420">
        <v>19513.351129032257</v>
      </c>
      <c r="J138" s="361">
        <f>'B) D RI'!U139</f>
        <v>21894.357951349266</v>
      </c>
      <c r="K138" s="62">
        <f t="shared" si="23"/>
        <v>39.615363180648643</v>
      </c>
      <c r="L138" s="33">
        <f>'B) D RI'!S139</f>
        <v>62</v>
      </c>
      <c r="M138" s="33">
        <f t="shared" si="18"/>
        <v>22.384636819351357</v>
      </c>
      <c r="N138" s="33">
        <f>'J) Plafonnement effort'!G137+'J) Plafonnement effort'!I137-'K) Plafonnement aide'!I137</f>
        <v>39.462233435715802</v>
      </c>
      <c r="O138" s="126">
        <f t="shared" si="19"/>
        <v>61.846870255067159</v>
      </c>
      <c r="P138" s="47">
        <f t="shared" si="20"/>
        <v>0</v>
      </c>
      <c r="Q138" s="55">
        <f t="shared" si="24"/>
        <v>0</v>
      </c>
      <c r="R138" s="146">
        <f t="shared" si="21"/>
        <v>61.846870255067159</v>
      </c>
      <c r="S138" s="126">
        <f t="shared" si="22"/>
        <v>-0.15312974493284059</v>
      </c>
      <c r="T138" s="145">
        <f t="shared" si="26"/>
        <v>0</v>
      </c>
      <c r="V138" s="12"/>
    </row>
    <row r="139" spans="1:22" x14ac:dyDescent="0.25">
      <c r="A139" s="49">
        <f>'A) Base RI'!A140</f>
        <v>5629</v>
      </c>
      <c r="B139" s="357" t="str">
        <f>'A) Base RI'!B140</f>
        <v>Clarmont</v>
      </c>
      <c r="C139" s="419">
        <v>129487.6290180525</v>
      </c>
      <c r="D139" s="419">
        <v>100894.22347724107</v>
      </c>
      <c r="E139" s="396">
        <v>0</v>
      </c>
      <c r="F139" s="396">
        <v>0</v>
      </c>
      <c r="G139" s="396">
        <v>0</v>
      </c>
      <c r="H139" s="419">
        <f t="shared" si="25"/>
        <v>230381.85249529357</v>
      </c>
      <c r="I139" s="420">
        <v>7442.8926666666675</v>
      </c>
      <c r="J139" s="361">
        <f>'B) D RI'!U140</f>
        <v>6916.2311229358211</v>
      </c>
      <c r="K139" s="62">
        <f t="shared" si="23"/>
        <v>30.953268146277207</v>
      </c>
      <c r="L139" s="33">
        <f>'B) D RI'!S140</f>
        <v>75</v>
      </c>
      <c r="M139" s="33">
        <f t="shared" si="18"/>
        <v>44.04673185372279</v>
      </c>
      <c r="N139" s="33">
        <f>'J) Plafonnement effort'!G138+'J) Plafonnement effort'!I138-'K) Plafonnement aide'!I138</f>
        <v>25.355311366190346</v>
      </c>
      <c r="O139" s="126">
        <f t="shared" si="19"/>
        <v>69.402043219913139</v>
      </c>
      <c r="P139" s="47">
        <f t="shared" si="20"/>
        <v>0</v>
      </c>
      <c r="Q139" s="55">
        <f t="shared" si="24"/>
        <v>0</v>
      </c>
      <c r="R139" s="146">
        <f t="shared" si="21"/>
        <v>69.402043219913139</v>
      </c>
      <c r="S139" s="126">
        <f t="shared" si="22"/>
        <v>-5.5979567800868608</v>
      </c>
      <c r="T139" s="145">
        <f t="shared" si="26"/>
        <v>0</v>
      </c>
      <c r="V139" s="12"/>
    </row>
    <row r="140" spans="1:22" x14ac:dyDescent="0.25">
      <c r="A140" s="49">
        <f>'A) Base RI'!A141</f>
        <v>5631</v>
      </c>
      <c r="B140" s="357" t="str">
        <f>'A) Base RI'!B141</f>
        <v>Denens</v>
      </c>
      <c r="C140" s="419">
        <v>990333.70163630974</v>
      </c>
      <c r="D140" s="419">
        <v>812318.84960736823</v>
      </c>
      <c r="E140" s="396">
        <v>0</v>
      </c>
      <c r="F140" s="396">
        <v>0</v>
      </c>
      <c r="G140" s="396">
        <v>0</v>
      </c>
      <c r="H140" s="419">
        <f t="shared" si="25"/>
        <v>1802652.551243678</v>
      </c>
      <c r="I140" s="420">
        <v>45367.235142857142</v>
      </c>
      <c r="J140" s="361">
        <f>'B) D RI'!U141</f>
        <v>43815.97689546422</v>
      </c>
      <c r="K140" s="62">
        <f t="shared" si="23"/>
        <v>39.73467956703324</v>
      </c>
      <c r="L140" s="33">
        <f>'B) D RI'!S141</f>
        <v>70</v>
      </c>
      <c r="M140" s="33">
        <f t="shared" si="18"/>
        <v>30.26532043296676</v>
      </c>
      <c r="N140" s="33">
        <f>'J) Plafonnement effort'!G139+'J) Plafonnement effort'!I139-'K) Plafonnement aide'!I139</f>
        <v>39.953510763613231</v>
      </c>
      <c r="O140" s="126">
        <f t="shared" si="19"/>
        <v>70.218831196579998</v>
      </c>
      <c r="P140" s="47">
        <f t="shared" si="20"/>
        <v>0</v>
      </c>
      <c r="Q140" s="55">
        <f t="shared" si="24"/>
        <v>0</v>
      </c>
      <c r="R140" s="146">
        <f t="shared" si="21"/>
        <v>70.218831196579998</v>
      </c>
      <c r="S140" s="126">
        <f t="shared" si="22"/>
        <v>0.21883119657999828</v>
      </c>
      <c r="T140" s="145">
        <f t="shared" si="26"/>
        <v>0</v>
      </c>
      <c r="V140" s="12"/>
    </row>
    <row r="141" spans="1:22" x14ac:dyDescent="0.25">
      <c r="A141" s="49">
        <f>'A) Base RI'!A142</f>
        <v>5632</v>
      </c>
      <c r="B141" s="357" t="str">
        <f>'A) Base RI'!B142</f>
        <v>Denges</v>
      </c>
      <c r="C141" s="419">
        <v>1205000.460653869</v>
      </c>
      <c r="D141" s="419">
        <v>919237.27559667628</v>
      </c>
      <c r="E141" s="396">
        <v>0</v>
      </c>
      <c r="F141" s="396">
        <v>0</v>
      </c>
      <c r="G141" s="396">
        <v>0</v>
      </c>
      <c r="H141" s="419">
        <f t="shared" si="25"/>
        <v>2124237.7362505454</v>
      </c>
      <c r="I141" s="420">
        <v>67164.535483870975</v>
      </c>
      <c r="J141" s="361">
        <f>'B) D RI'!U142</f>
        <v>67687.396226466764</v>
      </c>
      <c r="K141" s="62">
        <f t="shared" si="23"/>
        <v>31.627371810837044</v>
      </c>
      <c r="L141" s="33">
        <f>'B) D RI'!S142</f>
        <v>62</v>
      </c>
      <c r="M141" s="33">
        <f t="shared" si="18"/>
        <v>30.372628189162956</v>
      </c>
      <c r="N141" s="33">
        <f>'J) Plafonnement effort'!G140+'J) Plafonnement effort'!I140-'K) Plafonnement aide'!I140</f>
        <v>32.056670237679917</v>
      </c>
      <c r="O141" s="126">
        <f t="shared" si="19"/>
        <v>62.429298426842877</v>
      </c>
      <c r="P141" s="47">
        <f t="shared" si="20"/>
        <v>0</v>
      </c>
      <c r="Q141" s="55">
        <f t="shared" si="24"/>
        <v>0</v>
      </c>
      <c r="R141" s="146">
        <f t="shared" si="21"/>
        <v>62.429298426842877</v>
      </c>
      <c r="S141" s="126">
        <f t="shared" si="22"/>
        <v>0.42929842684287678</v>
      </c>
      <c r="T141" s="145">
        <f t="shared" si="26"/>
        <v>0</v>
      </c>
      <c r="V141" s="12"/>
    </row>
    <row r="142" spans="1:22" x14ac:dyDescent="0.25">
      <c r="A142" s="49">
        <f>'A) Base RI'!A143</f>
        <v>5633</v>
      </c>
      <c r="B142" s="357" t="str">
        <f>'A) Base RI'!B143</f>
        <v>Echandens</v>
      </c>
      <c r="C142" s="419">
        <v>2527472.642801879</v>
      </c>
      <c r="D142" s="419">
        <v>1912898.9630621325</v>
      </c>
      <c r="E142" s="396">
        <v>0</v>
      </c>
      <c r="F142" s="396">
        <v>0</v>
      </c>
      <c r="G142" s="396">
        <v>0</v>
      </c>
      <c r="H142" s="419">
        <f t="shared" si="25"/>
        <v>4440371.6058640117</v>
      </c>
      <c r="I142" s="420">
        <v>132114.82112903227</v>
      </c>
      <c r="J142" s="361">
        <f>'B) D RI'!U143</f>
        <v>137438.92097427152</v>
      </c>
      <c r="K142" s="62">
        <f t="shared" si="23"/>
        <v>33.609942986845091</v>
      </c>
      <c r="L142" s="33">
        <f>'B) D RI'!S143</f>
        <v>62</v>
      </c>
      <c r="M142" s="33">
        <f t="shared" si="18"/>
        <v>28.390057013154909</v>
      </c>
      <c r="N142" s="33">
        <f>'J) Plafonnement effort'!G141+'J) Plafonnement effort'!I141-'K) Plafonnement aide'!I141</f>
        <v>28.873883021208425</v>
      </c>
      <c r="O142" s="126">
        <f t="shared" si="19"/>
        <v>57.26394003436333</v>
      </c>
      <c r="P142" s="47">
        <f t="shared" si="20"/>
        <v>0</v>
      </c>
      <c r="Q142" s="55">
        <f t="shared" si="24"/>
        <v>0</v>
      </c>
      <c r="R142" s="146">
        <f t="shared" si="21"/>
        <v>57.26394003436333</v>
      </c>
      <c r="S142" s="126">
        <f t="shared" si="22"/>
        <v>-4.7360599656366702</v>
      </c>
      <c r="T142" s="145">
        <f t="shared" si="26"/>
        <v>0</v>
      </c>
      <c r="V142" s="12"/>
    </row>
    <row r="143" spans="1:22" x14ac:dyDescent="0.25">
      <c r="A143" s="49">
        <f>'A) Base RI'!A144</f>
        <v>5634</v>
      </c>
      <c r="B143" s="357" t="str">
        <f>'A) Base RI'!B144</f>
        <v>Echichens</v>
      </c>
      <c r="C143" s="419">
        <v>2580395.4397975197</v>
      </c>
      <c r="D143" s="419">
        <v>1820028.6861562585</v>
      </c>
      <c r="E143" s="396">
        <v>0</v>
      </c>
      <c r="F143" s="396">
        <v>0</v>
      </c>
      <c r="G143" s="396">
        <v>0</v>
      </c>
      <c r="H143" s="419">
        <f t="shared" si="25"/>
        <v>4400424.1259537786</v>
      </c>
      <c r="I143" s="420">
        <v>126696.63529411763</v>
      </c>
      <c r="J143" s="361">
        <f>'B) D RI'!U144</f>
        <v>172707.41089939879</v>
      </c>
      <c r="K143" s="62">
        <f t="shared" si="23"/>
        <v>34.731973076778978</v>
      </c>
      <c r="L143" s="33">
        <f>'B) D RI'!S144</f>
        <v>68</v>
      </c>
      <c r="M143" s="33">
        <f t="shared" si="18"/>
        <v>33.268026923221022</v>
      </c>
      <c r="N143" s="33">
        <f>'J) Plafonnement effort'!G142+'J) Plafonnement effort'!I142-'K) Plafonnement aide'!I142</f>
        <v>36.841239556043668</v>
      </c>
      <c r="O143" s="126">
        <f t="shared" si="19"/>
        <v>70.10926647926469</v>
      </c>
      <c r="P143" s="47">
        <f t="shared" si="20"/>
        <v>0</v>
      </c>
      <c r="Q143" s="55">
        <f t="shared" si="24"/>
        <v>0</v>
      </c>
      <c r="R143" s="146">
        <f t="shared" si="21"/>
        <v>70.10926647926469</v>
      </c>
      <c r="S143" s="126">
        <f t="shared" si="22"/>
        <v>2.10926647926469</v>
      </c>
      <c r="T143" s="145">
        <f t="shared" si="26"/>
        <v>0</v>
      </c>
      <c r="V143" s="12"/>
    </row>
    <row r="144" spans="1:22" x14ac:dyDescent="0.25">
      <c r="A144" s="49">
        <f>'A) Base RI'!A145</f>
        <v>5635</v>
      </c>
      <c r="B144" s="357" t="str">
        <f>'A) Base RI'!B145</f>
        <v>Ecublens</v>
      </c>
      <c r="C144" s="419">
        <v>8462386.3118968531</v>
      </c>
      <c r="D144" s="419">
        <v>-96932.395726684481</v>
      </c>
      <c r="E144" s="396">
        <v>0</v>
      </c>
      <c r="F144" s="396">
        <v>0</v>
      </c>
      <c r="G144" s="396">
        <v>0</v>
      </c>
      <c r="H144" s="419">
        <f t="shared" si="25"/>
        <v>8365453.9161701687</v>
      </c>
      <c r="I144" s="420">
        <v>448558.27357385395</v>
      </c>
      <c r="J144" s="361">
        <f>'B) D RI'!U145</f>
        <v>425804.36099449953</v>
      </c>
      <c r="K144" s="62">
        <f t="shared" si="23"/>
        <v>18.649648014557954</v>
      </c>
      <c r="L144" s="33">
        <f>'B) D RI'!S145</f>
        <v>64</v>
      </c>
      <c r="M144" s="33">
        <f t="shared" si="18"/>
        <v>45.350351985442046</v>
      </c>
      <c r="N144" s="33">
        <f>'J) Plafonnement effort'!G143+'J) Plafonnement effort'!I143-'K) Plafonnement aide'!I143</f>
        <v>7.7185659161456002</v>
      </c>
      <c r="O144" s="126">
        <f t="shared" si="19"/>
        <v>53.068917901587646</v>
      </c>
      <c r="P144" s="47">
        <f t="shared" si="20"/>
        <v>0</v>
      </c>
      <c r="Q144" s="55">
        <f t="shared" si="24"/>
        <v>0</v>
      </c>
      <c r="R144" s="146">
        <f t="shared" si="21"/>
        <v>53.068917901587646</v>
      </c>
      <c r="S144" s="126">
        <f t="shared" si="22"/>
        <v>-10.931082098412354</v>
      </c>
      <c r="T144" s="145">
        <f t="shared" si="26"/>
        <v>0</v>
      </c>
      <c r="V144" s="12"/>
    </row>
    <row r="145" spans="1:22" x14ac:dyDescent="0.25">
      <c r="A145" s="49">
        <f>'A) Base RI'!A146</f>
        <v>5636</v>
      </c>
      <c r="B145" s="357" t="str">
        <f>'A) Base RI'!B146</f>
        <v>Etoy</v>
      </c>
      <c r="C145" s="419">
        <v>3340061.8030118416</v>
      </c>
      <c r="D145" s="419">
        <v>2240735.9070105338</v>
      </c>
      <c r="E145" s="396">
        <v>0</v>
      </c>
      <c r="F145" s="396">
        <v>0</v>
      </c>
      <c r="G145" s="396">
        <v>0</v>
      </c>
      <c r="H145" s="419">
        <f t="shared" si="25"/>
        <v>5580797.710022375</v>
      </c>
      <c r="I145" s="420">
        <v>151105.62688524593</v>
      </c>
      <c r="J145" s="361">
        <f>'B) D RI'!U146</f>
        <v>163508.07491244882</v>
      </c>
      <c r="K145" s="62">
        <f t="shared" si="23"/>
        <v>36.933089952107458</v>
      </c>
      <c r="L145" s="33">
        <f>'B) D RI'!S146</f>
        <v>61</v>
      </c>
      <c r="M145" s="33">
        <f t="shared" si="18"/>
        <v>24.066910047892542</v>
      </c>
      <c r="N145" s="33">
        <f>'J) Plafonnement effort'!G144+'J) Plafonnement effort'!I144-'K) Plafonnement aide'!I144</f>
        <v>40.036895965530022</v>
      </c>
      <c r="O145" s="126">
        <f t="shared" si="19"/>
        <v>64.10380601342257</v>
      </c>
      <c r="P145" s="47">
        <f t="shared" si="20"/>
        <v>0</v>
      </c>
      <c r="Q145" s="55">
        <f t="shared" si="24"/>
        <v>0</v>
      </c>
      <c r="R145" s="146">
        <f t="shared" si="21"/>
        <v>64.10380601342257</v>
      </c>
      <c r="S145" s="126">
        <f t="shared" si="22"/>
        <v>3.1038060134225702</v>
      </c>
      <c r="T145" s="145">
        <f t="shared" si="26"/>
        <v>0</v>
      </c>
      <c r="V145" s="12"/>
    </row>
    <row r="146" spans="1:22" x14ac:dyDescent="0.25">
      <c r="A146" s="49">
        <f>'A) Base RI'!A147</f>
        <v>5637</v>
      </c>
      <c r="B146" s="357" t="str">
        <f>'A) Base RI'!B147</f>
        <v>Lavigny</v>
      </c>
      <c r="C146" s="419">
        <v>687242.99432830187</v>
      </c>
      <c r="D146" s="419">
        <v>387535.31007795164</v>
      </c>
      <c r="E146" s="396">
        <v>0</v>
      </c>
      <c r="F146" s="396">
        <v>0</v>
      </c>
      <c r="G146" s="396">
        <v>0</v>
      </c>
      <c r="H146" s="419">
        <f t="shared" si="25"/>
        <v>1074778.3044062536</v>
      </c>
      <c r="I146" s="420">
        <v>36088.085548098432</v>
      </c>
      <c r="J146" s="361">
        <f>'B) D RI'!U147</f>
        <v>35527.670702114687</v>
      </c>
      <c r="K146" s="62">
        <f t="shared" si="23"/>
        <v>29.782081484310996</v>
      </c>
      <c r="L146" s="33">
        <f>'B) D RI'!S147</f>
        <v>74.5</v>
      </c>
      <c r="M146" s="33">
        <f t="shared" si="18"/>
        <v>44.717918515689007</v>
      </c>
      <c r="N146" s="33">
        <f>'J) Plafonnement effort'!G145+'J) Plafonnement effort'!I145-'K) Plafonnement aide'!I145</f>
        <v>24.202047773530651</v>
      </c>
      <c r="O146" s="126">
        <f t="shared" si="19"/>
        <v>68.919966289219659</v>
      </c>
      <c r="P146" s="47">
        <f t="shared" si="20"/>
        <v>0</v>
      </c>
      <c r="Q146" s="55">
        <f t="shared" si="24"/>
        <v>0</v>
      </c>
      <c r="R146" s="146">
        <f t="shared" si="21"/>
        <v>68.919966289219659</v>
      </c>
      <c r="S146" s="126">
        <f t="shared" si="22"/>
        <v>-5.5800337107803415</v>
      </c>
      <c r="T146" s="145">
        <f t="shared" si="26"/>
        <v>0</v>
      </c>
      <c r="V146" s="12"/>
    </row>
    <row r="147" spans="1:22" x14ac:dyDescent="0.25">
      <c r="A147" s="49">
        <f>'A) Base RI'!A148</f>
        <v>5638</v>
      </c>
      <c r="B147" s="357" t="str">
        <f>'A) Base RI'!B148</f>
        <v>Lonay</v>
      </c>
      <c r="C147" s="419">
        <v>5786056.8268914055</v>
      </c>
      <c r="D147" s="419">
        <v>2308564.1728474898</v>
      </c>
      <c r="E147" s="396">
        <v>0</v>
      </c>
      <c r="F147" s="396">
        <v>-1156406.7799207133</v>
      </c>
      <c r="G147" s="396">
        <v>0</v>
      </c>
      <c r="H147" s="419">
        <f t="shared" si="25"/>
        <v>6938214.2198181823</v>
      </c>
      <c r="I147" s="420">
        <v>147307.25563636364</v>
      </c>
      <c r="J147" s="361">
        <f>'B) D RI'!U148</f>
        <v>156801.12521319877</v>
      </c>
      <c r="K147" s="62">
        <f t="shared" si="23"/>
        <v>47.100288372390558</v>
      </c>
      <c r="L147" s="33">
        <f>'B) D RI'!S148</f>
        <v>55</v>
      </c>
      <c r="M147" s="33">
        <f t="shared" si="18"/>
        <v>7.8997116276094417</v>
      </c>
      <c r="N147" s="33">
        <f>'J) Plafonnement effort'!G146+'J) Plafonnement effort'!I146-'K) Plafonnement aide'!I146</f>
        <v>40.263569670928177</v>
      </c>
      <c r="O147" s="126">
        <f t="shared" si="19"/>
        <v>48.163281298537619</v>
      </c>
      <c r="P147" s="47">
        <f t="shared" si="20"/>
        <v>0</v>
      </c>
      <c r="Q147" s="55">
        <f t="shared" si="24"/>
        <v>0</v>
      </c>
      <c r="R147" s="146">
        <f t="shared" si="21"/>
        <v>48.163281298537619</v>
      </c>
      <c r="S147" s="126">
        <f t="shared" si="22"/>
        <v>-6.8367187014623809</v>
      </c>
      <c r="T147" s="145">
        <f t="shared" si="26"/>
        <v>0</v>
      </c>
      <c r="V147" s="12"/>
    </row>
    <row r="148" spans="1:22" x14ac:dyDescent="0.25">
      <c r="A148" s="49">
        <f>'A) Base RI'!A149</f>
        <v>5639</v>
      </c>
      <c r="B148" s="357" t="str">
        <f>'A) Base RI'!B149</f>
        <v>Lully</v>
      </c>
      <c r="C148" s="419">
        <v>1137117.2593089789</v>
      </c>
      <c r="D148" s="419">
        <v>926846.10748504195</v>
      </c>
      <c r="E148" s="396">
        <v>0</v>
      </c>
      <c r="F148" s="396">
        <v>0</v>
      </c>
      <c r="G148" s="396">
        <v>0</v>
      </c>
      <c r="H148" s="419">
        <f t="shared" si="25"/>
        <v>2063963.3667940209</v>
      </c>
      <c r="I148" s="420">
        <v>51219.676393442627</v>
      </c>
      <c r="J148" s="361">
        <f>'B) D RI'!U149</f>
        <v>44733.650298121938</v>
      </c>
      <c r="K148" s="62">
        <f t="shared" si="23"/>
        <v>40.296298456470893</v>
      </c>
      <c r="L148" s="33">
        <f>'B) D RI'!S149</f>
        <v>61</v>
      </c>
      <c r="M148" s="33">
        <f t="shared" si="18"/>
        <v>20.703701543529107</v>
      </c>
      <c r="N148" s="33">
        <f>'J) Plafonnement effort'!G147+'J) Plafonnement effort'!I147-'K) Plafonnement aide'!I147</f>
        <v>38.636105369843925</v>
      </c>
      <c r="O148" s="126">
        <f t="shared" si="19"/>
        <v>59.339806913373032</v>
      </c>
      <c r="P148" s="47">
        <f t="shared" si="20"/>
        <v>0</v>
      </c>
      <c r="Q148" s="55">
        <f t="shared" si="24"/>
        <v>0</v>
      </c>
      <c r="R148" s="146">
        <f t="shared" si="21"/>
        <v>59.339806913373032</v>
      </c>
      <c r="S148" s="126">
        <f t="shared" si="22"/>
        <v>-1.6601930866269683</v>
      </c>
      <c r="T148" s="145">
        <f t="shared" si="26"/>
        <v>0</v>
      </c>
      <c r="V148" s="12"/>
    </row>
    <row r="149" spans="1:22" x14ac:dyDescent="0.25">
      <c r="A149" s="49">
        <f>'A) Base RI'!A150</f>
        <v>5640</v>
      </c>
      <c r="B149" s="357" t="str">
        <f>'A) Base RI'!B150</f>
        <v>Lussy-sur-Morges</v>
      </c>
      <c r="C149" s="419">
        <v>2120198.3995693652</v>
      </c>
      <c r="D149" s="419">
        <v>1021776.1606655425</v>
      </c>
      <c r="E149" s="396">
        <v>0</v>
      </c>
      <c r="F149" s="396">
        <v>-659170.94659854367</v>
      </c>
      <c r="G149" s="396">
        <v>0</v>
      </c>
      <c r="H149" s="419">
        <f t="shared" si="25"/>
        <v>2482803.6136363638</v>
      </c>
      <c r="I149" s="420">
        <v>55173.413636363643</v>
      </c>
      <c r="J149" s="361">
        <f>'B) D RI'!U150</f>
        <v>53214.189880771395</v>
      </c>
      <c r="K149" s="62">
        <f t="shared" si="23"/>
        <v>45</v>
      </c>
      <c r="L149" s="33">
        <f>'B) D RI'!S150</f>
        <v>66</v>
      </c>
      <c r="M149" s="33">
        <f t="shared" si="18"/>
        <v>21</v>
      </c>
      <c r="N149" s="33">
        <f>'J) Plafonnement effort'!G148+'J) Plafonnement effort'!I148-'K) Plafonnement aide'!I148</f>
        <v>45.683386182478827</v>
      </c>
      <c r="O149" s="126">
        <f t="shared" si="19"/>
        <v>66.683386182478827</v>
      </c>
      <c r="P149" s="47">
        <f t="shared" si="20"/>
        <v>0</v>
      </c>
      <c r="Q149" s="55">
        <f t="shared" si="24"/>
        <v>0</v>
      </c>
      <c r="R149" s="146">
        <f t="shared" si="21"/>
        <v>66.683386182478827</v>
      </c>
      <c r="S149" s="126">
        <f t="shared" si="22"/>
        <v>0.68338618247882721</v>
      </c>
      <c r="T149" s="145">
        <f t="shared" si="26"/>
        <v>0</v>
      </c>
      <c r="V149" s="12"/>
    </row>
    <row r="150" spans="1:22" x14ac:dyDescent="0.25">
      <c r="A150" s="49">
        <f>'A) Base RI'!A151</f>
        <v>5642</v>
      </c>
      <c r="B150" s="357" t="str">
        <f>'A) Base RI'!B151</f>
        <v>Morges</v>
      </c>
      <c r="C150" s="419">
        <v>15251847.786897438</v>
      </c>
      <c r="D150" s="419">
        <v>4237073.8422259986</v>
      </c>
      <c r="E150" s="396">
        <v>0</v>
      </c>
      <c r="F150" s="396">
        <v>0</v>
      </c>
      <c r="G150" s="396">
        <v>0</v>
      </c>
      <c r="H150" s="419">
        <f t="shared" si="25"/>
        <v>19488921.629123434</v>
      </c>
      <c r="I150" s="420">
        <v>737766.82978102157</v>
      </c>
      <c r="J150" s="361">
        <f>'B) D RI'!U151</f>
        <v>729290.95553024486</v>
      </c>
      <c r="K150" s="62">
        <f t="shared" si="23"/>
        <v>26.416099019941015</v>
      </c>
      <c r="L150" s="33">
        <f>'B) D RI'!S151</f>
        <v>68.5</v>
      </c>
      <c r="M150" s="33">
        <f t="shared" si="18"/>
        <v>42.083900980058985</v>
      </c>
      <c r="N150" s="33">
        <f>'J) Plafonnement effort'!G149+'J) Plafonnement effort'!I149-'K) Plafonnement aide'!I149</f>
        <v>24.675469527565117</v>
      </c>
      <c r="O150" s="126">
        <f t="shared" si="19"/>
        <v>66.759370507624098</v>
      </c>
      <c r="P150" s="47">
        <f t="shared" si="20"/>
        <v>0</v>
      </c>
      <c r="Q150" s="55">
        <f t="shared" si="24"/>
        <v>0</v>
      </c>
      <c r="R150" s="146">
        <f t="shared" si="21"/>
        <v>66.759370507624098</v>
      </c>
      <c r="S150" s="126">
        <f t="shared" si="22"/>
        <v>-1.740629492375902</v>
      </c>
      <c r="T150" s="145">
        <f t="shared" si="26"/>
        <v>0</v>
      </c>
      <c r="V150" s="12"/>
    </row>
    <row r="151" spans="1:22" x14ac:dyDescent="0.25">
      <c r="A151" s="49">
        <f>'A) Base RI'!A152</f>
        <v>5643</v>
      </c>
      <c r="B151" s="357" t="str">
        <f>'A) Base RI'!B152</f>
        <v>Préverenges</v>
      </c>
      <c r="C151" s="419">
        <v>4763248.3577636853</v>
      </c>
      <c r="D151" s="419">
        <v>3260131.9534986792</v>
      </c>
      <c r="E151" s="396">
        <v>0</v>
      </c>
      <c r="F151" s="396">
        <v>0</v>
      </c>
      <c r="G151" s="396">
        <v>0</v>
      </c>
      <c r="H151" s="419">
        <f t="shared" si="25"/>
        <v>8023380.3112623645</v>
      </c>
      <c r="I151" s="420">
        <v>261619.24140624996</v>
      </c>
      <c r="J151" s="361">
        <f>'B) D RI'!U152</f>
        <v>256716.54312991558</v>
      </c>
      <c r="K151" s="62">
        <f t="shared" si="23"/>
        <v>30.66815830569368</v>
      </c>
      <c r="L151" s="33">
        <f>'B) D RI'!S152</f>
        <v>64</v>
      </c>
      <c r="M151" s="33">
        <f t="shared" si="18"/>
        <v>33.33184169430632</v>
      </c>
      <c r="N151" s="33">
        <f>'J) Plafonnement effort'!G150+'J) Plafonnement effort'!I150-'K) Plafonnement aide'!I150</f>
        <v>29.894105287496448</v>
      </c>
      <c r="O151" s="126">
        <f t="shared" si="19"/>
        <v>63.225946981802764</v>
      </c>
      <c r="P151" s="47">
        <f t="shared" si="20"/>
        <v>0</v>
      </c>
      <c r="Q151" s="55">
        <f t="shared" si="24"/>
        <v>0</v>
      </c>
      <c r="R151" s="146">
        <f t="shared" si="21"/>
        <v>63.225946981802764</v>
      </c>
      <c r="S151" s="126">
        <f t="shared" si="22"/>
        <v>-0.77405301819723604</v>
      </c>
      <c r="T151" s="145">
        <f t="shared" si="26"/>
        <v>0</v>
      </c>
      <c r="V151" s="12"/>
    </row>
    <row r="152" spans="1:22" x14ac:dyDescent="0.25">
      <c r="A152" s="49">
        <f>'A) Base RI'!A153</f>
        <v>5644</v>
      </c>
      <c r="B152" s="357" t="str">
        <f>'A) Base RI'!B153</f>
        <v>Reverolle</v>
      </c>
      <c r="C152" s="419">
        <v>261530.91919086454</v>
      </c>
      <c r="D152" s="419">
        <v>198856.68408693341</v>
      </c>
      <c r="E152" s="396">
        <v>0</v>
      </c>
      <c r="F152" s="396">
        <v>0</v>
      </c>
      <c r="G152" s="396">
        <v>0</v>
      </c>
      <c r="H152" s="419">
        <f t="shared" si="25"/>
        <v>460387.60327779793</v>
      </c>
      <c r="I152" s="420">
        <v>14956.659078947367</v>
      </c>
      <c r="J152" s="361">
        <f>'B) D RI'!U153</f>
        <v>13425.23260136249</v>
      </c>
      <c r="K152" s="62">
        <f t="shared" si="23"/>
        <v>30.781446635086336</v>
      </c>
      <c r="L152" s="33">
        <f>'B) D RI'!S153</f>
        <v>76</v>
      </c>
      <c r="M152" s="33">
        <f t="shared" si="18"/>
        <v>45.21855336491366</v>
      </c>
      <c r="N152" s="33">
        <f>'J) Plafonnement effort'!G151+'J) Plafonnement effort'!I151-'K) Plafonnement aide'!I151</f>
        <v>23.321946369675075</v>
      </c>
      <c r="O152" s="126">
        <f t="shared" si="19"/>
        <v>68.540499734588735</v>
      </c>
      <c r="P152" s="47">
        <f t="shared" si="20"/>
        <v>0</v>
      </c>
      <c r="Q152" s="55">
        <f t="shared" si="24"/>
        <v>0</v>
      </c>
      <c r="R152" s="146">
        <f t="shared" si="21"/>
        <v>68.540499734588735</v>
      </c>
      <c r="S152" s="126">
        <f t="shared" si="22"/>
        <v>-7.4595002654112648</v>
      </c>
      <c r="T152" s="145">
        <f t="shared" si="26"/>
        <v>0</v>
      </c>
      <c r="V152" s="12"/>
    </row>
    <row r="153" spans="1:22" x14ac:dyDescent="0.25">
      <c r="A153" s="49">
        <f>'A) Base RI'!A154</f>
        <v>5645</v>
      </c>
      <c r="B153" s="357" t="str">
        <f>'A) Base RI'!B154</f>
        <v>Romanel-sur-Morges</v>
      </c>
      <c r="C153" s="419">
        <v>498026.01519581629</v>
      </c>
      <c r="D153" s="419">
        <v>462677.87314749364</v>
      </c>
      <c r="E153" s="396">
        <v>0</v>
      </c>
      <c r="F153" s="396">
        <v>0</v>
      </c>
      <c r="G153" s="396">
        <v>0</v>
      </c>
      <c r="H153" s="419">
        <f t="shared" si="25"/>
        <v>960703.88834330998</v>
      </c>
      <c r="I153" s="420">
        <v>26019.982455357142</v>
      </c>
      <c r="J153" s="361">
        <f>'B) D RI'!U154</f>
        <v>24229.852670127519</v>
      </c>
      <c r="K153" s="62">
        <f t="shared" si="23"/>
        <v>36.921773102330235</v>
      </c>
      <c r="L153" s="33">
        <f>'B) D RI'!S154</f>
        <v>56</v>
      </c>
      <c r="M153" s="33">
        <f t="shared" si="18"/>
        <v>19.078226897669765</v>
      </c>
      <c r="N153" s="33">
        <f>'J) Plafonnement effort'!G152+'J) Plafonnement effort'!I152-'K) Plafonnement aide'!I152</f>
        <v>37.922863887078805</v>
      </c>
      <c r="O153" s="126">
        <f t="shared" si="19"/>
        <v>57.00109078474857</v>
      </c>
      <c r="P153" s="47">
        <f t="shared" si="20"/>
        <v>0</v>
      </c>
      <c r="Q153" s="55">
        <f t="shared" si="24"/>
        <v>0</v>
      </c>
      <c r="R153" s="146">
        <f t="shared" si="21"/>
        <v>57.00109078474857</v>
      </c>
      <c r="S153" s="126">
        <f t="shared" si="22"/>
        <v>1.0010907847485697</v>
      </c>
      <c r="T153" s="145">
        <f t="shared" si="26"/>
        <v>0</v>
      </c>
      <c r="V153" s="12"/>
    </row>
    <row r="154" spans="1:22" x14ac:dyDescent="0.25">
      <c r="A154" s="49">
        <f>'A) Base RI'!A155</f>
        <v>5646</v>
      </c>
      <c r="B154" s="357" t="str">
        <f>'A) Base RI'!B155</f>
        <v>Saint-Prex</v>
      </c>
      <c r="C154" s="419">
        <v>16024939.729282174</v>
      </c>
      <c r="D154" s="419">
        <v>9087660.4126662612</v>
      </c>
      <c r="E154" s="396">
        <v>0</v>
      </c>
      <c r="F154" s="396">
        <v>0</v>
      </c>
      <c r="G154" s="396">
        <v>0</v>
      </c>
      <c r="H154" s="419">
        <f t="shared" si="25"/>
        <v>25112600.141948435</v>
      </c>
      <c r="I154" s="420">
        <v>564783.52799999982</v>
      </c>
      <c r="J154" s="361">
        <f>'B) D RI'!U155</f>
        <v>461684.29365699238</v>
      </c>
      <c r="K154" s="62">
        <f t="shared" si="23"/>
        <v>44.464115713283412</v>
      </c>
      <c r="L154" s="33">
        <f>'B) D RI'!S155</f>
        <v>55</v>
      </c>
      <c r="M154" s="33">
        <f t="shared" si="18"/>
        <v>10.535884286716588</v>
      </c>
      <c r="N154" s="33">
        <f>'J) Plafonnement effort'!G153+'J) Plafonnement effort'!I153-'K) Plafonnement aide'!I153</f>
        <v>40.439209237747768</v>
      </c>
      <c r="O154" s="126">
        <f t="shared" si="19"/>
        <v>50.975093524464356</v>
      </c>
      <c r="P154" s="47">
        <f t="shared" si="20"/>
        <v>0</v>
      </c>
      <c r="Q154" s="55">
        <f t="shared" si="24"/>
        <v>0</v>
      </c>
      <c r="R154" s="146">
        <f t="shared" si="21"/>
        <v>50.975093524464356</v>
      </c>
      <c r="S154" s="126">
        <f t="shared" si="22"/>
        <v>-4.0249064755356443</v>
      </c>
      <c r="T154" s="145">
        <f t="shared" si="26"/>
        <v>0</v>
      </c>
      <c r="V154" s="12"/>
    </row>
    <row r="155" spans="1:22" x14ac:dyDescent="0.25">
      <c r="A155" s="49">
        <f>'A) Base RI'!A156</f>
        <v>5648</v>
      </c>
      <c r="B155" s="357" t="str">
        <f>'A) Base RI'!B156</f>
        <v>Saint-Sulpice</v>
      </c>
      <c r="C155" s="419">
        <v>9559318.9098500349</v>
      </c>
      <c r="D155" s="419">
        <v>5655282.0772174411</v>
      </c>
      <c r="E155" s="396">
        <v>0</v>
      </c>
      <c r="F155" s="396">
        <v>0</v>
      </c>
      <c r="G155" s="396">
        <v>0</v>
      </c>
      <c r="H155" s="419">
        <f t="shared" si="25"/>
        <v>15214600.987067476</v>
      </c>
      <c r="I155" s="420">
        <v>360934.92836363643</v>
      </c>
      <c r="J155" s="361">
        <f>'B) D RI'!U156</f>
        <v>359984.01578722027</v>
      </c>
      <c r="K155" s="62">
        <f t="shared" si="23"/>
        <v>42.153307400992233</v>
      </c>
      <c r="L155" s="33">
        <f>'B) D RI'!S156</f>
        <v>55</v>
      </c>
      <c r="M155" s="33">
        <f t="shared" si="18"/>
        <v>12.846692599007767</v>
      </c>
      <c r="N155" s="33">
        <f>'J) Plafonnement effort'!G154+'J) Plafonnement effort'!I154-'K) Plafonnement aide'!I154</f>
        <v>41.55589338340716</v>
      </c>
      <c r="O155" s="126">
        <f t="shared" si="19"/>
        <v>54.402585982414926</v>
      </c>
      <c r="P155" s="47">
        <f t="shared" si="20"/>
        <v>0</v>
      </c>
      <c r="Q155" s="55">
        <f t="shared" si="24"/>
        <v>0</v>
      </c>
      <c r="R155" s="146">
        <f t="shared" si="21"/>
        <v>54.402585982414926</v>
      </c>
      <c r="S155" s="126">
        <f t="shared" si="22"/>
        <v>-0.59741401758507351</v>
      </c>
      <c r="T155" s="145">
        <f t="shared" si="26"/>
        <v>0</v>
      </c>
      <c r="V155" s="12"/>
    </row>
    <row r="156" spans="1:22" x14ac:dyDescent="0.25">
      <c r="A156" s="49">
        <f>'A) Base RI'!A157</f>
        <v>5649</v>
      </c>
      <c r="B156" s="357" t="str">
        <f>'A) Base RI'!B157</f>
        <v>Tolochenaz</v>
      </c>
      <c r="C156" s="419">
        <v>5171857.3584557846</v>
      </c>
      <c r="D156" s="419">
        <v>3095464.1300231321</v>
      </c>
      <c r="E156" s="396">
        <v>0</v>
      </c>
      <c r="F156" s="396">
        <v>-342562.1084789185</v>
      </c>
      <c r="G156" s="396">
        <v>0</v>
      </c>
      <c r="H156" s="419">
        <f t="shared" si="25"/>
        <v>7924759.379999998</v>
      </c>
      <c r="I156" s="420">
        <v>176105.76399999997</v>
      </c>
      <c r="J156" s="361">
        <f>'B) D RI'!U157</f>
        <v>113998.65852486389</v>
      </c>
      <c r="K156" s="62">
        <f t="shared" si="23"/>
        <v>45</v>
      </c>
      <c r="L156" s="33">
        <f>'B) D RI'!S157</f>
        <v>65</v>
      </c>
      <c r="M156" s="33">
        <f t="shared" si="18"/>
        <v>20</v>
      </c>
      <c r="N156" s="33">
        <f>'J) Plafonnement effort'!G155+'J) Plafonnement effort'!I155-'K) Plafonnement aide'!I155</f>
        <v>36.233232130047313</v>
      </c>
      <c r="O156" s="126">
        <f t="shared" si="19"/>
        <v>56.233232130047313</v>
      </c>
      <c r="P156" s="47">
        <f t="shared" si="20"/>
        <v>0</v>
      </c>
      <c r="Q156" s="55">
        <f t="shared" si="24"/>
        <v>0</v>
      </c>
      <c r="R156" s="146">
        <f t="shared" si="21"/>
        <v>56.233232130047313</v>
      </c>
      <c r="S156" s="126">
        <f t="shared" si="22"/>
        <v>-8.7667678699526874</v>
      </c>
      <c r="T156" s="145">
        <f t="shared" si="26"/>
        <v>0</v>
      </c>
      <c r="V156" s="12"/>
    </row>
    <row r="157" spans="1:22" x14ac:dyDescent="0.25">
      <c r="A157" s="49">
        <f>'A) Base RI'!A158</f>
        <v>5650</v>
      </c>
      <c r="B157" s="357" t="str">
        <f>'A) Base RI'!B158</f>
        <v>Vaux-sur-Morges</v>
      </c>
      <c r="C157" s="419">
        <v>7896230.0214027809</v>
      </c>
      <c r="D157" s="419">
        <v>3369413.8546069153</v>
      </c>
      <c r="E157" s="396">
        <v>0</v>
      </c>
      <c r="F157" s="396">
        <v>-3633847.3885096945</v>
      </c>
      <c r="G157" s="396">
        <v>0</v>
      </c>
      <c r="H157" s="419">
        <f t="shared" si="25"/>
        <v>7631796.4875000007</v>
      </c>
      <c r="I157" s="420">
        <v>169595.47750000004</v>
      </c>
      <c r="J157" s="361">
        <f>'B) D RI'!U158</f>
        <v>185104.32562171915</v>
      </c>
      <c r="K157" s="62">
        <f t="shared" si="23"/>
        <v>44.999999999999993</v>
      </c>
      <c r="L157" s="33">
        <f>'B) D RI'!S158</f>
        <v>56</v>
      </c>
      <c r="M157" s="33">
        <f t="shared" si="18"/>
        <v>11.000000000000007</v>
      </c>
      <c r="N157" s="33">
        <f>'J) Plafonnement effort'!G156+'J) Plafonnement effort'!I156-'K) Plafonnement aide'!I156</f>
        <v>48</v>
      </c>
      <c r="O157" s="126">
        <f t="shared" si="19"/>
        <v>59.000000000000007</v>
      </c>
      <c r="P157" s="47">
        <f t="shared" si="20"/>
        <v>0</v>
      </c>
      <c r="Q157" s="55">
        <f t="shared" si="24"/>
        <v>0</v>
      </c>
      <c r="R157" s="146">
        <f t="shared" si="21"/>
        <v>59.000000000000007</v>
      </c>
      <c r="S157" s="126">
        <f t="shared" si="22"/>
        <v>3.0000000000000071</v>
      </c>
      <c r="T157" s="145">
        <f t="shared" si="26"/>
        <v>0</v>
      </c>
      <c r="V157" s="12"/>
    </row>
    <row r="158" spans="1:22" x14ac:dyDescent="0.25">
      <c r="A158" s="49">
        <f>'A) Base RI'!A159</f>
        <v>5651</v>
      </c>
      <c r="B158" s="357" t="str">
        <f>'A) Base RI'!B159</f>
        <v>Villars-Sainte-Croix</v>
      </c>
      <c r="C158" s="419">
        <v>1004062.9663129074</v>
      </c>
      <c r="D158" s="419">
        <v>839326.38284710073</v>
      </c>
      <c r="E158" s="396">
        <v>0</v>
      </c>
      <c r="F158" s="396">
        <v>0</v>
      </c>
      <c r="G158" s="396">
        <v>0</v>
      </c>
      <c r="H158" s="419">
        <f t="shared" si="25"/>
        <v>1843389.3491600081</v>
      </c>
      <c r="I158" s="420">
        <v>47710.277796610164</v>
      </c>
      <c r="J158" s="361">
        <f>'B) D RI'!U159</f>
        <v>50327.012990433635</v>
      </c>
      <c r="K158" s="62">
        <f t="shared" si="23"/>
        <v>38.637153969599851</v>
      </c>
      <c r="L158" s="33">
        <f>'B) D RI'!S159</f>
        <v>59</v>
      </c>
      <c r="M158" s="33">
        <f t="shared" si="18"/>
        <v>20.362846030400149</v>
      </c>
      <c r="N158" s="33">
        <f>'J) Plafonnement effort'!G157+'J) Plafonnement effort'!I157-'K) Plafonnement aide'!I157</f>
        <v>37.553841915792596</v>
      </c>
      <c r="O158" s="126">
        <f t="shared" si="19"/>
        <v>57.916687946192745</v>
      </c>
      <c r="P158" s="47">
        <f t="shared" si="20"/>
        <v>0</v>
      </c>
      <c r="Q158" s="55">
        <f t="shared" si="24"/>
        <v>0</v>
      </c>
      <c r="R158" s="146">
        <f t="shared" si="21"/>
        <v>57.916687946192745</v>
      </c>
      <c r="S158" s="126">
        <f t="shared" si="22"/>
        <v>-1.0833120538072549</v>
      </c>
      <c r="T158" s="145">
        <f t="shared" si="26"/>
        <v>0</v>
      </c>
      <c r="V158" s="12"/>
    </row>
    <row r="159" spans="1:22" x14ac:dyDescent="0.25">
      <c r="A159" s="49">
        <f>'A) Base RI'!A160</f>
        <v>5652</v>
      </c>
      <c r="B159" s="357" t="str">
        <f>'A) Base RI'!B160</f>
        <v>Villars-sous-Yens</v>
      </c>
      <c r="C159" s="419">
        <v>435794.48862149531</v>
      </c>
      <c r="D159" s="419">
        <v>395047.14470502001</v>
      </c>
      <c r="E159" s="396">
        <v>0</v>
      </c>
      <c r="F159" s="396">
        <v>0</v>
      </c>
      <c r="G159" s="396">
        <v>0</v>
      </c>
      <c r="H159" s="419">
        <f t="shared" si="25"/>
        <v>830841.63332651532</v>
      </c>
      <c r="I159" s="420">
        <v>25794.085109649121</v>
      </c>
      <c r="J159" s="361">
        <f>'B) D RI'!U160</f>
        <v>29665.347417842095</v>
      </c>
      <c r="K159" s="62">
        <f t="shared" si="23"/>
        <v>32.210548650772338</v>
      </c>
      <c r="L159" s="33">
        <f>'B) D RI'!S160</f>
        <v>76</v>
      </c>
      <c r="M159" s="33">
        <f t="shared" si="18"/>
        <v>43.789451349227662</v>
      </c>
      <c r="N159" s="33">
        <f>'J) Plafonnement effort'!G158+'J) Plafonnement effort'!I158-'K) Plafonnement aide'!I158</f>
        <v>35.432375818798818</v>
      </c>
      <c r="O159" s="126">
        <f t="shared" si="19"/>
        <v>79.221827168026479</v>
      </c>
      <c r="P159" s="47">
        <f t="shared" si="20"/>
        <v>0</v>
      </c>
      <c r="Q159" s="55">
        <f t="shared" si="24"/>
        <v>0</v>
      </c>
      <c r="R159" s="146">
        <f t="shared" si="21"/>
        <v>79.221827168026479</v>
      </c>
      <c r="S159" s="126">
        <f t="shared" si="22"/>
        <v>3.2218271680264792</v>
      </c>
      <c r="T159" s="145">
        <f t="shared" si="26"/>
        <v>0</v>
      </c>
      <c r="V159" s="12"/>
    </row>
    <row r="160" spans="1:22" x14ac:dyDescent="0.25">
      <c r="A160" s="49">
        <f>'A) Base RI'!A161</f>
        <v>5653</v>
      </c>
      <c r="B160" s="357" t="str">
        <f>'A) Base RI'!B161</f>
        <v>Vufflens-le-Château</v>
      </c>
      <c r="C160" s="419">
        <v>1210005.6898723582</v>
      </c>
      <c r="D160" s="419">
        <v>1053640.5008653677</v>
      </c>
      <c r="E160" s="396">
        <v>0</v>
      </c>
      <c r="F160" s="396">
        <v>0</v>
      </c>
      <c r="G160" s="396">
        <v>0</v>
      </c>
      <c r="H160" s="419">
        <f t="shared" si="25"/>
        <v>2263646.1907377262</v>
      </c>
      <c r="I160" s="420">
        <v>58104.710727272715</v>
      </c>
      <c r="J160" s="361">
        <f>'B) D RI'!U161</f>
        <v>61628.734956407359</v>
      </c>
      <c r="K160" s="62">
        <f t="shared" si="23"/>
        <v>38.958049397451596</v>
      </c>
      <c r="L160" s="33">
        <f>'B) D RI'!S161</f>
        <v>55</v>
      </c>
      <c r="M160" s="33">
        <f t="shared" si="18"/>
        <v>16.041950602548404</v>
      </c>
      <c r="N160" s="33">
        <f>'J) Plafonnement effort'!G159+'J) Plafonnement effort'!I159-'K) Plafonnement aide'!I159</f>
        <v>41.402587662325033</v>
      </c>
      <c r="O160" s="126">
        <f t="shared" si="19"/>
        <v>57.444538264873437</v>
      </c>
      <c r="P160" s="47">
        <f t="shared" si="20"/>
        <v>0</v>
      </c>
      <c r="Q160" s="55">
        <f t="shared" si="24"/>
        <v>0</v>
      </c>
      <c r="R160" s="146">
        <f t="shared" si="21"/>
        <v>57.444538264873437</v>
      </c>
      <c r="S160" s="126">
        <f t="shared" si="22"/>
        <v>2.4445382648734366</v>
      </c>
      <c r="T160" s="145">
        <f t="shared" si="26"/>
        <v>0</v>
      </c>
      <c r="V160" s="12"/>
    </row>
    <row r="161" spans="1:22" x14ac:dyDescent="0.25">
      <c r="A161" s="49">
        <f>'A) Base RI'!A162</f>
        <v>5654</v>
      </c>
      <c r="B161" s="357" t="str">
        <f>'A) Base RI'!B162</f>
        <v>Vullierens</v>
      </c>
      <c r="C161" s="419">
        <v>311213.4862789886</v>
      </c>
      <c r="D161" s="419">
        <v>217222.40129360138</v>
      </c>
      <c r="E161" s="396">
        <v>0</v>
      </c>
      <c r="F161" s="396">
        <v>0</v>
      </c>
      <c r="G161" s="396">
        <v>0</v>
      </c>
      <c r="H161" s="419">
        <f t="shared" si="25"/>
        <v>528435.88757259003</v>
      </c>
      <c r="I161" s="420">
        <v>18548.379210526316</v>
      </c>
      <c r="J161" s="361">
        <f>'B) D RI'!U162</f>
        <v>19147.575291748301</v>
      </c>
      <c r="K161" s="62">
        <f t="shared" si="23"/>
        <v>28.489599095143554</v>
      </c>
      <c r="L161" s="33">
        <f>'B) D RI'!S162</f>
        <v>76</v>
      </c>
      <c r="M161" s="33">
        <f t="shared" si="18"/>
        <v>47.510400904856446</v>
      </c>
      <c r="N161" s="33">
        <f>'J) Plafonnement effort'!G160+'J) Plafonnement effort'!I160-'K) Plafonnement aide'!I160</f>
        <v>31.057656526297023</v>
      </c>
      <c r="O161" s="126">
        <f t="shared" si="19"/>
        <v>78.568057431153477</v>
      </c>
      <c r="P161" s="47">
        <f t="shared" si="20"/>
        <v>0</v>
      </c>
      <c r="Q161" s="55">
        <f t="shared" si="24"/>
        <v>0</v>
      </c>
      <c r="R161" s="146">
        <f t="shared" si="21"/>
        <v>78.568057431153477</v>
      </c>
      <c r="S161" s="126">
        <f t="shared" si="22"/>
        <v>2.568057431153477</v>
      </c>
      <c r="T161" s="145">
        <f t="shared" si="26"/>
        <v>0</v>
      </c>
      <c r="V161" s="12"/>
    </row>
    <row r="162" spans="1:22" x14ac:dyDescent="0.25">
      <c r="A162" s="49">
        <f>'A) Base RI'!A163</f>
        <v>5655</v>
      </c>
      <c r="B162" s="357" t="str">
        <f>'A) Base RI'!B163</f>
        <v>Yens</v>
      </c>
      <c r="C162" s="419">
        <v>1659557.6832873514</v>
      </c>
      <c r="D162" s="419">
        <v>1172161.4194620932</v>
      </c>
      <c r="E162" s="396">
        <v>0</v>
      </c>
      <c r="F162" s="396">
        <v>0</v>
      </c>
      <c r="G162" s="396">
        <v>0</v>
      </c>
      <c r="H162" s="419">
        <f t="shared" si="25"/>
        <v>2831719.1027494445</v>
      </c>
      <c r="I162" s="420">
        <v>71567.801506849311</v>
      </c>
      <c r="J162" s="361">
        <f>'B) D RI'!U163</f>
        <v>86097.458084051032</v>
      </c>
      <c r="K162" s="62">
        <f t="shared" si="23"/>
        <v>39.566942719044377</v>
      </c>
      <c r="L162" s="33">
        <f>'B) D RI'!S163</f>
        <v>73</v>
      </c>
      <c r="M162" s="33">
        <f t="shared" si="18"/>
        <v>33.433057280955623</v>
      </c>
      <c r="N162" s="33">
        <f>'J) Plafonnement effort'!G161+'J) Plafonnement effort'!I161-'K) Plafonnement aide'!I161</f>
        <v>38.719867298074277</v>
      </c>
      <c r="O162" s="126">
        <f t="shared" si="19"/>
        <v>72.1529245790299</v>
      </c>
      <c r="P162" s="47">
        <f t="shared" si="20"/>
        <v>0</v>
      </c>
      <c r="Q162" s="55">
        <f t="shared" si="24"/>
        <v>0</v>
      </c>
      <c r="R162" s="146">
        <f t="shared" si="21"/>
        <v>72.1529245790299</v>
      </c>
      <c r="S162" s="126">
        <f t="shared" si="22"/>
        <v>-0.84707542097009991</v>
      </c>
      <c r="T162" s="145">
        <f t="shared" si="26"/>
        <v>0</v>
      </c>
      <c r="V162" s="12"/>
    </row>
    <row r="163" spans="1:22" x14ac:dyDescent="0.25">
      <c r="A163" s="49">
        <f>'A) Base RI'!A164</f>
        <v>5661</v>
      </c>
      <c r="B163" s="357" t="str">
        <f>'A) Base RI'!B164</f>
        <v>Boulens</v>
      </c>
      <c r="C163" s="419">
        <v>154769.29371582973</v>
      </c>
      <c r="D163" s="419">
        <v>-63828.504616444261</v>
      </c>
      <c r="E163" s="396">
        <v>0</v>
      </c>
      <c r="F163" s="396">
        <v>0</v>
      </c>
      <c r="G163" s="396">
        <v>0</v>
      </c>
      <c r="H163" s="419">
        <f t="shared" si="25"/>
        <v>90940.789099385467</v>
      </c>
      <c r="I163" s="420">
        <v>9056.8577215189871</v>
      </c>
      <c r="J163" s="361">
        <f>'B) D RI'!U164</f>
        <v>10242.097149449037</v>
      </c>
      <c r="K163" s="62">
        <f t="shared" si="23"/>
        <v>10.041097243176431</v>
      </c>
      <c r="L163" s="33">
        <f>'B) D RI'!S164</f>
        <v>79</v>
      </c>
      <c r="M163" s="33">
        <f t="shared" si="18"/>
        <v>68.958902756823562</v>
      </c>
      <c r="N163" s="33">
        <f>'J) Plafonnement effort'!G162+'J) Plafonnement effort'!I162-'K) Plafonnement aide'!I162</f>
        <v>14.116244277007613</v>
      </c>
      <c r="O163" s="126">
        <f t="shared" si="19"/>
        <v>83.075147033831172</v>
      </c>
      <c r="P163" s="47">
        <f t="shared" si="20"/>
        <v>0</v>
      </c>
      <c r="Q163" s="55">
        <f t="shared" si="24"/>
        <v>0</v>
      </c>
      <c r="R163" s="146">
        <f t="shared" si="21"/>
        <v>83.075147033831172</v>
      </c>
      <c r="S163" s="126">
        <f t="shared" si="22"/>
        <v>4.0751470338311719</v>
      </c>
      <c r="T163" s="145">
        <f t="shared" si="26"/>
        <v>0</v>
      </c>
      <c r="V163" s="12"/>
    </row>
    <row r="164" spans="1:22" x14ac:dyDescent="0.25">
      <c r="A164" s="49">
        <f>'A) Base RI'!A165</f>
        <v>5663</v>
      </c>
      <c r="B164" s="357" t="str">
        <f>'A) Base RI'!B165</f>
        <v>Bussy-sur-Moudon</v>
      </c>
      <c r="C164" s="419">
        <v>103462.77290090687</v>
      </c>
      <c r="D164" s="419">
        <v>-9340.8209806180093</v>
      </c>
      <c r="E164" s="396">
        <v>0</v>
      </c>
      <c r="F164" s="396">
        <v>0</v>
      </c>
      <c r="G164" s="396">
        <v>0</v>
      </c>
      <c r="H164" s="419">
        <f t="shared" si="25"/>
        <v>94121.951920288862</v>
      </c>
      <c r="I164" s="420">
        <v>5655.1166249999997</v>
      </c>
      <c r="J164" s="361">
        <f>'B) D RI'!U165</f>
        <v>5275.6077688756623</v>
      </c>
      <c r="K164" s="62">
        <f t="shared" si="23"/>
        <v>16.643680079770039</v>
      </c>
      <c r="L164" s="33">
        <f>'B) D RI'!S165</f>
        <v>80</v>
      </c>
      <c r="M164" s="33">
        <f t="shared" si="18"/>
        <v>63.356319920229964</v>
      </c>
      <c r="N164" s="33">
        <f>'J) Plafonnement effort'!G163+'J) Plafonnement effort'!I163-'K) Plafonnement aide'!I163</f>
        <v>-2.0318240484819015</v>
      </c>
      <c r="O164" s="126">
        <f t="shared" si="19"/>
        <v>61.324495871748063</v>
      </c>
      <c r="P164" s="47">
        <f t="shared" si="20"/>
        <v>0</v>
      </c>
      <c r="Q164" s="55">
        <f t="shared" si="24"/>
        <v>0</v>
      </c>
      <c r="R164" s="146">
        <f t="shared" si="21"/>
        <v>61.324495871748063</v>
      </c>
      <c r="S164" s="126">
        <f t="shared" si="22"/>
        <v>-18.675504128251937</v>
      </c>
      <c r="T164" s="145">
        <f t="shared" si="26"/>
        <v>0</v>
      </c>
      <c r="V164" s="12"/>
    </row>
    <row r="165" spans="1:22" x14ac:dyDescent="0.25">
      <c r="A165" s="49">
        <f>'A) Base RI'!A166</f>
        <v>5665</v>
      </c>
      <c r="B165" s="357" t="str">
        <f>'A) Base RI'!B166</f>
        <v>Chavannes-sur-Moudon</v>
      </c>
      <c r="C165" s="419">
        <v>80876.683026723462</v>
      </c>
      <c r="D165" s="419">
        <v>-30898.010626386764</v>
      </c>
      <c r="E165" s="396">
        <v>0</v>
      </c>
      <c r="F165" s="396">
        <v>0</v>
      </c>
      <c r="G165" s="396">
        <v>0</v>
      </c>
      <c r="H165" s="419">
        <f t="shared" si="25"/>
        <v>49978.672400336698</v>
      </c>
      <c r="I165" s="420">
        <v>5028.5345205479452</v>
      </c>
      <c r="J165" s="361">
        <f>'B) D RI'!U166</f>
        <v>4607.2565465259731</v>
      </c>
      <c r="K165" s="62">
        <f t="shared" si="23"/>
        <v>9.9390134831749481</v>
      </c>
      <c r="L165" s="33">
        <f>'B) D RI'!S166</f>
        <v>73</v>
      </c>
      <c r="M165" s="33">
        <f t="shared" si="18"/>
        <v>63.060986516825054</v>
      </c>
      <c r="N165" s="33">
        <f>'J) Plafonnement effort'!G164+'J) Plafonnement effort'!I164-'K) Plafonnement aide'!I164</f>
        <v>6.3505398345934108</v>
      </c>
      <c r="O165" s="126">
        <f t="shared" si="19"/>
        <v>69.411526351418459</v>
      </c>
      <c r="P165" s="47">
        <f t="shared" si="20"/>
        <v>0</v>
      </c>
      <c r="Q165" s="55">
        <f t="shared" si="24"/>
        <v>0</v>
      </c>
      <c r="R165" s="146">
        <f t="shared" si="21"/>
        <v>69.411526351418459</v>
      </c>
      <c r="S165" s="126">
        <f t="shared" si="22"/>
        <v>-3.5884736485815409</v>
      </c>
      <c r="T165" s="145">
        <f t="shared" si="26"/>
        <v>0</v>
      </c>
      <c r="V165" s="12"/>
    </row>
    <row r="166" spans="1:22" x14ac:dyDescent="0.25">
      <c r="A166" s="49">
        <f>'A) Base RI'!A167</f>
        <v>5669</v>
      </c>
      <c r="B166" s="357" t="str">
        <f>'A) Base RI'!B167</f>
        <v>Curtilles</v>
      </c>
      <c r="C166" s="419">
        <v>175283.90052678157</v>
      </c>
      <c r="D166" s="419">
        <v>21620.180011495191</v>
      </c>
      <c r="E166" s="396">
        <v>0</v>
      </c>
      <c r="F166" s="396">
        <v>0</v>
      </c>
      <c r="G166" s="396">
        <v>0</v>
      </c>
      <c r="H166" s="419">
        <f t="shared" si="25"/>
        <v>196904.08053827676</v>
      </c>
      <c r="I166" s="420">
        <v>9029.3026666666665</v>
      </c>
      <c r="J166" s="361">
        <f>'B) D RI'!U167</f>
        <v>7730.4977240355793</v>
      </c>
      <c r="K166" s="62">
        <f t="shared" si="23"/>
        <v>21.807230060543262</v>
      </c>
      <c r="L166" s="33">
        <f>'B) D RI'!S167</f>
        <v>75</v>
      </c>
      <c r="M166" s="33">
        <f t="shared" si="18"/>
        <v>53.192769939456738</v>
      </c>
      <c r="N166" s="33">
        <f>'J) Plafonnement effort'!G165+'J) Plafonnement effort'!I165-'K) Plafonnement aide'!I165</f>
        <v>11.373286228178932</v>
      </c>
      <c r="O166" s="126">
        <f t="shared" si="19"/>
        <v>64.566056167635665</v>
      </c>
      <c r="P166" s="47">
        <f t="shared" si="20"/>
        <v>0</v>
      </c>
      <c r="Q166" s="55">
        <f t="shared" si="24"/>
        <v>0</v>
      </c>
      <c r="R166" s="146">
        <f t="shared" si="21"/>
        <v>64.566056167635665</v>
      </c>
      <c r="S166" s="126">
        <f t="shared" si="22"/>
        <v>-10.433943832364335</v>
      </c>
      <c r="T166" s="145">
        <f t="shared" si="26"/>
        <v>0</v>
      </c>
      <c r="V166" s="12"/>
    </row>
    <row r="167" spans="1:22" x14ac:dyDescent="0.25">
      <c r="A167" s="49">
        <f>'A) Base RI'!A168</f>
        <v>5671</v>
      </c>
      <c r="B167" s="357" t="str">
        <f>'A) Base RI'!B168</f>
        <v>Dompierre</v>
      </c>
      <c r="C167" s="419">
        <v>99948.679395112209</v>
      </c>
      <c r="D167" s="419">
        <v>-42248.942049073637</v>
      </c>
      <c r="E167" s="396">
        <v>0</v>
      </c>
      <c r="F167" s="396">
        <v>0</v>
      </c>
      <c r="G167" s="396">
        <v>0</v>
      </c>
      <c r="H167" s="419">
        <f t="shared" si="25"/>
        <v>57699.737346038572</v>
      </c>
      <c r="I167" s="420">
        <v>6333.6785</v>
      </c>
      <c r="J167" s="361">
        <f>'B) D RI'!U168</f>
        <v>6107.4315082005251</v>
      </c>
      <c r="K167" s="62">
        <f t="shared" si="23"/>
        <v>9.1099883497462919</v>
      </c>
      <c r="L167" s="33">
        <f>'B) D RI'!S168</f>
        <v>80</v>
      </c>
      <c r="M167" s="33">
        <f t="shared" ref="M167:M218" si="27">L167-K167</f>
        <v>70.890011650253712</v>
      </c>
      <c r="N167" s="33">
        <f>'J) Plafonnement effort'!G166+'J) Plafonnement effort'!I166-'K) Plafonnement aide'!I166</f>
        <v>3.0295531604161638</v>
      </c>
      <c r="O167" s="126">
        <f t="shared" ref="O167:O218" si="28">M167+N167</f>
        <v>73.919564810669868</v>
      </c>
      <c r="P167" s="47">
        <f t="shared" ref="P167:P218" si="29">IF(O167&gt;$P$5,$P$5-O167,0)</f>
        <v>0</v>
      </c>
      <c r="Q167" s="55">
        <f t="shared" si="24"/>
        <v>0</v>
      </c>
      <c r="R167" s="146">
        <f t="shared" ref="R167:R218" si="30">O167+P167</f>
        <v>73.919564810669868</v>
      </c>
      <c r="S167" s="126">
        <f t="shared" ref="S167:S218" si="31">R167-L167</f>
        <v>-6.0804351893301316</v>
      </c>
      <c r="T167" s="145">
        <f t="shared" si="26"/>
        <v>0</v>
      </c>
      <c r="V167" s="12"/>
    </row>
    <row r="168" spans="1:22" x14ac:dyDescent="0.25">
      <c r="A168" s="49">
        <f>'A) Base RI'!A169</f>
        <v>5673</v>
      </c>
      <c r="B168" s="357" t="str">
        <f>'A) Base RI'!B169</f>
        <v>Hermenches</v>
      </c>
      <c r="C168" s="419">
        <v>145953.75454982824</v>
      </c>
      <c r="D168" s="419">
        <v>-52620.512637284177</v>
      </c>
      <c r="E168" s="396">
        <v>0</v>
      </c>
      <c r="F168" s="396">
        <v>0</v>
      </c>
      <c r="G168" s="396">
        <v>0</v>
      </c>
      <c r="H168" s="419">
        <f t="shared" si="25"/>
        <v>93333.241912544065</v>
      </c>
      <c r="I168" s="420">
        <v>8912.655777777778</v>
      </c>
      <c r="J168" s="361">
        <f>'B) D RI'!U169</f>
        <v>9275.5467189326828</v>
      </c>
      <c r="K168" s="62">
        <f t="shared" ref="K168:K220" si="32">H168/I168</f>
        <v>10.471989970178692</v>
      </c>
      <c r="L168" s="33">
        <f>'B) D RI'!S169</f>
        <v>75</v>
      </c>
      <c r="M168" s="33">
        <f t="shared" si="27"/>
        <v>64.528010029821303</v>
      </c>
      <c r="N168" s="33">
        <f>'J) Plafonnement effort'!G167+'J) Plafonnement effort'!I167-'K) Plafonnement aide'!I167</f>
        <v>-4.6983158572794217</v>
      </c>
      <c r="O168" s="126">
        <f t="shared" si="28"/>
        <v>59.829694172541878</v>
      </c>
      <c r="P168" s="47">
        <f t="shared" si="29"/>
        <v>0</v>
      </c>
      <c r="Q168" s="55">
        <f t="shared" ref="Q168:Q221" si="33">P168*J168</f>
        <v>0</v>
      </c>
      <c r="R168" s="146">
        <f t="shared" si="30"/>
        <v>59.829694172541878</v>
      </c>
      <c r="S168" s="126">
        <f t="shared" si="31"/>
        <v>-15.170305827458122</v>
      </c>
      <c r="T168" s="145">
        <f t="shared" si="26"/>
        <v>0</v>
      </c>
      <c r="V168" s="12"/>
    </row>
    <row r="169" spans="1:22" x14ac:dyDescent="0.25">
      <c r="A169" s="49">
        <f>'A) Base RI'!A170</f>
        <v>5674</v>
      </c>
      <c r="B169" s="357" t="str">
        <f>'A) Base RI'!B170</f>
        <v>Lovatens</v>
      </c>
      <c r="C169" s="419">
        <v>59522.239152229005</v>
      </c>
      <c r="D169" s="419">
        <v>-6893.374760929757</v>
      </c>
      <c r="E169" s="396">
        <v>0</v>
      </c>
      <c r="F169" s="396">
        <v>0</v>
      </c>
      <c r="G169" s="396">
        <v>0</v>
      </c>
      <c r="H169" s="419">
        <f t="shared" si="25"/>
        <v>52628.864391299248</v>
      </c>
      <c r="I169" s="420">
        <v>3614.9058666666665</v>
      </c>
      <c r="J169" s="361">
        <f>'B) D RI'!U170</f>
        <v>3271.992985930126</v>
      </c>
      <c r="K169" s="62">
        <f t="shared" si="32"/>
        <v>14.558847818581993</v>
      </c>
      <c r="L169" s="33">
        <f>'B) D RI'!S170</f>
        <v>75</v>
      </c>
      <c r="M169" s="33">
        <f t="shared" si="27"/>
        <v>60.441152181418005</v>
      </c>
      <c r="N169" s="33">
        <f>'J) Plafonnement effort'!G168+'J) Plafonnement effort'!I168-'K) Plafonnement aide'!I168</f>
        <v>6.2402960678798429</v>
      </c>
      <c r="O169" s="126">
        <f t="shared" si="28"/>
        <v>66.681448249297844</v>
      </c>
      <c r="P169" s="47">
        <f t="shared" si="29"/>
        <v>0</v>
      </c>
      <c r="Q169" s="55">
        <f t="shared" si="33"/>
        <v>0</v>
      </c>
      <c r="R169" s="146">
        <f t="shared" si="30"/>
        <v>66.681448249297844</v>
      </c>
      <c r="S169" s="126">
        <f t="shared" si="31"/>
        <v>-8.3185517507021558</v>
      </c>
      <c r="T169" s="145">
        <f t="shared" si="26"/>
        <v>0</v>
      </c>
      <c r="V169" s="12"/>
    </row>
    <row r="170" spans="1:22" x14ac:dyDescent="0.25">
      <c r="A170" s="49">
        <f>'A) Base RI'!A171</f>
        <v>5675</v>
      </c>
      <c r="B170" s="357" t="str">
        <f>'A) Base RI'!B171</f>
        <v>Lucens</v>
      </c>
      <c r="C170" s="419">
        <v>1652408.8094725099</v>
      </c>
      <c r="D170" s="419">
        <v>-1497809.79006214</v>
      </c>
      <c r="E170" s="396">
        <v>0</v>
      </c>
      <c r="F170" s="396">
        <v>0</v>
      </c>
      <c r="G170" s="396">
        <v>0</v>
      </c>
      <c r="H170" s="419">
        <f t="shared" si="25"/>
        <v>154599.01941036992</v>
      </c>
      <c r="I170" s="420">
        <v>84285.039641873256</v>
      </c>
      <c r="J170" s="361">
        <f>'B) D RI'!U171</f>
        <v>90143.04189619486</v>
      </c>
      <c r="K170" s="62">
        <f t="shared" ref="K170" si="34">H170/I170</f>
        <v>1.8342403357376402</v>
      </c>
      <c r="L170" s="33">
        <f>'B) D RI'!S171</f>
        <v>69</v>
      </c>
      <c r="M170" s="33">
        <f t="shared" ref="M170" si="35">L170-K170</f>
        <v>67.165759664262353</v>
      </c>
      <c r="N170" s="33">
        <f>'J) Plafonnement effort'!G169+'J) Plafonnement effort'!I169-'K) Plafonnement aide'!I169</f>
        <v>-2.086039983812694</v>
      </c>
      <c r="O170" s="126">
        <f t="shared" ref="O170" si="36">M170+N170</f>
        <v>65.079719680449656</v>
      </c>
      <c r="P170" s="47">
        <f t="shared" ref="P170" si="37">IF(O170&gt;$P$5,$P$5-O170,0)</f>
        <v>0</v>
      </c>
      <c r="Q170" s="55">
        <f t="shared" ref="Q170" si="38">P170*J170</f>
        <v>0</v>
      </c>
      <c r="R170" s="146">
        <f t="shared" ref="R170" si="39">O170+P170</f>
        <v>65.079719680449656</v>
      </c>
      <c r="S170" s="126">
        <f t="shared" ref="S170" si="40">R170-L170</f>
        <v>-3.9202803195503435</v>
      </c>
      <c r="T170" s="145">
        <f t="shared" si="26"/>
        <v>0</v>
      </c>
      <c r="V170" s="12"/>
    </row>
    <row r="171" spans="1:22" x14ac:dyDescent="0.25">
      <c r="A171" s="49">
        <f>'A) Base RI'!A172</f>
        <v>5678</v>
      </c>
      <c r="B171" s="357" t="str">
        <f>'A) Base RI'!B172</f>
        <v>Moudon</v>
      </c>
      <c r="C171" s="419">
        <v>2538035.8215474035</v>
      </c>
      <c r="D171" s="419">
        <v>-3857353.1404155348</v>
      </c>
      <c r="E171" s="396">
        <v>392898.08153479791</v>
      </c>
      <c r="F171" s="396">
        <v>0</v>
      </c>
      <c r="G171" s="396">
        <v>0</v>
      </c>
      <c r="H171" s="419">
        <f t="shared" si="25"/>
        <v>-926419.23733333347</v>
      </c>
      <c r="I171" s="420">
        <v>115802.40466666668</v>
      </c>
      <c r="J171" s="361">
        <f>'B) D RI'!U172</f>
        <v>115752.26296280598</v>
      </c>
      <c r="K171" s="62">
        <f t="shared" si="32"/>
        <v>-8</v>
      </c>
      <c r="L171" s="33">
        <f>'B) D RI'!S172</f>
        <v>75</v>
      </c>
      <c r="M171" s="33">
        <f t="shared" si="27"/>
        <v>83</v>
      </c>
      <c r="N171" s="33">
        <f>'J) Plafonnement effort'!G170+'J) Plafonnement effort'!I170-'K) Plafonnement aide'!I170</f>
        <v>-19.293278522807999</v>
      </c>
      <c r="O171" s="126">
        <f t="shared" si="28"/>
        <v>63.706721477192005</v>
      </c>
      <c r="P171" s="47">
        <f t="shared" si="29"/>
        <v>0</v>
      </c>
      <c r="Q171" s="55">
        <f t="shared" si="33"/>
        <v>0</v>
      </c>
      <c r="R171" s="146">
        <f t="shared" si="30"/>
        <v>63.706721477192005</v>
      </c>
      <c r="S171" s="126">
        <f t="shared" si="31"/>
        <v>-11.293278522807995</v>
      </c>
      <c r="T171" s="145">
        <f t="shared" si="26"/>
        <v>0</v>
      </c>
      <c r="V171" s="12"/>
    </row>
    <row r="172" spans="1:22" x14ac:dyDescent="0.25">
      <c r="A172" s="49">
        <f>'A) Base RI'!A173</f>
        <v>5680</v>
      </c>
      <c r="B172" s="357" t="str">
        <f>'A) Base RI'!B173</f>
        <v>Ogens</v>
      </c>
      <c r="C172" s="419">
        <v>134852.43056421509</v>
      </c>
      <c r="D172" s="419">
        <v>-42959.415467965649</v>
      </c>
      <c r="E172" s="396">
        <v>0</v>
      </c>
      <c r="F172" s="396">
        <v>0</v>
      </c>
      <c r="G172" s="396">
        <v>0</v>
      </c>
      <c r="H172" s="419">
        <f t="shared" si="25"/>
        <v>91893.015096249437</v>
      </c>
      <c r="I172" s="420">
        <v>7404.4946581196582</v>
      </c>
      <c r="J172" s="361">
        <f>'B) D RI'!U173</f>
        <v>6425.0974128432881</v>
      </c>
      <c r="K172" s="62">
        <f t="shared" si="32"/>
        <v>12.41043708438373</v>
      </c>
      <c r="L172" s="33">
        <f>'B) D RI'!S173</f>
        <v>78</v>
      </c>
      <c r="M172" s="33">
        <f t="shared" si="27"/>
        <v>65.58956291561627</v>
      </c>
      <c r="N172" s="33">
        <f>'J) Plafonnement effort'!G171+'J) Plafonnement effort'!I171-'K) Plafonnement aide'!I171</f>
        <v>5.6951953255834846</v>
      </c>
      <c r="O172" s="126">
        <f t="shared" si="28"/>
        <v>71.284758241199754</v>
      </c>
      <c r="P172" s="47">
        <f t="shared" si="29"/>
        <v>0</v>
      </c>
      <c r="Q172" s="55">
        <f t="shared" si="33"/>
        <v>0</v>
      </c>
      <c r="R172" s="146">
        <f t="shared" si="30"/>
        <v>71.284758241199754</v>
      </c>
      <c r="S172" s="126">
        <f t="shared" si="31"/>
        <v>-6.7152417588002464</v>
      </c>
      <c r="T172" s="145">
        <f t="shared" si="26"/>
        <v>0</v>
      </c>
      <c r="V172" s="12"/>
    </row>
    <row r="173" spans="1:22" x14ac:dyDescent="0.25">
      <c r="A173" s="49">
        <f>'A) Base RI'!A174</f>
        <v>5683</v>
      </c>
      <c r="B173" s="357" t="str">
        <f>'A) Base RI'!B174</f>
        <v>Prévonloup</v>
      </c>
      <c r="C173" s="419">
        <v>73604.10475332239</v>
      </c>
      <c r="D173" s="419">
        <v>-15406.566077234995</v>
      </c>
      <c r="E173" s="396">
        <v>0</v>
      </c>
      <c r="F173" s="396">
        <v>0</v>
      </c>
      <c r="G173" s="396">
        <v>0</v>
      </c>
      <c r="H173" s="419">
        <f t="shared" si="25"/>
        <v>58197.538676087395</v>
      </c>
      <c r="I173" s="420">
        <v>3876.1695945945944</v>
      </c>
      <c r="J173" s="361">
        <f>'B) D RI'!U174</f>
        <v>3739.7592858383009</v>
      </c>
      <c r="K173" s="62">
        <f t="shared" si="32"/>
        <v>15.014187913048277</v>
      </c>
      <c r="L173" s="33">
        <f>'B) D RI'!S174</f>
        <v>74</v>
      </c>
      <c r="M173" s="33">
        <f t="shared" si="27"/>
        <v>58.985812086951725</v>
      </c>
      <c r="N173" s="33">
        <f>'J) Plafonnement effort'!G172+'J) Plafonnement effort'!I172-'K) Plafonnement aide'!I172</f>
        <v>2.8808864255280975</v>
      </c>
      <c r="O173" s="126">
        <f t="shared" si="28"/>
        <v>61.866698512479822</v>
      </c>
      <c r="P173" s="47">
        <f t="shared" si="29"/>
        <v>0</v>
      </c>
      <c r="Q173" s="55">
        <f t="shared" si="33"/>
        <v>0</v>
      </c>
      <c r="R173" s="146">
        <f t="shared" si="30"/>
        <v>61.866698512479822</v>
      </c>
      <c r="S173" s="126">
        <f t="shared" si="31"/>
        <v>-12.133301487520178</v>
      </c>
      <c r="T173" s="145">
        <f t="shared" si="26"/>
        <v>0</v>
      </c>
      <c r="V173" s="12"/>
    </row>
    <row r="174" spans="1:22" x14ac:dyDescent="0.25">
      <c r="A174" s="49">
        <f>'A) Base RI'!A175</f>
        <v>5684</v>
      </c>
      <c r="B174" s="357" t="str">
        <f>'A) Base RI'!B175</f>
        <v>Rossenges</v>
      </c>
      <c r="C174" s="419">
        <v>47329.904197883814</v>
      </c>
      <c r="D174" s="419">
        <v>50951.610021888278</v>
      </c>
      <c r="E174" s="396">
        <v>0</v>
      </c>
      <c r="F174" s="396">
        <v>0</v>
      </c>
      <c r="G174" s="396">
        <v>0</v>
      </c>
      <c r="H174" s="419">
        <f t="shared" si="25"/>
        <v>98281.5142197721</v>
      </c>
      <c r="I174" s="420">
        <v>2934.7781666666665</v>
      </c>
      <c r="J174" s="361">
        <f>'B) D RI'!U175</f>
        <v>1960.0054491323369</v>
      </c>
      <c r="K174" s="62">
        <f t="shared" si="32"/>
        <v>33.488566643999761</v>
      </c>
      <c r="L174" s="33">
        <f>'B) D RI'!S175</f>
        <v>75</v>
      </c>
      <c r="M174" s="33">
        <f t="shared" si="27"/>
        <v>41.511433356000239</v>
      </c>
      <c r="N174" s="33">
        <f>'J) Plafonnement effort'!G173+'J) Plafonnement effort'!I173-'K) Plafonnement aide'!I173</f>
        <v>23.703296306249097</v>
      </c>
      <c r="O174" s="126">
        <f t="shared" si="28"/>
        <v>65.21472966224934</v>
      </c>
      <c r="P174" s="47">
        <f t="shared" si="29"/>
        <v>0</v>
      </c>
      <c r="Q174" s="55">
        <f t="shared" si="33"/>
        <v>0</v>
      </c>
      <c r="R174" s="146">
        <f t="shared" si="30"/>
        <v>65.21472966224934</v>
      </c>
      <c r="S174" s="126">
        <f t="shared" si="31"/>
        <v>-9.78527033775066</v>
      </c>
      <c r="T174" s="145">
        <f t="shared" si="26"/>
        <v>0</v>
      </c>
      <c r="V174" s="12"/>
    </row>
    <row r="175" spans="1:22" x14ac:dyDescent="0.25">
      <c r="A175" s="49">
        <f>'A) Base RI'!A176</f>
        <v>5688</v>
      </c>
      <c r="B175" s="357" t="str">
        <f>'A) Base RI'!B176</f>
        <v>Syens</v>
      </c>
      <c r="C175" s="419">
        <v>111355.59648678682</v>
      </c>
      <c r="D175" s="419">
        <v>87141.691863865795</v>
      </c>
      <c r="E175" s="396">
        <v>0</v>
      </c>
      <c r="F175" s="396">
        <v>0</v>
      </c>
      <c r="G175" s="396">
        <v>0</v>
      </c>
      <c r="H175" s="419">
        <f t="shared" si="25"/>
        <v>198497.28835065261</v>
      </c>
      <c r="I175" s="420">
        <v>6079.6888888888907</v>
      </c>
      <c r="J175" s="361">
        <f>'B) D RI'!U176</f>
        <v>3766.5702445621059</v>
      </c>
      <c r="K175" s="62">
        <f t="shared" si="32"/>
        <v>32.64925096963794</v>
      </c>
      <c r="L175" s="33">
        <f>'B) D RI'!S176</f>
        <v>75.599999999999994</v>
      </c>
      <c r="M175" s="33">
        <f t="shared" si="27"/>
        <v>42.950749030362054</v>
      </c>
      <c r="N175" s="33">
        <f>'J) Plafonnement effort'!G174+'J) Plafonnement effort'!I174-'K) Plafonnement aide'!I174</f>
        <v>5.3544844595610908</v>
      </c>
      <c r="O175" s="126">
        <f t="shared" si="28"/>
        <v>48.305233489923147</v>
      </c>
      <c r="P175" s="47">
        <f t="shared" si="29"/>
        <v>0</v>
      </c>
      <c r="Q175" s="55">
        <f t="shared" si="33"/>
        <v>0</v>
      </c>
      <c r="R175" s="146">
        <f t="shared" si="30"/>
        <v>48.305233489923147</v>
      </c>
      <c r="S175" s="126">
        <f t="shared" si="31"/>
        <v>-27.294766510076848</v>
      </c>
      <c r="T175" s="145">
        <f t="shared" si="26"/>
        <v>0</v>
      </c>
      <c r="V175" s="12"/>
    </row>
    <row r="176" spans="1:22" x14ac:dyDescent="0.25">
      <c r="A176" s="49">
        <f>'A) Base RI'!A177</f>
        <v>5690</v>
      </c>
      <c r="B176" s="357" t="str">
        <f>'A) Base RI'!B177</f>
        <v>Villars-le-Comte</v>
      </c>
      <c r="C176" s="419">
        <v>68401.185007563065</v>
      </c>
      <c r="D176" s="419">
        <v>-1092.6594246309542</v>
      </c>
      <c r="E176" s="396">
        <v>0</v>
      </c>
      <c r="F176" s="396">
        <v>0</v>
      </c>
      <c r="G176" s="396">
        <v>0</v>
      </c>
      <c r="H176" s="419">
        <f t="shared" si="25"/>
        <v>67308.52558293211</v>
      </c>
      <c r="I176" s="420">
        <v>3585.4957380952383</v>
      </c>
      <c r="J176" s="361">
        <f>'B) D RI'!U177</f>
        <v>4066.8729144140357</v>
      </c>
      <c r="K176" s="62">
        <f t="shared" si="32"/>
        <v>18.772446127265276</v>
      </c>
      <c r="L176" s="33">
        <f>'B) D RI'!S177</f>
        <v>70</v>
      </c>
      <c r="M176" s="33">
        <f t="shared" si="27"/>
        <v>51.227553872734724</v>
      </c>
      <c r="N176" s="33">
        <f>'J) Plafonnement effort'!G175+'J) Plafonnement effort'!I175-'K) Plafonnement aide'!I175</f>
        <v>24.026627972599172</v>
      </c>
      <c r="O176" s="126">
        <f t="shared" si="28"/>
        <v>75.254181845333903</v>
      </c>
      <c r="P176" s="47">
        <f t="shared" si="29"/>
        <v>0</v>
      </c>
      <c r="Q176" s="55">
        <f t="shared" si="33"/>
        <v>0</v>
      </c>
      <c r="R176" s="146">
        <f t="shared" si="30"/>
        <v>75.254181845333903</v>
      </c>
      <c r="S176" s="126">
        <f t="shared" si="31"/>
        <v>5.2541818453339033</v>
      </c>
      <c r="T176" s="145">
        <f t="shared" si="26"/>
        <v>0</v>
      </c>
      <c r="V176" s="12"/>
    </row>
    <row r="177" spans="1:22" x14ac:dyDescent="0.25">
      <c r="A177" s="49">
        <f>'A) Base RI'!A178</f>
        <v>5692</v>
      </c>
      <c r="B177" s="357" t="str">
        <f>'A) Base RI'!B178</f>
        <v>Vucherens</v>
      </c>
      <c r="C177" s="419">
        <v>316082.31014141761</v>
      </c>
      <c r="D177" s="419">
        <v>47350.505891311332</v>
      </c>
      <c r="E177" s="396">
        <v>0</v>
      </c>
      <c r="F177" s="396">
        <v>0</v>
      </c>
      <c r="G177" s="396">
        <v>0</v>
      </c>
      <c r="H177" s="419">
        <f t="shared" si="25"/>
        <v>363432.81603272894</v>
      </c>
      <c r="I177" s="420">
        <v>17261.954936708858</v>
      </c>
      <c r="J177" s="361">
        <f>'B) D RI'!U178</f>
        <v>16181.962340912567</v>
      </c>
      <c r="K177" s="62">
        <f t="shared" si="32"/>
        <v>21.053977800617556</v>
      </c>
      <c r="L177" s="33">
        <f>'B) D RI'!S178</f>
        <v>79</v>
      </c>
      <c r="M177" s="33">
        <f t="shared" si="27"/>
        <v>57.94602219938244</v>
      </c>
      <c r="N177" s="33">
        <f>'J) Plafonnement effort'!G176+'J) Plafonnement effort'!I176-'K) Plafonnement aide'!I176</f>
        <v>16.439347343892329</v>
      </c>
      <c r="O177" s="126">
        <f t="shared" si="28"/>
        <v>74.385369543274777</v>
      </c>
      <c r="P177" s="47">
        <f t="shared" si="29"/>
        <v>0</v>
      </c>
      <c r="Q177" s="55">
        <f t="shared" si="33"/>
        <v>0</v>
      </c>
      <c r="R177" s="146">
        <f t="shared" si="30"/>
        <v>74.385369543274777</v>
      </c>
      <c r="S177" s="126">
        <f t="shared" si="31"/>
        <v>-4.614630456725223</v>
      </c>
      <c r="T177" s="145">
        <f t="shared" si="26"/>
        <v>0</v>
      </c>
      <c r="V177" s="12"/>
    </row>
    <row r="178" spans="1:22" x14ac:dyDescent="0.25">
      <c r="A178" s="49">
        <f>'A) Base RI'!A179</f>
        <v>5693</v>
      </c>
      <c r="B178" s="357" t="str">
        <f>'A) Base RI'!B179</f>
        <v>Montanaire</v>
      </c>
      <c r="C178" s="419">
        <v>1335379.0851546582</v>
      </c>
      <c r="D178" s="419">
        <v>-258560.7170606819</v>
      </c>
      <c r="E178" s="396">
        <v>0</v>
      </c>
      <c r="F178" s="396">
        <v>0</v>
      </c>
      <c r="G178" s="396">
        <v>0</v>
      </c>
      <c r="H178" s="419">
        <f t="shared" si="25"/>
        <v>1076818.3680939763</v>
      </c>
      <c r="I178" s="420">
        <v>70163.69902777778</v>
      </c>
      <c r="J178" s="361">
        <f>'B) D RI'!U179</f>
        <v>69189.830336889005</v>
      </c>
      <c r="K178" s="62">
        <f>H178/I178</f>
        <v>15.347229165720929</v>
      </c>
      <c r="L178" s="33">
        <f>'B) D RI'!S179</f>
        <v>72</v>
      </c>
      <c r="M178" s="33">
        <f>L178-K178</f>
        <v>56.652770834279067</v>
      </c>
      <c r="N178" s="33">
        <f>'J) Plafonnement effort'!G177+'J) Plafonnement effort'!I177-'K) Plafonnement aide'!I177</f>
        <v>3.6280893000429106</v>
      </c>
      <c r="O178" s="126">
        <f>M178+N178</f>
        <v>60.280860134321976</v>
      </c>
      <c r="P178" s="47">
        <f t="shared" si="29"/>
        <v>0</v>
      </c>
      <c r="Q178" s="55">
        <f>P178*J178</f>
        <v>0</v>
      </c>
      <c r="R178" s="146">
        <f>O178+P178</f>
        <v>60.280860134321976</v>
      </c>
      <c r="S178" s="126">
        <f>R178-L178</f>
        <v>-11.719139865678024</v>
      </c>
      <c r="T178" s="145">
        <f t="shared" si="26"/>
        <v>0</v>
      </c>
      <c r="V178" s="12"/>
    </row>
    <row r="179" spans="1:22" x14ac:dyDescent="0.25">
      <c r="A179" s="49">
        <f>'A) Base RI'!A180</f>
        <v>5701</v>
      </c>
      <c r="B179" s="357" t="str">
        <f>'A) Base RI'!B180</f>
        <v>Arnex-sur-Nyon</v>
      </c>
      <c r="C179" s="419">
        <v>322018.50784026872</v>
      </c>
      <c r="D179" s="419">
        <v>262233.92805007455</v>
      </c>
      <c r="E179" s="396">
        <v>0</v>
      </c>
      <c r="F179" s="396">
        <v>0</v>
      </c>
      <c r="G179" s="396">
        <v>0</v>
      </c>
      <c r="H179" s="419">
        <f t="shared" si="25"/>
        <v>584252.43589034327</v>
      </c>
      <c r="I179" s="420">
        <v>14485.916142857144</v>
      </c>
      <c r="J179" s="361">
        <f>'B) D RI'!U180</f>
        <v>13494.151628023246</v>
      </c>
      <c r="K179" s="62">
        <f>H179/I179</f>
        <v>40.332446365736565</v>
      </c>
      <c r="L179" s="33">
        <f>'B) D RI'!S180</f>
        <v>70</v>
      </c>
      <c r="M179" s="33">
        <f>L179-K179</f>
        <v>29.667553634263435</v>
      </c>
      <c r="N179" s="33">
        <f>'J) Plafonnement effort'!G178+'J) Plafonnement effort'!I178-'K) Plafonnement aide'!I178</f>
        <v>42.571102744829915</v>
      </c>
      <c r="O179" s="126">
        <f>M179+N179</f>
        <v>72.238656379093356</v>
      </c>
      <c r="P179" s="47">
        <f t="shared" si="29"/>
        <v>0</v>
      </c>
      <c r="Q179" s="55">
        <f>P179*J179</f>
        <v>0</v>
      </c>
      <c r="R179" s="146">
        <f>O179+P179</f>
        <v>72.238656379093356</v>
      </c>
      <c r="S179" s="126">
        <f>R179-L179</f>
        <v>2.2386563790933565</v>
      </c>
      <c r="T179" s="145">
        <f t="shared" si="26"/>
        <v>0</v>
      </c>
      <c r="V179" s="12"/>
    </row>
    <row r="180" spans="1:22" x14ac:dyDescent="0.25">
      <c r="A180" s="49">
        <f>'A) Base RI'!A181</f>
        <v>5702</v>
      </c>
      <c r="B180" s="357" t="str">
        <f>'A) Base RI'!B181</f>
        <v>Arzier-Le Muids</v>
      </c>
      <c r="C180" s="419">
        <v>3569551.6136183292</v>
      </c>
      <c r="D180" s="419">
        <v>2417942.5990359681</v>
      </c>
      <c r="E180" s="396">
        <v>0</v>
      </c>
      <c r="F180" s="396">
        <v>0</v>
      </c>
      <c r="G180" s="396">
        <v>0</v>
      </c>
      <c r="H180" s="419">
        <f t="shared" si="25"/>
        <v>5987494.2126542972</v>
      </c>
      <c r="I180" s="420">
        <v>155554.60781250003</v>
      </c>
      <c r="J180" s="361">
        <f>'B) D RI'!U181</f>
        <v>176187.34911477199</v>
      </c>
      <c r="K180" s="62">
        <f t="shared" si="32"/>
        <v>38.49126873741605</v>
      </c>
      <c r="L180" s="33">
        <f>'B) D RI'!S181</f>
        <v>64</v>
      </c>
      <c r="M180" s="33">
        <f t="shared" si="27"/>
        <v>25.50873126258395</v>
      </c>
      <c r="N180" s="33">
        <f>'J) Plafonnement effort'!G179+'J) Plafonnement effort'!I179-'K) Plafonnement aide'!I179</f>
        <v>39.056156345828441</v>
      </c>
      <c r="O180" s="126">
        <f t="shared" si="28"/>
        <v>64.564887608412391</v>
      </c>
      <c r="P180" s="47">
        <f t="shared" si="29"/>
        <v>0</v>
      </c>
      <c r="Q180" s="55">
        <f t="shared" si="33"/>
        <v>0</v>
      </c>
      <c r="R180" s="146">
        <f t="shared" si="30"/>
        <v>64.564887608412391</v>
      </c>
      <c r="S180" s="126">
        <f t="shared" si="31"/>
        <v>0.56488760841239127</v>
      </c>
      <c r="T180" s="145">
        <f t="shared" si="26"/>
        <v>0</v>
      </c>
      <c r="V180" s="12"/>
    </row>
    <row r="181" spans="1:22" x14ac:dyDescent="0.25">
      <c r="A181" s="49">
        <f>'A) Base RI'!A182</f>
        <v>5703</v>
      </c>
      <c r="B181" s="357" t="str">
        <f>'A) Base RI'!B182</f>
        <v>Bassins</v>
      </c>
      <c r="C181" s="419">
        <v>1106411.9611407816</v>
      </c>
      <c r="D181" s="419">
        <v>784064.24867947772</v>
      </c>
      <c r="E181" s="396">
        <v>0</v>
      </c>
      <c r="F181" s="396">
        <v>0</v>
      </c>
      <c r="G181" s="396">
        <v>0</v>
      </c>
      <c r="H181" s="419">
        <f t="shared" si="25"/>
        <v>1890476.2098202594</v>
      </c>
      <c r="I181" s="420">
        <v>56619.784440154435</v>
      </c>
      <c r="J181" s="361">
        <f>'B) D RI'!U182</f>
        <v>55300.638649310058</v>
      </c>
      <c r="K181" s="62">
        <f t="shared" si="32"/>
        <v>33.388968688470392</v>
      </c>
      <c r="L181" s="33">
        <f>'B) D RI'!S182</f>
        <v>74</v>
      </c>
      <c r="M181" s="33">
        <f t="shared" si="27"/>
        <v>40.611031311529608</v>
      </c>
      <c r="N181" s="33">
        <f>'J) Plafonnement effort'!G180+'J) Plafonnement effort'!I180-'K) Plafonnement aide'!I180</f>
        <v>29.097206795910044</v>
      </c>
      <c r="O181" s="126">
        <f t="shared" si="28"/>
        <v>69.708238107439655</v>
      </c>
      <c r="P181" s="47">
        <f t="shared" si="29"/>
        <v>0</v>
      </c>
      <c r="Q181" s="55">
        <f t="shared" si="33"/>
        <v>0</v>
      </c>
      <c r="R181" s="146">
        <f t="shared" si="30"/>
        <v>69.708238107439655</v>
      </c>
      <c r="S181" s="126">
        <f t="shared" si="31"/>
        <v>-4.2917618925603449</v>
      </c>
      <c r="T181" s="145">
        <f t="shared" si="26"/>
        <v>0</v>
      </c>
      <c r="V181" s="12"/>
    </row>
    <row r="182" spans="1:22" x14ac:dyDescent="0.25">
      <c r="A182" s="49">
        <f>'A) Base RI'!A183</f>
        <v>5704</v>
      </c>
      <c r="B182" s="357" t="str">
        <f>'A) Base RI'!B183</f>
        <v>Begnins</v>
      </c>
      <c r="C182" s="419">
        <v>3166682.1526277023</v>
      </c>
      <c r="D182" s="419">
        <v>2107048.6009247256</v>
      </c>
      <c r="E182" s="396">
        <v>0</v>
      </c>
      <c r="F182" s="396">
        <v>0</v>
      </c>
      <c r="G182" s="396">
        <v>0</v>
      </c>
      <c r="H182" s="419">
        <f t="shared" si="25"/>
        <v>5273730.7535524275</v>
      </c>
      <c r="I182" s="420">
        <v>127181.77029850746</v>
      </c>
      <c r="J182" s="361">
        <f>'B) D RI'!U183</f>
        <v>122435.43857401636</v>
      </c>
      <c r="K182" s="62">
        <f t="shared" si="32"/>
        <v>41.466090157217423</v>
      </c>
      <c r="L182" s="33">
        <f>'B) D RI'!S183</f>
        <v>64</v>
      </c>
      <c r="M182" s="33">
        <f t="shared" si="27"/>
        <v>22.533909842782577</v>
      </c>
      <c r="N182" s="33">
        <f>'J) Plafonnement effort'!G181+'J) Plafonnement effort'!I181-'K) Plafonnement aide'!I181</f>
        <v>41.565703000047996</v>
      </c>
      <c r="O182" s="126">
        <f t="shared" si="28"/>
        <v>64.099612842830567</v>
      </c>
      <c r="P182" s="47">
        <f t="shared" si="29"/>
        <v>0</v>
      </c>
      <c r="Q182" s="55">
        <f t="shared" si="33"/>
        <v>0</v>
      </c>
      <c r="R182" s="146">
        <f t="shared" si="30"/>
        <v>64.099612842830567</v>
      </c>
      <c r="S182" s="126">
        <f t="shared" si="31"/>
        <v>9.9612842830566706E-2</v>
      </c>
      <c r="T182" s="145">
        <f t="shared" si="26"/>
        <v>0</v>
      </c>
      <c r="V182" s="12"/>
    </row>
    <row r="183" spans="1:22" x14ac:dyDescent="0.25">
      <c r="A183" s="49">
        <f>'A) Base RI'!A184</f>
        <v>5705</v>
      </c>
      <c r="B183" s="357" t="str">
        <f>'A) Base RI'!B184</f>
        <v>Bogis-Bossey</v>
      </c>
      <c r="C183" s="419">
        <v>1218249.1672369326</v>
      </c>
      <c r="D183" s="419">
        <v>989715.45103937585</v>
      </c>
      <c r="E183" s="396">
        <v>0</v>
      </c>
      <c r="F183" s="396">
        <v>0</v>
      </c>
      <c r="G183" s="396">
        <v>0</v>
      </c>
      <c r="H183" s="419">
        <f t="shared" si="25"/>
        <v>2207964.6182763083</v>
      </c>
      <c r="I183" s="420">
        <v>54965.953000000009</v>
      </c>
      <c r="J183" s="361">
        <f>'B) D RI'!U184</f>
        <v>49357.057232158906</v>
      </c>
      <c r="K183" s="62">
        <f t="shared" si="32"/>
        <v>40.169677732619462</v>
      </c>
      <c r="L183" s="33">
        <f>'B) D RI'!S184</f>
        <v>70</v>
      </c>
      <c r="M183" s="33">
        <f t="shared" si="27"/>
        <v>29.830322267380538</v>
      </c>
      <c r="N183" s="33">
        <f>'J) Plafonnement effort'!G182+'J) Plafonnement effort'!I182-'K) Plafonnement aide'!I182</f>
        <v>40.417622457561748</v>
      </c>
      <c r="O183" s="126">
        <f t="shared" si="28"/>
        <v>70.247944724942286</v>
      </c>
      <c r="P183" s="47">
        <f t="shared" si="29"/>
        <v>0</v>
      </c>
      <c r="Q183" s="55">
        <f t="shared" si="33"/>
        <v>0</v>
      </c>
      <c r="R183" s="146">
        <f t="shared" si="30"/>
        <v>70.247944724942286</v>
      </c>
      <c r="S183" s="126">
        <f t="shared" si="31"/>
        <v>0.24794472494228614</v>
      </c>
      <c r="T183" s="145">
        <f t="shared" si="26"/>
        <v>0</v>
      </c>
      <c r="V183" s="12"/>
    </row>
    <row r="184" spans="1:22" x14ac:dyDescent="0.25">
      <c r="A184" s="49">
        <f>'A) Base RI'!A185</f>
        <v>5706</v>
      </c>
      <c r="B184" s="357" t="str">
        <f>'A) Base RI'!B185</f>
        <v>Borex</v>
      </c>
      <c r="C184" s="419">
        <v>1619081.8615500154</v>
      </c>
      <c r="D184" s="419">
        <v>1270963.5902688452</v>
      </c>
      <c r="E184" s="396">
        <v>0</v>
      </c>
      <c r="F184" s="396">
        <v>0</v>
      </c>
      <c r="G184" s="396">
        <v>0</v>
      </c>
      <c r="H184" s="419">
        <f t="shared" si="25"/>
        <v>2890045.4518188606</v>
      </c>
      <c r="I184" s="420">
        <v>71857.063735632182</v>
      </c>
      <c r="J184" s="361">
        <f>'B) D RI'!U185</f>
        <v>70814.792156181808</v>
      </c>
      <c r="K184" s="62">
        <f t="shared" si="32"/>
        <v>40.21936468837032</v>
      </c>
      <c r="L184" s="33">
        <f>'B) D RI'!S185</f>
        <v>58</v>
      </c>
      <c r="M184" s="33">
        <f t="shared" si="27"/>
        <v>17.78063531162968</v>
      </c>
      <c r="N184" s="33">
        <f>'J) Plafonnement effort'!G183+'J) Plafonnement effort'!I183-'K) Plafonnement aide'!I183</f>
        <v>39.181435094252819</v>
      </c>
      <c r="O184" s="126">
        <f t="shared" si="28"/>
        <v>56.9620704058825</v>
      </c>
      <c r="P184" s="47">
        <f t="shared" si="29"/>
        <v>0</v>
      </c>
      <c r="Q184" s="55">
        <f t="shared" si="33"/>
        <v>0</v>
      </c>
      <c r="R184" s="146">
        <f t="shared" si="30"/>
        <v>56.9620704058825</v>
      </c>
      <c r="S184" s="126">
        <f t="shared" si="31"/>
        <v>-1.0379295941175002</v>
      </c>
      <c r="T184" s="145">
        <f t="shared" si="26"/>
        <v>0</v>
      </c>
      <c r="V184" s="12"/>
    </row>
    <row r="185" spans="1:22" x14ac:dyDescent="0.25">
      <c r="A185" s="49">
        <f>'A) Base RI'!A186</f>
        <v>5707</v>
      </c>
      <c r="B185" s="357" t="str">
        <f>'A) Base RI'!B186</f>
        <v>Chavannes-de-Bogis</v>
      </c>
      <c r="C185" s="419">
        <v>2017191.8883174914</v>
      </c>
      <c r="D185" s="419">
        <v>1459019.0126794968</v>
      </c>
      <c r="E185" s="396">
        <v>0</v>
      </c>
      <c r="F185" s="396">
        <v>0</v>
      </c>
      <c r="G185" s="396">
        <v>0</v>
      </c>
      <c r="H185" s="419">
        <f t="shared" si="25"/>
        <v>3476210.9009969882</v>
      </c>
      <c r="I185" s="420">
        <v>84087.690451977411</v>
      </c>
      <c r="J185" s="361">
        <f>'B) D RI'!U186</f>
        <v>74977.772605941107</v>
      </c>
      <c r="K185" s="62">
        <f t="shared" si="32"/>
        <v>41.340306557500909</v>
      </c>
      <c r="L185" s="33">
        <f>'B) D RI'!S186</f>
        <v>59</v>
      </c>
      <c r="M185" s="33">
        <f t="shared" si="27"/>
        <v>17.659693442499091</v>
      </c>
      <c r="N185" s="33">
        <f>'J) Plafonnement effort'!G184+'J) Plafonnement effort'!I184-'K) Plafonnement aide'!I184</f>
        <v>41.822967503203429</v>
      </c>
      <c r="O185" s="126">
        <f t="shared" si="28"/>
        <v>59.48266094570252</v>
      </c>
      <c r="P185" s="47">
        <f t="shared" si="29"/>
        <v>0</v>
      </c>
      <c r="Q185" s="55">
        <f t="shared" si="33"/>
        <v>0</v>
      </c>
      <c r="R185" s="146">
        <f t="shared" si="30"/>
        <v>59.48266094570252</v>
      </c>
      <c r="S185" s="126">
        <f t="shared" si="31"/>
        <v>0.48266094570251994</v>
      </c>
      <c r="T185" s="145">
        <f t="shared" si="26"/>
        <v>0</v>
      </c>
      <c r="V185" s="12"/>
    </row>
    <row r="186" spans="1:22" x14ac:dyDescent="0.25">
      <c r="A186" s="49">
        <f>'A) Base RI'!A187</f>
        <v>5708</v>
      </c>
      <c r="B186" s="357" t="str">
        <f>'A) Base RI'!B187</f>
        <v>Chavannes-des-Bois</v>
      </c>
      <c r="C186" s="419">
        <v>1170449.8030250445</v>
      </c>
      <c r="D186" s="419">
        <v>1035485.7899921178</v>
      </c>
      <c r="E186" s="396">
        <v>0</v>
      </c>
      <c r="F186" s="396">
        <v>0</v>
      </c>
      <c r="G186" s="396">
        <v>0</v>
      </c>
      <c r="H186" s="419">
        <f t="shared" si="25"/>
        <v>2205935.5930171623</v>
      </c>
      <c r="I186" s="420">
        <v>57555.435593220333</v>
      </c>
      <c r="J186" s="361">
        <f>'B) D RI'!U187</f>
        <v>57043.960322475032</v>
      </c>
      <c r="K186" s="62">
        <f t="shared" si="32"/>
        <v>38.327146172741458</v>
      </c>
      <c r="L186" s="33">
        <f>'B) D RI'!S187</f>
        <v>63</v>
      </c>
      <c r="M186" s="33">
        <f t="shared" si="27"/>
        <v>24.672853827258542</v>
      </c>
      <c r="N186" s="33">
        <f>'J) Plafonnement effort'!G185+'J) Plafonnement effort'!I185-'K) Plafonnement aide'!I185</f>
        <v>40.211046766679615</v>
      </c>
      <c r="O186" s="126">
        <f t="shared" si="28"/>
        <v>64.883900593938165</v>
      </c>
      <c r="P186" s="47">
        <f t="shared" si="29"/>
        <v>0</v>
      </c>
      <c r="Q186" s="55">
        <f t="shared" si="33"/>
        <v>0</v>
      </c>
      <c r="R186" s="146">
        <f t="shared" si="30"/>
        <v>64.883900593938165</v>
      </c>
      <c r="S186" s="126">
        <f t="shared" si="31"/>
        <v>1.883900593938165</v>
      </c>
      <c r="T186" s="145">
        <f t="shared" si="26"/>
        <v>0</v>
      </c>
      <c r="V186" s="12"/>
    </row>
    <row r="187" spans="1:22" x14ac:dyDescent="0.25">
      <c r="A187" s="49">
        <f>'A) Base RI'!A188</f>
        <v>5709</v>
      </c>
      <c r="B187" s="357" t="str">
        <f>'A) Base RI'!B188</f>
        <v>Chéserex</v>
      </c>
      <c r="C187" s="419">
        <v>2354807.8413120038</v>
      </c>
      <c r="D187" s="419">
        <v>1334267.6431582891</v>
      </c>
      <c r="E187" s="396">
        <v>0</v>
      </c>
      <c r="F187" s="396">
        <v>-240851.72131239821</v>
      </c>
      <c r="G187" s="396">
        <v>0</v>
      </c>
      <c r="H187" s="419">
        <f t="shared" si="25"/>
        <v>3448223.7631578948</v>
      </c>
      <c r="I187" s="420">
        <v>76627.19473684211</v>
      </c>
      <c r="J187" s="361">
        <f>'B) D RI'!U188</f>
        <v>106115.90679849937</v>
      </c>
      <c r="K187" s="62">
        <f t="shared" si="32"/>
        <v>45</v>
      </c>
      <c r="L187" s="33">
        <f>'B) D RI'!S188</f>
        <v>57</v>
      </c>
      <c r="M187" s="33">
        <f t="shared" si="27"/>
        <v>12</v>
      </c>
      <c r="N187" s="33">
        <f>'J) Plafonnement effort'!G186+'J) Plafonnement effort'!I186-'K) Plafonnement aide'!I186</f>
        <v>44.487471542382039</v>
      </c>
      <c r="O187" s="126">
        <f t="shared" si="28"/>
        <v>56.487471542382039</v>
      </c>
      <c r="P187" s="47">
        <f t="shared" si="29"/>
        <v>0</v>
      </c>
      <c r="Q187" s="55">
        <f t="shared" si="33"/>
        <v>0</v>
      </c>
      <c r="R187" s="146">
        <f t="shared" si="30"/>
        <v>56.487471542382039</v>
      </c>
      <c r="S187" s="126">
        <f t="shared" si="31"/>
        <v>-0.51252845761796095</v>
      </c>
      <c r="T187" s="145">
        <f t="shared" si="26"/>
        <v>0</v>
      </c>
      <c r="V187" s="12"/>
    </row>
    <row r="188" spans="1:22" x14ac:dyDescent="0.25">
      <c r="A188" s="49">
        <f>'A) Base RI'!A189</f>
        <v>5710</v>
      </c>
      <c r="B188" s="357" t="str">
        <f>'A) Base RI'!B189</f>
        <v>Coinsins</v>
      </c>
      <c r="C188" s="419">
        <v>3329147.290668848</v>
      </c>
      <c r="D188" s="419">
        <v>1806479.2907818607</v>
      </c>
      <c r="E188" s="396">
        <v>0</v>
      </c>
      <c r="F188" s="396">
        <v>-939138.69027423731</v>
      </c>
      <c r="G188" s="396">
        <v>0</v>
      </c>
      <c r="H188" s="419">
        <f t="shared" si="25"/>
        <v>4196487.8911764706</v>
      </c>
      <c r="I188" s="420">
        <v>93255.286470588253</v>
      </c>
      <c r="J188" s="361">
        <f>'B) D RI'!U189</f>
        <v>136110.49360949438</v>
      </c>
      <c r="K188" s="62">
        <f t="shared" si="32"/>
        <v>44.999999999999993</v>
      </c>
      <c r="L188" s="33">
        <f>'B) D RI'!S189</f>
        <v>51</v>
      </c>
      <c r="M188" s="33">
        <f t="shared" si="27"/>
        <v>6.0000000000000071</v>
      </c>
      <c r="N188" s="33">
        <f>'J) Plafonnement effort'!G187+'J) Plafonnement effort'!I187-'K) Plafonnement aide'!I187</f>
        <v>48.443729453904403</v>
      </c>
      <c r="O188" s="126">
        <f t="shared" si="28"/>
        <v>54.44372945390441</v>
      </c>
      <c r="P188" s="47">
        <f t="shared" si="29"/>
        <v>0</v>
      </c>
      <c r="Q188" s="55">
        <f t="shared" si="33"/>
        <v>0</v>
      </c>
      <c r="R188" s="146">
        <f t="shared" si="30"/>
        <v>54.44372945390441</v>
      </c>
      <c r="S188" s="126">
        <f t="shared" si="31"/>
        <v>3.4437294539044103</v>
      </c>
      <c r="T188" s="145">
        <f t="shared" si="26"/>
        <v>0</v>
      </c>
      <c r="V188" s="12"/>
    </row>
    <row r="189" spans="1:22" x14ac:dyDescent="0.25">
      <c r="A189" s="49">
        <f>'A) Base RI'!A190</f>
        <v>5711</v>
      </c>
      <c r="B189" s="357" t="str">
        <f>'A) Base RI'!B190</f>
        <v>Commugny</v>
      </c>
      <c r="C189" s="419">
        <v>6828547.9548181035</v>
      </c>
      <c r="D189" s="419">
        <v>4291659.6924467748</v>
      </c>
      <c r="E189" s="396">
        <v>0</v>
      </c>
      <c r="F189" s="396">
        <v>0</v>
      </c>
      <c r="G189" s="396">
        <v>0</v>
      </c>
      <c r="H189" s="419">
        <f t="shared" si="25"/>
        <v>11120207.647264879</v>
      </c>
      <c r="I189" s="420">
        <v>252725.09392712548</v>
      </c>
      <c r="J189" s="361">
        <f>'B) D RI'!U190</f>
        <v>277708.93037627928</v>
      </c>
      <c r="K189" s="62">
        <f t="shared" si="32"/>
        <v>44.001200966895063</v>
      </c>
      <c r="L189" s="33">
        <f>'B) D RI'!S190</f>
        <v>57</v>
      </c>
      <c r="M189" s="33">
        <f t="shared" si="27"/>
        <v>12.998799033104937</v>
      </c>
      <c r="N189" s="33">
        <f>'J) Plafonnement effort'!G188+'J) Plafonnement effort'!I188-'K) Plafonnement aide'!I188</f>
        <v>46.051474930175196</v>
      </c>
      <c r="O189" s="126">
        <f t="shared" si="28"/>
        <v>59.050273963280134</v>
      </c>
      <c r="P189" s="47">
        <f t="shared" si="29"/>
        <v>0</v>
      </c>
      <c r="Q189" s="55">
        <f t="shared" si="33"/>
        <v>0</v>
      </c>
      <c r="R189" s="146">
        <f t="shared" si="30"/>
        <v>59.050273963280134</v>
      </c>
      <c r="S189" s="126">
        <f t="shared" si="31"/>
        <v>2.0502739632801337</v>
      </c>
      <c r="T189" s="145">
        <f t="shared" si="26"/>
        <v>0</v>
      </c>
      <c r="V189" s="12"/>
    </row>
    <row r="190" spans="1:22" x14ac:dyDescent="0.25">
      <c r="A190" s="49">
        <f>'A) Base RI'!A191</f>
        <v>5712</v>
      </c>
      <c r="B190" s="357" t="str">
        <f>'A) Base RI'!B191</f>
        <v>Coppet</v>
      </c>
      <c r="C190" s="419">
        <v>9853905.2615679409</v>
      </c>
      <c r="D190" s="419">
        <v>5629359.8948136186</v>
      </c>
      <c r="E190" s="396">
        <v>0</v>
      </c>
      <c r="F190" s="396">
        <v>-855626.09034382447</v>
      </c>
      <c r="G190" s="396">
        <v>0</v>
      </c>
      <c r="H190" s="419">
        <f t="shared" si="25"/>
        <v>14627639.066037735</v>
      </c>
      <c r="I190" s="420">
        <v>325058.64591194969</v>
      </c>
      <c r="J190" s="361">
        <f>'B) D RI'!U191</f>
        <v>337534.69243130391</v>
      </c>
      <c r="K190" s="62">
        <f t="shared" si="32"/>
        <v>45</v>
      </c>
      <c r="L190" s="33">
        <f>'B) D RI'!S191</f>
        <v>53</v>
      </c>
      <c r="M190" s="33">
        <f t="shared" si="27"/>
        <v>8</v>
      </c>
      <c r="N190" s="33">
        <f>'J) Plafonnement effort'!G189+'J) Plafonnement effort'!I189-'K) Plafonnement aide'!I189</f>
        <v>50.639807208737935</v>
      </c>
      <c r="O190" s="126">
        <f t="shared" si="28"/>
        <v>58.639807208737935</v>
      </c>
      <c r="P190" s="47">
        <f t="shared" si="29"/>
        <v>0</v>
      </c>
      <c r="Q190" s="55">
        <f t="shared" si="33"/>
        <v>0</v>
      </c>
      <c r="R190" s="146">
        <f t="shared" si="30"/>
        <v>58.639807208737935</v>
      </c>
      <c r="S190" s="126">
        <f t="shared" si="31"/>
        <v>5.6398072087379347</v>
      </c>
      <c r="T190" s="145">
        <f t="shared" si="26"/>
        <v>0</v>
      </c>
      <c r="V190" s="12"/>
    </row>
    <row r="191" spans="1:22" x14ac:dyDescent="0.25">
      <c r="A191" s="49">
        <f>'A) Base RI'!A192</f>
        <v>5713</v>
      </c>
      <c r="B191" s="357" t="str">
        <f>'A) Base RI'!B192</f>
        <v>Crans-près-Céligny</v>
      </c>
      <c r="C191" s="419">
        <v>7104578.1102118753</v>
      </c>
      <c r="D191" s="419">
        <v>4252110.302078709</v>
      </c>
      <c r="E191" s="396">
        <v>0</v>
      </c>
      <c r="F191" s="396">
        <v>-602479.4698377538</v>
      </c>
      <c r="G191" s="396">
        <v>0</v>
      </c>
      <c r="H191" s="419">
        <f t="shared" si="25"/>
        <v>10754208.942452831</v>
      </c>
      <c r="I191" s="420">
        <v>238982.42094339622</v>
      </c>
      <c r="J191" s="361">
        <f>'B) D RI'!U192</f>
        <v>273158.77225218777</v>
      </c>
      <c r="K191" s="62">
        <f t="shared" si="32"/>
        <v>45.000000000000007</v>
      </c>
      <c r="L191" s="33">
        <f>'B) D RI'!S192</f>
        <v>53</v>
      </c>
      <c r="M191" s="33">
        <f t="shared" si="27"/>
        <v>7.9999999999999929</v>
      </c>
      <c r="N191" s="33">
        <f>'J) Plafonnement effort'!G190+'J) Plafonnement effort'!I190-'K) Plafonnement aide'!I190</f>
        <v>49.936915995311168</v>
      </c>
      <c r="O191" s="126">
        <f t="shared" si="28"/>
        <v>57.936915995311161</v>
      </c>
      <c r="P191" s="47">
        <f t="shared" si="29"/>
        <v>0</v>
      </c>
      <c r="Q191" s="55">
        <f t="shared" si="33"/>
        <v>0</v>
      </c>
      <c r="R191" s="146">
        <f t="shared" si="30"/>
        <v>57.936915995311161</v>
      </c>
      <c r="S191" s="126">
        <f t="shared" si="31"/>
        <v>4.9369159953111605</v>
      </c>
      <c r="T191" s="145">
        <f t="shared" si="26"/>
        <v>0</v>
      </c>
      <c r="V191" s="12"/>
    </row>
    <row r="192" spans="1:22" x14ac:dyDescent="0.25">
      <c r="A192" s="49">
        <f>'A) Base RI'!A193</f>
        <v>5714</v>
      </c>
      <c r="B192" s="357" t="str">
        <f>'A) Base RI'!B193</f>
        <v>Crassier</v>
      </c>
      <c r="C192" s="419">
        <v>2032385.431599539</v>
      </c>
      <c r="D192" s="419">
        <v>1449423.019701031</v>
      </c>
      <c r="E192" s="396">
        <v>0</v>
      </c>
      <c r="F192" s="396">
        <v>0</v>
      </c>
      <c r="G192" s="396">
        <v>0</v>
      </c>
      <c r="H192" s="419">
        <f t="shared" si="25"/>
        <v>3481808.4513005698</v>
      </c>
      <c r="I192" s="420">
        <v>81379.304374999992</v>
      </c>
      <c r="J192" s="361">
        <f>'B) D RI'!U193</f>
        <v>74464.147646326936</v>
      </c>
      <c r="K192" s="62">
        <f t="shared" si="32"/>
        <v>42.784937497821545</v>
      </c>
      <c r="L192" s="33">
        <f>'B) D RI'!S193</f>
        <v>64</v>
      </c>
      <c r="M192" s="33">
        <f t="shared" si="27"/>
        <v>21.215062502178455</v>
      </c>
      <c r="N192" s="33">
        <f>'J) Plafonnement effort'!G191+'J) Plafonnement effort'!I191-'K) Plafonnement aide'!I191</f>
        <v>40.09716099515542</v>
      </c>
      <c r="O192" s="126">
        <f t="shared" si="28"/>
        <v>61.312223497333875</v>
      </c>
      <c r="P192" s="47">
        <f t="shared" si="29"/>
        <v>0</v>
      </c>
      <c r="Q192" s="55">
        <f t="shared" si="33"/>
        <v>0</v>
      </c>
      <c r="R192" s="146">
        <f t="shared" si="30"/>
        <v>61.312223497333875</v>
      </c>
      <c r="S192" s="126">
        <f t="shared" si="31"/>
        <v>-2.6877765026661251</v>
      </c>
      <c r="T192" s="145">
        <f t="shared" si="26"/>
        <v>0</v>
      </c>
      <c r="V192" s="12"/>
    </row>
    <row r="193" spans="1:22" x14ac:dyDescent="0.25">
      <c r="A193" s="49">
        <f>'A) Base RI'!A194</f>
        <v>5715</v>
      </c>
      <c r="B193" s="357" t="str">
        <f>'A) Base RI'!B194</f>
        <v>Duillier</v>
      </c>
      <c r="C193" s="419">
        <v>1150923.2818279192</v>
      </c>
      <c r="D193" s="419">
        <v>1034681.6024535872</v>
      </c>
      <c r="E193" s="396">
        <v>0</v>
      </c>
      <c r="F193" s="396">
        <v>0</v>
      </c>
      <c r="G193" s="396">
        <v>0</v>
      </c>
      <c r="H193" s="419">
        <f t="shared" si="25"/>
        <v>2185604.8842815063</v>
      </c>
      <c r="I193" s="420">
        <v>59220.850303030304</v>
      </c>
      <c r="J193" s="361">
        <f>'B) D RI'!U194</f>
        <v>77556.587804651164</v>
      </c>
      <c r="K193" s="62">
        <f t="shared" si="32"/>
        <v>36.9060030900919</v>
      </c>
      <c r="L193" s="33">
        <f>'B) D RI'!S194</f>
        <v>66</v>
      </c>
      <c r="M193" s="33">
        <f t="shared" si="27"/>
        <v>29.0939969099081</v>
      </c>
      <c r="N193" s="33">
        <f>'J) Plafonnement effort'!G192+'J) Plafonnement effort'!I192-'K) Plafonnement aide'!I192</f>
        <v>44.454861295759386</v>
      </c>
      <c r="O193" s="126">
        <f t="shared" si="28"/>
        <v>73.548858205667486</v>
      </c>
      <c r="P193" s="47">
        <f t="shared" si="29"/>
        <v>0</v>
      </c>
      <c r="Q193" s="55">
        <f t="shared" si="33"/>
        <v>0</v>
      </c>
      <c r="R193" s="146">
        <f t="shared" si="30"/>
        <v>73.548858205667486</v>
      </c>
      <c r="S193" s="126">
        <f t="shared" si="31"/>
        <v>7.5488582056674858</v>
      </c>
      <c r="T193" s="145">
        <f t="shared" si="26"/>
        <v>0</v>
      </c>
      <c r="V193" s="12"/>
    </row>
    <row r="194" spans="1:22" x14ac:dyDescent="0.25">
      <c r="A194" s="49">
        <f>'A) Base RI'!A195</f>
        <v>5716</v>
      </c>
      <c r="B194" s="357" t="str">
        <f>'A) Base RI'!B195</f>
        <v>Eysins</v>
      </c>
      <c r="C194" s="419">
        <v>3391323.9790300475</v>
      </c>
      <c r="D194" s="419">
        <v>2152567.2373319301</v>
      </c>
      <c r="E194" s="396">
        <v>0</v>
      </c>
      <c r="F194" s="396">
        <v>0</v>
      </c>
      <c r="G194" s="396">
        <v>0</v>
      </c>
      <c r="H194" s="419">
        <f t="shared" si="25"/>
        <v>5543891.2163619772</v>
      </c>
      <c r="I194" s="420">
        <v>124151.91836065573</v>
      </c>
      <c r="J194" s="361">
        <f>'B) D RI'!U195</f>
        <v>177981.86327972834</v>
      </c>
      <c r="K194" s="62">
        <f t="shared" si="32"/>
        <v>44.654092257013886</v>
      </c>
      <c r="L194" s="33">
        <f>'B) D RI'!S195</f>
        <v>61</v>
      </c>
      <c r="M194" s="33">
        <f t="shared" si="27"/>
        <v>16.345907742986114</v>
      </c>
      <c r="N194" s="33">
        <f>'J) Plafonnement effort'!G193+'J) Plafonnement effort'!I193-'K) Plafonnement aide'!I193</f>
        <v>50.120909875856086</v>
      </c>
      <c r="O194" s="126">
        <f t="shared" si="28"/>
        <v>66.4668176188422</v>
      </c>
      <c r="P194" s="47">
        <f t="shared" si="29"/>
        <v>0</v>
      </c>
      <c r="Q194" s="55">
        <f t="shared" si="33"/>
        <v>0</v>
      </c>
      <c r="R194" s="146">
        <f t="shared" si="30"/>
        <v>66.4668176188422</v>
      </c>
      <c r="S194" s="126">
        <f t="shared" si="31"/>
        <v>5.4668176188421995</v>
      </c>
      <c r="T194" s="145">
        <f t="shared" si="26"/>
        <v>0</v>
      </c>
      <c r="V194" s="12"/>
    </row>
    <row r="195" spans="1:22" x14ac:dyDescent="0.25">
      <c r="A195" s="49">
        <f>'A) Base RI'!A196</f>
        <v>5717</v>
      </c>
      <c r="B195" s="357" t="str">
        <f>'A) Base RI'!B196</f>
        <v>Founex</v>
      </c>
      <c r="C195" s="419">
        <v>9631199.7575776074</v>
      </c>
      <c r="D195" s="419">
        <v>5586732.4807686768</v>
      </c>
      <c r="E195" s="396">
        <v>0</v>
      </c>
      <c r="F195" s="396">
        <v>0</v>
      </c>
      <c r="G195" s="396">
        <v>0</v>
      </c>
      <c r="H195" s="419">
        <f t="shared" si="25"/>
        <v>15217932.238346284</v>
      </c>
      <c r="I195" s="420">
        <v>339342.81578947371</v>
      </c>
      <c r="J195" s="361">
        <f>'B) D RI'!U196</f>
        <v>372726.48546710185</v>
      </c>
      <c r="K195" s="62">
        <f t="shared" si="32"/>
        <v>44.845305485375</v>
      </c>
      <c r="L195" s="33">
        <f>'B) D RI'!S196</f>
        <v>57</v>
      </c>
      <c r="M195" s="33">
        <f t="shared" si="27"/>
        <v>12.154694514625</v>
      </c>
      <c r="N195" s="33">
        <f>'J) Plafonnement effort'!G194+'J) Plafonnement effort'!I194-'K) Plafonnement aide'!I194</f>
        <v>45.144737697946908</v>
      </c>
      <c r="O195" s="126">
        <f t="shared" si="28"/>
        <v>57.299432212571908</v>
      </c>
      <c r="P195" s="47">
        <f t="shared" si="29"/>
        <v>0</v>
      </c>
      <c r="Q195" s="55">
        <f t="shared" si="33"/>
        <v>0</v>
      </c>
      <c r="R195" s="146">
        <f t="shared" si="30"/>
        <v>57.299432212571908</v>
      </c>
      <c r="S195" s="126">
        <f t="shared" si="31"/>
        <v>0.299432212571908</v>
      </c>
      <c r="T195" s="145">
        <f t="shared" si="26"/>
        <v>0</v>
      </c>
      <c r="V195" s="12"/>
    </row>
    <row r="196" spans="1:22" x14ac:dyDescent="0.25">
      <c r="A196" s="49">
        <f>'A) Base RI'!A197</f>
        <v>5718</v>
      </c>
      <c r="B196" s="357" t="str">
        <f>'A) Base RI'!B197</f>
        <v>Genolier</v>
      </c>
      <c r="C196" s="419">
        <v>4915090.4186433237</v>
      </c>
      <c r="D196" s="419">
        <v>3085366.8122931449</v>
      </c>
      <c r="E196" s="396">
        <v>0</v>
      </c>
      <c r="F196" s="396">
        <v>-50196.88275464849</v>
      </c>
      <c r="G196" s="396">
        <v>0</v>
      </c>
      <c r="H196" s="419">
        <f t="shared" si="25"/>
        <v>7950260.3481818205</v>
      </c>
      <c r="I196" s="420">
        <v>176672.45218181823</v>
      </c>
      <c r="J196" s="361">
        <f>'B) D RI'!U197</f>
        <v>170666.41821719555</v>
      </c>
      <c r="K196" s="62">
        <f t="shared" si="32"/>
        <v>45</v>
      </c>
      <c r="L196" s="33">
        <f>'B) D RI'!S197</f>
        <v>55</v>
      </c>
      <c r="M196" s="33">
        <f t="shared" si="27"/>
        <v>10</v>
      </c>
      <c r="N196" s="33">
        <f>'J) Plafonnement effort'!G195+'J) Plafonnement effort'!I195-'K) Plafonnement aide'!I195</f>
        <v>46.025566661764501</v>
      </c>
      <c r="O196" s="126">
        <f t="shared" si="28"/>
        <v>56.025566661764501</v>
      </c>
      <c r="P196" s="47">
        <f t="shared" si="29"/>
        <v>0</v>
      </c>
      <c r="Q196" s="55">
        <f t="shared" si="33"/>
        <v>0</v>
      </c>
      <c r="R196" s="146">
        <f t="shared" si="30"/>
        <v>56.025566661764501</v>
      </c>
      <c r="S196" s="126">
        <f t="shared" si="31"/>
        <v>1.0255666617645005</v>
      </c>
      <c r="T196" s="145">
        <f t="shared" si="26"/>
        <v>0</v>
      </c>
      <c r="V196" s="12"/>
    </row>
    <row r="197" spans="1:22" x14ac:dyDescent="0.25">
      <c r="A197" s="49">
        <f>'A) Base RI'!A198</f>
        <v>5719</v>
      </c>
      <c r="B197" s="357" t="str">
        <f>'A) Base RI'!B198</f>
        <v>Gingins</v>
      </c>
      <c r="C197" s="419">
        <v>4084777.6574327904</v>
      </c>
      <c r="D197" s="419">
        <v>2421315.9774776418</v>
      </c>
      <c r="E197" s="396">
        <v>0</v>
      </c>
      <c r="F197" s="396">
        <v>-618951.95596306433</v>
      </c>
      <c r="G197" s="396">
        <v>0</v>
      </c>
      <c r="H197" s="419">
        <f t="shared" si="25"/>
        <v>5887141.6789473686</v>
      </c>
      <c r="I197" s="420">
        <v>130825.37064327484</v>
      </c>
      <c r="J197" s="361">
        <f>'B) D RI'!U198</f>
        <v>110505.6531809626</v>
      </c>
      <c r="K197" s="62">
        <f t="shared" si="32"/>
        <v>45.000000000000007</v>
      </c>
      <c r="L197" s="33">
        <f>'B) D RI'!S198</f>
        <v>57</v>
      </c>
      <c r="M197" s="33">
        <f t="shared" si="27"/>
        <v>11.999999999999993</v>
      </c>
      <c r="N197" s="33">
        <f>'J) Plafonnement effort'!G196+'J) Plafonnement effort'!I196-'K) Plafonnement aide'!I196</f>
        <v>47.4859918049806</v>
      </c>
      <c r="O197" s="126">
        <f t="shared" si="28"/>
        <v>59.485991804980593</v>
      </c>
      <c r="P197" s="47">
        <f t="shared" si="29"/>
        <v>0</v>
      </c>
      <c r="Q197" s="55">
        <f t="shared" si="33"/>
        <v>0</v>
      </c>
      <c r="R197" s="146">
        <f t="shared" si="30"/>
        <v>59.485991804980593</v>
      </c>
      <c r="S197" s="126">
        <f t="shared" si="31"/>
        <v>2.4859918049805927</v>
      </c>
      <c r="T197" s="145">
        <f t="shared" si="26"/>
        <v>0</v>
      </c>
      <c r="V197" s="12"/>
    </row>
    <row r="198" spans="1:22" x14ac:dyDescent="0.25">
      <c r="A198" s="49">
        <f>'A) Base RI'!A199</f>
        <v>5720</v>
      </c>
      <c r="B198" s="357" t="str">
        <f>'A) Base RI'!B199</f>
        <v>Givrins</v>
      </c>
      <c r="C198" s="419">
        <v>1706637.1026934036</v>
      </c>
      <c r="D198" s="419">
        <v>1330876.5419843728</v>
      </c>
      <c r="E198" s="396">
        <v>0</v>
      </c>
      <c r="F198" s="396">
        <v>0</v>
      </c>
      <c r="G198" s="396">
        <v>0</v>
      </c>
      <c r="H198" s="419">
        <f t="shared" si="25"/>
        <v>3037513.6446777764</v>
      </c>
      <c r="I198" s="420">
        <v>72642.976593806918</v>
      </c>
      <c r="J198" s="361">
        <f>'B) D RI'!U199</f>
        <v>66980.280368955675</v>
      </c>
      <c r="K198" s="62">
        <f t="shared" si="32"/>
        <v>41.81427836668157</v>
      </c>
      <c r="L198" s="33">
        <f>'B) D RI'!S199</f>
        <v>67</v>
      </c>
      <c r="M198" s="33">
        <f t="shared" si="27"/>
        <v>25.18572163331843</v>
      </c>
      <c r="N198" s="33">
        <f>'J) Plafonnement effort'!G197+'J) Plafonnement effort'!I197-'K) Plafonnement aide'!I197</f>
        <v>40.938100475857851</v>
      </c>
      <c r="O198" s="126">
        <f t="shared" si="28"/>
        <v>66.123822109176274</v>
      </c>
      <c r="P198" s="47">
        <f t="shared" si="29"/>
        <v>0</v>
      </c>
      <c r="Q198" s="55">
        <f t="shared" si="33"/>
        <v>0</v>
      </c>
      <c r="R198" s="146">
        <f t="shared" si="30"/>
        <v>66.123822109176274</v>
      </c>
      <c r="S198" s="126">
        <f t="shared" si="31"/>
        <v>-0.8761778908237261</v>
      </c>
      <c r="T198" s="145">
        <f t="shared" si="26"/>
        <v>0</v>
      </c>
      <c r="V198" s="12"/>
    </row>
    <row r="199" spans="1:22" x14ac:dyDescent="0.25">
      <c r="A199" s="49">
        <f>'A) Base RI'!A200</f>
        <v>5721</v>
      </c>
      <c r="B199" s="357" t="str">
        <f>'A) Base RI'!B200</f>
        <v>Gland</v>
      </c>
      <c r="C199" s="419">
        <v>13456280.382098524</v>
      </c>
      <c r="D199" s="419">
        <v>4230537.6630202103</v>
      </c>
      <c r="E199" s="396">
        <v>0</v>
      </c>
      <c r="F199" s="396">
        <v>0</v>
      </c>
      <c r="G199" s="396">
        <v>0</v>
      </c>
      <c r="H199" s="419">
        <f t="shared" ref="H199:H262" si="41">SUM(C199:G199)</f>
        <v>17686818.045118734</v>
      </c>
      <c r="I199" s="420">
        <v>599217.55248000007</v>
      </c>
      <c r="J199" s="361">
        <f>'B) D RI'!U200</f>
        <v>636120.41665849148</v>
      </c>
      <c r="K199" s="62">
        <f t="shared" si="32"/>
        <v>29.516521957539055</v>
      </c>
      <c r="L199" s="33">
        <f>'B) D RI'!S200</f>
        <v>62.5</v>
      </c>
      <c r="M199" s="33">
        <f t="shared" si="27"/>
        <v>32.983478042460945</v>
      </c>
      <c r="N199" s="33">
        <f>'J) Plafonnement effort'!G198+'J) Plafonnement effort'!I198-'K) Plafonnement aide'!I198</f>
        <v>27.555461606930272</v>
      </c>
      <c r="O199" s="126">
        <f t="shared" si="28"/>
        <v>60.538939649391217</v>
      </c>
      <c r="P199" s="47">
        <f t="shared" si="29"/>
        <v>0</v>
      </c>
      <c r="Q199" s="55">
        <f t="shared" si="33"/>
        <v>0</v>
      </c>
      <c r="R199" s="146">
        <f t="shared" si="30"/>
        <v>60.538939649391217</v>
      </c>
      <c r="S199" s="126">
        <f t="shared" si="31"/>
        <v>-1.9610603506087827</v>
      </c>
      <c r="T199" s="145">
        <f t="shared" ref="T199:T262" si="42">+C199+D199+E199+F199+G199-H199</f>
        <v>0</v>
      </c>
      <c r="V199" s="12"/>
    </row>
    <row r="200" spans="1:22" x14ac:dyDescent="0.25">
      <c r="A200" s="49">
        <f>'A) Base RI'!A201</f>
        <v>5722</v>
      </c>
      <c r="B200" s="357" t="str">
        <f>'A) Base RI'!B201</f>
        <v>Grens</v>
      </c>
      <c r="C200" s="419">
        <v>551665.42936111661</v>
      </c>
      <c r="D200" s="419">
        <v>458780.94148764148</v>
      </c>
      <c r="E200" s="396">
        <v>0</v>
      </c>
      <c r="F200" s="396">
        <v>0</v>
      </c>
      <c r="G200" s="396">
        <v>0</v>
      </c>
      <c r="H200" s="419">
        <f t="shared" si="41"/>
        <v>1010446.3708487581</v>
      </c>
      <c r="I200" s="420">
        <v>25282.227903225812</v>
      </c>
      <c r="J200" s="361">
        <f>'B) D RI'!U201</f>
        <v>22061.884042906917</v>
      </c>
      <c r="K200" s="62">
        <f t="shared" si="32"/>
        <v>39.96666649460245</v>
      </c>
      <c r="L200" s="33">
        <f>'B) D RI'!S201</f>
        <v>62</v>
      </c>
      <c r="M200" s="33">
        <f t="shared" si="27"/>
        <v>22.03333350539755</v>
      </c>
      <c r="N200" s="33">
        <f>'J) Plafonnement effort'!G199+'J) Plafonnement effort'!I199-'K) Plafonnement aide'!I199</f>
        <v>37.009341961079642</v>
      </c>
      <c r="O200" s="126">
        <f t="shared" si="28"/>
        <v>59.042675466477192</v>
      </c>
      <c r="P200" s="47">
        <f t="shared" si="29"/>
        <v>0</v>
      </c>
      <c r="Q200" s="55">
        <f t="shared" si="33"/>
        <v>0</v>
      </c>
      <c r="R200" s="146">
        <f t="shared" si="30"/>
        <v>59.042675466477192</v>
      </c>
      <c r="S200" s="126">
        <f t="shared" si="31"/>
        <v>-2.957324533522808</v>
      </c>
      <c r="T200" s="145">
        <f t="shared" si="42"/>
        <v>0</v>
      </c>
      <c r="V200" s="12"/>
    </row>
    <row r="201" spans="1:22" x14ac:dyDescent="0.25">
      <c r="A201" s="49">
        <f>'A) Base RI'!A202</f>
        <v>5723</v>
      </c>
      <c r="B201" s="357" t="str">
        <f>'A) Base RI'!B202</f>
        <v>Mies</v>
      </c>
      <c r="C201" s="419">
        <v>16605664.982727528</v>
      </c>
      <c r="D201" s="419">
        <v>8370514.3298637839</v>
      </c>
      <c r="E201" s="396">
        <v>0</v>
      </c>
      <c r="F201" s="396">
        <v>-5070089.7829994773</v>
      </c>
      <c r="G201" s="396">
        <v>0</v>
      </c>
      <c r="H201" s="419">
        <f t="shared" si="41"/>
        <v>19906089.529591832</v>
      </c>
      <c r="I201" s="420">
        <v>442357.54510204075</v>
      </c>
      <c r="J201" s="361">
        <f>'B) D RI'!U202</f>
        <v>508753.19533233909</v>
      </c>
      <c r="K201" s="62">
        <f t="shared" si="32"/>
        <v>45</v>
      </c>
      <c r="L201" s="33">
        <f>'B) D RI'!S202</f>
        <v>49</v>
      </c>
      <c r="M201" s="33">
        <f t="shared" si="27"/>
        <v>4</v>
      </c>
      <c r="N201" s="33">
        <f>'J) Plafonnement effort'!G200+'J) Plafonnement effort'!I200-'K) Plafonnement aide'!I200</f>
        <v>49.66573339052232</v>
      </c>
      <c r="O201" s="126">
        <f t="shared" si="28"/>
        <v>53.66573339052232</v>
      </c>
      <c r="P201" s="47">
        <f t="shared" si="29"/>
        <v>0</v>
      </c>
      <c r="Q201" s="55">
        <f t="shared" si="33"/>
        <v>0</v>
      </c>
      <c r="R201" s="146">
        <f t="shared" si="30"/>
        <v>53.66573339052232</v>
      </c>
      <c r="S201" s="126">
        <f t="shared" si="31"/>
        <v>4.6657333905223197</v>
      </c>
      <c r="T201" s="145">
        <f t="shared" si="42"/>
        <v>0</v>
      </c>
      <c r="V201" s="12"/>
    </row>
    <row r="202" spans="1:22" x14ac:dyDescent="0.25">
      <c r="A202" s="49">
        <f>'A) Base RI'!A203</f>
        <v>5724</v>
      </c>
      <c r="B202" s="357" t="str">
        <f>'A) Base RI'!B203</f>
        <v>Nyon</v>
      </c>
      <c r="C202" s="419">
        <v>31816174.711764991</v>
      </c>
      <c r="D202" s="419">
        <v>10517637.625018131</v>
      </c>
      <c r="E202" s="396">
        <v>0</v>
      </c>
      <c r="F202" s="396">
        <v>0</v>
      </c>
      <c r="G202" s="396">
        <v>0</v>
      </c>
      <c r="H202" s="419">
        <f t="shared" si="41"/>
        <v>42333812.336783126</v>
      </c>
      <c r="I202" s="420">
        <v>1295846.4763430012</v>
      </c>
      <c r="J202" s="361">
        <f>'B) D RI'!U203</f>
        <v>1284648.9485752215</v>
      </c>
      <c r="K202" s="62">
        <f t="shared" si="32"/>
        <v>32.668848594050324</v>
      </c>
      <c r="L202" s="33">
        <f>'B) D RI'!S203</f>
        <v>61</v>
      </c>
      <c r="M202" s="33">
        <f t="shared" si="27"/>
        <v>28.331151405949676</v>
      </c>
      <c r="N202" s="33">
        <f>'J) Plafonnement effort'!G201+'J) Plafonnement effort'!I201-'K) Plafonnement aide'!I201</f>
        <v>30.724561063564341</v>
      </c>
      <c r="O202" s="126">
        <f t="shared" si="28"/>
        <v>59.05571246951402</v>
      </c>
      <c r="P202" s="47">
        <f t="shared" si="29"/>
        <v>0</v>
      </c>
      <c r="Q202" s="55">
        <f t="shared" si="33"/>
        <v>0</v>
      </c>
      <c r="R202" s="146">
        <f t="shared" si="30"/>
        <v>59.05571246951402</v>
      </c>
      <c r="S202" s="126">
        <f t="shared" si="31"/>
        <v>-1.9442875304859797</v>
      </c>
      <c r="T202" s="145">
        <f t="shared" si="42"/>
        <v>0</v>
      </c>
      <c r="V202" s="12"/>
    </row>
    <row r="203" spans="1:22" x14ac:dyDescent="0.25">
      <c r="A203" s="49">
        <f>'A) Base RI'!A204</f>
        <v>5725</v>
      </c>
      <c r="B203" s="357" t="str">
        <f>'A) Base RI'!B204</f>
        <v>Prangins</v>
      </c>
      <c r="C203" s="419">
        <v>7353389.3655196549</v>
      </c>
      <c r="D203" s="419">
        <v>4615695.2935856143</v>
      </c>
      <c r="E203" s="396">
        <v>0</v>
      </c>
      <c r="F203" s="396">
        <v>0</v>
      </c>
      <c r="G203" s="396">
        <v>0</v>
      </c>
      <c r="H203" s="419">
        <f t="shared" si="41"/>
        <v>11969084.659105269</v>
      </c>
      <c r="I203" s="420">
        <v>297756.63698979589</v>
      </c>
      <c r="J203" s="361">
        <f>'B) D RI'!U204</f>
        <v>331424.63115044968</v>
      </c>
      <c r="K203" s="62">
        <f t="shared" si="32"/>
        <v>40.197541119848992</v>
      </c>
      <c r="L203" s="33">
        <f>'B) D RI'!S204</f>
        <v>56</v>
      </c>
      <c r="M203" s="33">
        <f t="shared" si="27"/>
        <v>15.802458880151008</v>
      </c>
      <c r="N203" s="33">
        <f>'J) Plafonnement effort'!G202+'J) Plafonnement effort'!I202-'K) Plafonnement aide'!I202</f>
        <v>43.978620860847094</v>
      </c>
      <c r="O203" s="126">
        <f t="shared" si="28"/>
        <v>59.781079740998102</v>
      </c>
      <c r="P203" s="47">
        <f t="shared" si="29"/>
        <v>0</v>
      </c>
      <c r="Q203" s="55">
        <f t="shared" si="33"/>
        <v>0</v>
      </c>
      <c r="R203" s="146">
        <f t="shared" si="30"/>
        <v>59.781079740998102</v>
      </c>
      <c r="S203" s="126">
        <f t="shared" si="31"/>
        <v>3.7810797409981021</v>
      </c>
      <c r="T203" s="145">
        <f t="shared" si="42"/>
        <v>0</v>
      </c>
      <c r="V203" s="12"/>
    </row>
    <row r="204" spans="1:22" x14ac:dyDescent="0.25">
      <c r="A204" s="49">
        <f>'A) Base RI'!A205</f>
        <v>5726</v>
      </c>
      <c r="B204" s="357" t="str">
        <f>'A) Base RI'!B205</f>
        <v>La Rippe</v>
      </c>
      <c r="C204" s="419">
        <v>1123486.8895642955</v>
      </c>
      <c r="D204" s="419">
        <v>956934.44760766439</v>
      </c>
      <c r="E204" s="396">
        <v>0</v>
      </c>
      <c r="F204" s="396">
        <v>0</v>
      </c>
      <c r="G204" s="396">
        <v>0</v>
      </c>
      <c r="H204" s="419">
        <f t="shared" si="41"/>
        <v>2080421.3371719599</v>
      </c>
      <c r="I204" s="420">
        <v>56821.794000000002</v>
      </c>
      <c r="J204" s="361">
        <f>'B) D RI'!U205</f>
        <v>59775.654047436234</v>
      </c>
      <c r="K204" s="62">
        <f t="shared" si="32"/>
        <v>36.613087879132429</v>
      </c>
      <c r="L204" s="33">
        <f>'B) D RI'!S205</f>
        <v>65</v>
      </c>
      <c r="M204" s="33">
        <f t="shared" si="27"/>
        <v>28.386912120867571</v>
      </c>
      <c r="N204" s="33">
        <f>'J) Plafonnement effort'!G203+'J) Plafonnement effort'!I203-'K) Plafonnement aide'!I203</f>
        <v>34.887310921692944</v>
      </c>
      <c r="O204" s="126">
        <f t="shared" si="28"/>
        <v>63.274223042560514</v>
      </c>
      <c r="P204" s="47">
        <f t="shared" si="29"/>
        <v>0</v>
      </c>
      <c r="Q204" s="55">
        <f t="shared" si="33"/>
        <v>0</v>
      </c>
      <c r="R204" s="146">
        <f t="shared" si="30"/>
        <v>63.274223042560514</v>
      </c>
      <c r="S204" s="126">
        <f t="shared" si="31"/>
        <v>-1.7257769574394857</v>
      </c>
      <c r="T204" s="145">
        <f t="shared" si="42"/>
        <v>0</v>
      </c>
      <c r="V204" s="12"/>
    </row>
    <row r="205" spans="1:22" x14ac:dyDescent="0.25">
      <c r="A205" s="49">
        <f>'A) Base RI'!A206</f>
        <v>5727</v>
      </c>
      <c r="B205" s="357" t="str">
        <f>'A) Base RI'!B206</f>
        <v>Saint-Cergue</v>
      </c>
      <c r="C205" s="419">
        <v>1924115.2382637546</v>
      </c>
      <c r="D205" s="419">
        <v>1079829.1614257421</v>
      </c>
      <c r="E205" s="396">
        <v>0</v>
      </c>
      <c r="F205" s="396">
        <v>0</v>
      </c>
      <c r="G205" s="396">
        <v>0</v>
      </c>
      <c r="H205" s="419">
        <f t="shared" si="41"/>
        <v>3003944.3996894965</v>
      </c>
      <c r="I205" s="420">
        <v>100367.45777777779</v>
      </c>
      <c r="J205" s="361">
        <f>'B) D RI'!U206</f>
        <v>84837.616861897855</v>
      </c>
      <c r="K205" s="62">
        <f t="shared" si="32"/>
        <v>29.929465846793576</v>
      </c>
      <c r="L205" s="33">
        <f>'B) D RI'!S206</f>
        <v>66</v>
      </c>
      <c r="M205" s="33">
        <f t="shared" si="27"/>
        <v>36.070534153206424</v>
      </c>
      <c r="N205" s="33">
        <f>'J) Plafonnement effort'!G204+'J) Plafonnement effort'!I204-'K) Plafonnement aide'!I204</f>
        <v>21.652508271220167</v>
      </c>
      <c r="O205" s="126">
        <f t="shared" si="28"/>
        <v>57.723042424426595</v>
      </c>
      <c r="P205" s="47">
        <f t="shared" si="29"/>
        <v>0</v>
      </c>
      <c r="Q205" s="55">
        <f t="shared" si="33"/>
        <v>0</v>
      </c>
      <c r="R205" s="146">
        <f t="shared" si="30"/>
        <v>57.723042424426595</v>
      </c>
      <c r="S205" s="126">
        <f t="shared" si="31"/>
        <v>-8.2769575755734053</v>
      </c>
      <c r="T205" s="145">
        <f t="shared" si="42"/>
        <v>0</v>
      </c>
      <c r="V205" s="12"/>
    </row>
    <row r="206" spans="1:22" x14ac:dyDescent="0.25">
      <c r="A206" s="49">
        <f>'A) Base RI'!A207</f>
        <v>5728</v>
      </c>
      <c r="B206" s="357" t="str">
        <f>'A) Base RI'!B207</f>
        <v>Signy-Avenex</v>
      </c>
      <c r="C206" s="419">
        <v>881852.96838348557</v>
      </c>
      <c r="D206" s="419">
        <v>661439.81306875614</v>
      </c>
      <c r="E206" s="396">
        <v>0</v>
      </c>
      <c r="F206" s="396">
        <v>0</v>
      </c>
      <c r="G206" s="396">
        <v>0</v>
      </c>
      <c r="H206" s="419">
        <f t="shared" si="41"/>
        <v>1543292.7814522418</v>
      </c>
      <c r="I206" s="420">
        <v>36550.556034482761</v>
      </c>
      <c r="J206" s="361">
        <f>'B) D RI'!U207</f>
        <v>43642.129855163919</v>
      </c>
      <c r="K206" s="62">
        <f t="shared" si="32"/>
        <v>42.223510361819358</v>
      </c>
      <c r="L206" s="33">
        <f>'B) D RI'!S207</f>
        <v>58</v>
      </c>
      <c r="M206" s="33">
        <f t="shared" si="27"/>
        <v>15.776489638180642</v>
      </c>
      <c r="N206" s="33">
        <f>'J) Plafonnement effort'!G205+'J) Plafonnement effort'!I205-'K) Plafonnement aide'!I205</f>
        <v>44.416265588233045</v>
      </c>
      <c r="O206" s="126">
        <f t="shared" si="28"/>
        <v>60.192755226413688</v>
      </c>
      <c r="P206" s="47">
        <f t="shared" si="29"/>
        <v>0</v>
      </c>
      <c r="Q206" s="55">
        <f t="shared" si="33"/>
        <v>0</v>
      </c>
      <c r="R206" s="146">
        <f t="shared" si="30"/>
        <v>60.192755226413688</v>
      </c>
      <c r="S206" s="126">
        <f t="shared" si="31"/>
        <v>2.1927552264136878</v>
      </c>
      <c r="T206" s="145">
        <f t="shared" si="42"/>
        <v>0</v>
      </c>
      <c r="V206" s="12"/>
    </row>
    <row r="207" spans="1:22" x14ac:dyDescent="0.25">
      <c r="A207" s="49">
        <f>'A) Base RI'!A208</f>
        <v>5729</v>
      </c>
      <c r="B207" s="357" t="str">
        <f>'A) Base RI'!B208</f>
        <v>Tannay</v>
      </c>
      <c r="C207" s="419">
        <v>5631479.6083539054</v>
      </c>
      <c r="D207" s="419">
        <v>3132814.2646996565</v>
      </c>
      <c r="E207" s="396">
        <v>0</v>
      </c>
      <c r="F207" s="396">
        <v>-987248.05338143033</v>
      </c>
      <c r="G207" s="396">
        <v>0</v>
      </c>
      <c r="H207" s="419">
        <f t="shared" si="41"/>
        <v>7777045.8196721319</v>
      </c>
      <c r="I207" s="420">
        <v>172823.24043715847</v>
      </c>
      <c r="J207" s="361">
        <f>'B) D RI'!U208</f>
        <v>140788.91539066879</v>
      </c>
      <c r="K207" s="62">
        <f t="shared" si="32"/>
        <v>45.000000000000007</v>
      </c>
      <c r="L207" s="33">
        <f>'B) D RI'!S208</f>
        <v>61</v>
      </c>
      <c r="M207" s="33">
        <f t="shared" si="27"/>
        <v>15.999999999999993</v>
      </c>
      <c r="N207" s="33">
        <f>'J) Plafonnement effort'!G206+'J) Plafonnement effort'!I206-'K) Plafonnement aide'!I206</f>
        <v>45.099933058541275</v>
      </c>
      <c r="O207" s="126">
        <f t="shared" si="28"/>
        <v>61.099933058541268</v>
      </c>
      <c r="P207" s="47">
        <f t="shared" si="29"/>
        <v>0</v>
      </c>
      <c r="Q207" s="55">
        <f t="shared" si="33"/>
        <v>0</v>
      </c>
      <c r="R207" s="146">
        <f t="shared" si="30"/>
        <v>61.099933058541268</v>
      </c>
      <c r="S207" s="126">
        <f t="shared" si="31"/>
        <v>9.9933058541267883E-2</v>
      </c>
      <c r="T207" s="145">
        <f t="shared" si="42"/>
        <v>0</v>
      </c>
      <c r="V207" s="12"/>
    </row>
    <row r="208" spans="1:22" x14ac:dyDescent="0.25">
      <c r="A208" s="49">
        <f>'A) Base RI'!A209</f>
        <v>5730</v>
      </c>
      <c r="B208" s="357" t="str">
        <f>'A) Base RI'!B209</f>
        <v>Trélex</v>
      </c>
      <c r="C208" s="419">
        <v>2546513.1575819366</v>
      </c>
      <c r="D208" s="419">
        <v>1801445.288459464</v>
      </c>
      <c r="E208" s="396">
        <v>0</v>
      </c>
      <c r="F208" s="396">
        <v>0</v>
      </c>
      <c r="G208" s="396">
        <v>0</v>
      </c>
      <c r="H208" s="419">
        <f t="shared" si="41"/>
        <v>4347958.4460414005</v>
      </c>
      <c r="I208" s="420">
        <v>103185.50284600389</v>
      </c>
      <c r="J208" s="361">
        <f>'B) D RI'!U209</f>
        <v>159385.15609090315</v>
      </c>
      <c r="K208" s="62">
        <f t="shared" si="32"/>
        <v>42.137299582969334</v>
      </c>
      <c r="L208" s="33">
        <f>'B) D RI'!S209</f>
        <v>57</v>
      </c>
      <c r="M208" s="33">
        <f t="shared" si="27"/>
        <v>14.862700417030666</v>
      </c>
      <c r="N208" s="33">
        <f>'J) Plafonnement effort'!G207+'J) Plafonnement effort'!I207-'K) Plafonnement aide'!I207</f>
        <v>49.110244351819631</v>
      </c>
      <c r="O208" s="126">
        <f t="shared" si="28"/>
        <v>63.972944768850297</v>
      </c>
      <c r="P208" s="47">
        <f t="shared" si="29"/>
        <v>0</v>
      </c>
      <c r="Q208" s="55">
        <f t="shared" si="33"/>
        <v>0</v>
      </c>
      <c r="R208" s="146">
        <f t="shared" si="30"/>
        <v>63.972944768850297</v>
      </c>
      <c r="S208" s="126">
        <f t="shared" si="31"/>
        <v>6.9729447688502972</v>
      </c>
      <c r="T208" s="145">
        <f t="shared" si="42"/>
        <v>0</v>
      </c>
      <c r="V208" s="12"/>
    </row>
    <row r="209" spans="1:22" x14ac:dyDescent="0.25">
      <c r="A209" s="49">
        <f>'A) Base RI'!A210</f>
        <v>5731</v>
      </c>
      <c r="B209" s="357" t="str">
        <f>'A) Base RI'!B210</f>
        <v>Le Vaud</v>
      </c>
      <c r="C209" s="419">
        <v>984534.79538022692</v>
      </c>
      <c r="D209" s="419">
        <v>634904.13706636685</v>
      </c>
      <c r="E209" s="396">
        <v>0</v>
      </c>
      <c r="F209" s="396">
        <v>0</v>
      </c>
      <c r="G209" s="396">
        <v>0</v>
      </c>
      <c r="H209" s="419">
        <f t="shared" si="41"/>
        <v>1619438.9324465939</v>
      </c>
      <c r="I209" s="420">
        <v>50829.361333333334</v>
      </c>
      <c r="J209" s="361">
        <f>'B) D RI'!U210</f>
        <v>52787.084696622871</v>
      </c>
      <c r="K209" s="62">
        <f t="shared" si="32"/>
        <v>31.860304555599122</v>
      </c>
      <c r="L209" s="33">
        <f>'B) D RI'!S210</f>
        <v>75</v>
      </c>
      <c r="M209" s="33">
        <f t="shared" si="27"/>
        <v>43.139695444400878</v>
      </c>
      <c r="N209" s="33">
        <f>'J) Plafonnement effort'!G208+'J) Plafonnement effort'!I208-'K) Plafonnement aide'!I208</f>
        <v>33.332294288574253</v>
      </c>
      <c r="O209" s="126">
        <f t="shared" si="28"/>
        <v>76.471989732975132</v>
      </c>
      <c r="P209" s="47">
        <f t="shared" si="29"/>
        <v>0</v>
      </c>
      <c r="Q209" s="55">
        <f t="shared" si="33"/>
        <v>0</v>
      </c>
      <c r="R209" s="146">
        <f t="shared" si="30"/>
        <v>76.471989732975132</v>
      </c>
      <c r="S209" s="126">
        <f t="shared" si="31"/>
        <v>1.4719897329751319</v>
      </c>
      <c r="T209" s="145">
        <f t="shared" si="42"/>
        <v>0</v>
      </c>
      <c r="V209" s="12"/>
    </row>
    <row r="210" spans="1:22" x14ac:dyDescent="0.25">
      <c r="A210" s="49">
        <f>'A) Base RI'!A211</f>
        <v>5732</v>
      </c>
      <c r="B210" s="357" t="str">
        <f>'A) Base RI'!B211</f>
        <v>Vich</v>
      </c>
      <c r="C210" s="419">
        <v>1499571.687181856</v>
      </c>
      <c r="D210" s="419">
        <v>1089016.5678947184</v>
      </c>
      <c r="E210" s="396">
        <v>0</v>
      </c>
      <c r="F210" s="396">
        <v>0</v>
      </c>
      <c r="G210" s="396">
        <v>0</v>
      </c>
      <c r="H210" s="419">
        <f t="shared" si="41"/>
        <v>2588588.2550765742</v>
      </c>
      <c r="I210" s="420">
        <v>61037.471029411761</v>
      </c>
      <c r="J210" s="361">
        <f>'B) D RI'!U211</f>
        <v>63679.159894206758</v>
      </c>
      <c r="K210" s="62">
        <f t="shared" si="32"/>
        <v>42.40982156402297</v>
      </c>
      <c r="L210" s="33">
        <f>'B) D RI'!S211</f>
        <v>67</v>
      </c>
      <c r="M210" s="33">
        <f t="shared" si="27"/>
        <v>24.59017843597703</v>
      </c>
      <c r="N210" s="33">
        <f>'J) Plafonnement effort'!G209+'J) Plafonnement effort'!I209-'K) Plafonnement aide'!I209</f>
        <v>44.256639365783535</v>
      </c>
      <c r="O210" s="126">
        <f t="shared" si="28"/>
        <v>68.846817801760565</v>
      </c>
      <c r="P210" s="47">
        <f t="shared" si="29"/>
        <v>0</v>
      </c>
      <c r="Q210" s="55">
        <f t="shared" si="33"/>
        <v>0</v>
      </c>
      <c r="R210" s="146">
        <f t="shared" si="30"/>
        <v>68.846817801760565</v>
      </c>
      <c r="S210" s="126">
        <f t="shared" si="31"/>
        <v>1.8468178017605652</v>
      </c>
      <c r="T210" s="145">
        <f t="shared" si="42"/>
        <v>0</v>
      </c>
      <c r="V210" s="12"/>
    </row>
    <row r="211" spans="1:22" x14ac:dyDescent="0.25">
      <c r="A211" s="49">
        <f>'A) Base RI'!A212</f>
        <v>5741</v>
      </c>
      <c r="B211" s="357" t="str">
        <f>'A) Base RI'!B212</f>
        <v>L'Abergement</v>
      </c>
      <c r="C211" s="419">
        <v>136269.30453372482</v>
      </c>
      <c r="D211" s="419">
        <v>-3811.0826013796323</v>
      </c>
      <c r="E211" s="396">
        <v>0</v>
      </c>
      <c r="F211" s="396">
        <v>0</v>
      </c>
      <c r="G211" s="396">
        <v>0</v>
      </c>
      <c r="H211" s="419">
        <f t="shared" si="41"/>
        <v>132458.22193234519</v>
      </c>
      <c r="I211" s="420">
        <v>6619.5511522633742</v>
      </c>
      <c r="J211" s="361">
        <f>'B) D RI'!U212</f>
        <v>7417.8594757266228</v>
      </c>
      <c r="K211" s="62">
        <f t="shared" si="32"/>
        <v>20.01015157758162</v>
      </c>
      <c r="L211" s="33">
        <f>'B) D RI'!S212</f>
        <v>81</v>
      </c>
      <c r="M211" s="33">
        <f t="shared" si="27"/>
        <v>60.989848422418376</v>
      </c>
      <c r="N211" s="33">
        <f>'J) Plafonnement effort'!G210+'J) Plafonnement effort'!I210-'K) Plafonnement aide'!I210</f>
        <v>4.8825084091781541</v>
      </c>
      <c r="O211" s="126">
        <f t="shared" si="28"/>
        <v>65.872356831596534</v>
      </c>
      <c r="P211" s="47">
        <f t="shared" si="29"/>
        <v>0</v>
      </c>
      <c r="Q211" s="55">
        <f t="shared" si="33"/>
        <v>0</v>
      </c>
      <c r="R211" s="146">
        <f t="shared" si="30"/>
        <v>65.872356831596534</v>
      </c>
      <c r="S211" s="126">
        <f t="shared" si="31"/>
        <v>-15.127643168403466</v>
      </c>
      <c r="T211" s="145">
        <f t="shared" si="42"/>
        <v>0</v>
      </c>
      <c r="V211" s="12"/>
    </row>
    <row r="212" spans="1:22" x14ac:dyDescent="0.25">
      <c r="A212" s="49">
        <f>'A) Base RI'!A213</f>
        <v>5742</v>
      </c>
      <c r="B212" s="357" t="str">
        <f>'A) Base RI'!B213</f>
        <v>Agiez</v>
      </c>
      <c r="C212" s="419">
        <v>184354.17384121992</v>
      </c>
      <c r="D212" s="419">
        <v>37031.78841072222</v>
      </c>
      <c r="E212" s="396">
        <v>0</v>
      </c>
      <c r="F212" s="396">
        <v>0</v>
      </c>
      <c r="G212" s="396">
        <v>0</v>
      </c>
      <c r="H212" s="419">
        <f t="shared" si="41"/>
        <v>221385.96225194214</v>
      </c>
      <c r="I212" s="420">
        <v>9354.2819736842121</v>
      </c>
      <c r="J212" s="361">
        <f>'B) D RI'!U213</f>
        <v>9044.2293566491917</v>
      </c>
      <c r="K212" s="62">
        <f t="shared" si="32"/>
        <v>23.66680445113294</v>
      </c>
      <c r="L212" s="33">
        <f>'B) D RI'!S213</f>
        <v>76</v>
      </c>
      <c r="M212" s="33">
        <f t="shared" si="27"/>
        <v>52.33319554886706</v>
      </c>
      <c r="N212" s="33">
        <f>'J) Plafonnement effort'!G211+'J) Plafonnement effort'!I211-'K) Plafonnement aide'!I211</f>
        <v>17.380874582304937</v>
      </c>
      <c r="O212" s="126">
        <f t="shared" si="28"/>
        <v>69.714070131171994</v>
      </c>
      <c r="P212" s="47">
        <f t="shared" si="29"/>
        <v>0</v>
      </c>
      <c r="Q212" s="55">
        <f t="shared" si="33"/>
        <v>0</v>
      </c>
      <c r="R212" s="146">
        <f t="shared" si="30"/>
        <v>69.714070131171994</v>
      </c>
      <c r="S212" s="126">
        <f t="shared" si="31"/>
        <v>-6.2859298688280063</v>
      </c>
      <c r="T212" s="145">
        <f t="shared" si="42"/>
        <v>0</v>
      </c>
      <c r="V212" s="12"/>
    </row>
    <row r="213" spans="1:22" x14ac:dyDescent="0.25">
      <c r="A213" s="49">
        <f>'A) Base RI'!A214</f>
        <v>5743</v>
      </c>
      <c r="B213" s="357" t="str">
        <f>'A) Base RI'!B214</f>
        <v>Arnex-sur-Orbe</v>
      </c>
      <c r="C213" s="419">
        <v>361919.08560947113</v>
      </c>
      <c r="D213" s="419">
        <v>30200.470577262167</v>
      </c>
      <c r="E213" s="396">
        <v>0</v>
      </c>
      <c r="F213" s="396">
        <v>0</v>
      </c>
      <c r="G213" s="396">
        <v>0</v>
      </c>
      <c r="H213" s="419">
        <f t="shared" si="41"/>
        <v>392119.5561867333</v>
      </c>
      <c r="I213" s="420">
        <v>17594.003904109592</v>
      </c>
      <c r="J213" s="361">
        <f>'B) D RI'!U214</f>
        <v>18380.074354130466</v>
      </c>
      <c r="K213" s="62">
        <f t="shared" si="32"/>
        <v>22.287113173547858</v>
      </c>
      <c r="L213" s="33">
        <f>'B) D RI'!S214</f>
        <v>73</v>
      </c>
      <c r="M213" s="33">
        <f t="shared" si="27"/>
        <v>50.712886826452142</v>
      </c>
      <c r="N213" s="33">
        <f>'J) Plafonnement effort'!G212+'J) Plafonnement effort'!I212-'K) Plafonnement aide'!I212</f>
        <v>24.55707740463448</v>
      </c>
      <c r="O213" s="126">
        <f t="shared" si="28"/>
        <v>75.269964231086618</v>
      </c>
      <c r="P213" s="47">
        <f t="shared" si="29"/>
        <v>0</v>
      </c>
      <c r="Q213" s="55">
        <f t="shared" si="33"/>
        <v>0</v>
      </c>
      <c r="R213" s="146">
        <f t="shared" si="30"/>
        <v>75.269964231086618</v>
      </c>
      <c r="S213" s="126">
        <f t="shared" si="31"/>
        <v>2.2699642310866182</v>
      </c>
      <c r="T213" s="145">
        <f t="shared" si="42"/>
        <v>0</v>
      </c>
      <c r="V213" s="12"/>
    </row>
    <row r="214" spans="1:22" x14ac:dyDescent="0.25">
      <c r="A214" s="49">
        <f>'A) Base RI'!A215</f>
        <v>5744</v>
      </c>
      <c r="B214" s="357" t="str">
        <f>'A) Base RI'!B215</f>
        <v>Ballaigues</v>
      </c>
      <c r="C214" s="419">
        <v>1248414.0925247436</v>
      </c>
      <c r="D214" s="419">
        <v>840099.60267402988</v>
      </c>
      <c r="E214" s="396">
        <v>0</v>
      </c>
      <c r="F214" s="396">
        <v>0</v>
      </c>
      <c r="G214" s="396">
        <v>0</v>
      </c>
      <c r="H214" s="419">
        <f t="shared" si="41"/>
        <v>2088513.6951987734</v>
      </c>
      <c r="I214" s="420">
        <v>49791.438333333339</v>
      </c>
      <c r="J214" s="361">
        <f>'B) D RI'!U215</f>
        <v>36664.575000922312</v>
      </c>
      <c r="K214" s="62">
        <f t="shared" si="32"/>
        <v>41.945237275875172</v>
      </c>
      <c r="L214" s="33">
        <f>'B) D RI'!S215</f>
        <v>66</v>
      </c>
      <c r="M214" s="33">
        <f t="shared" si="27"/>
        <v>24.054762724124828</v>
      </c>
      <c r="N214" s="33">
        <f>'J) Plafonnement effort'!G213+'J) Plafonnement effort'!I213-'K) Plafonnement aide'!I213</f>
        <v>23.808166654105928</v>
      </c>
      <c r="O214" s="126">
        <f t="shared" si="28"/>
        <v>47.86292937823076</v>
      </c>
      <c r="P214" s="47">
        <f t="shared" si="29"/>
        <v>0</v>
      </c>
      <c r="Q214" s="55">
        <f t="shared" si="33"/>
        <v>0</v>
      </c>
      <c r="R214" s="146">
        <f t="shared" si="30"/>
        <v>47.86292937823076</v>
      </c>
      <c r="S214" s="126">
        <f t="shared" si="31"/>
        <v>-18.13707062176924</v>
      </c>
      <c r="T214" s="145">
        <f t="shared" si="42"/>
        <v>0</v>
      </c>
      <c r="V214" s="12"/>
    </row>
    <row r="215" spans="1:22" x14ac:dyDescent="0.25">
      <c r="A215" s="49">
        <f>'A) Base RI'!A216</f>
        <v>5745</v>
      </c>
      <c r="B215" s="357" t="str">
        <f>'A) Base RI'!B216</f>
        <v>Baulmes</v>
      </c>
      <c r="C215" s="419">
        <v>493979.60794915608</v>
      </c>
      <c r="D215" s="419">
        <v>-172616.16456143011</v>
      </c>
      <c r="E215" s="396">
        <v>0</v>
      </c>
      <c r="F215" s="396">
        <v>0</v>
      </c>
      <c r="G215" s="396">
        <v>0</v>
      </c>
      <c r="H215" s="419">
        <f t="shared" si="41"/>
        <v>321363.44338772597</v>
      </c>
      <c r="I215" s="420">
        <v>25375.775641025641</v>
      </c>
      <c r="J215" s="361">
        <f>'B) D RI'!U216</f>
        <v>26462.919353923764</v>
      </c>
      <c r="K215" s="62">
        <f t="shared" si="32"/>
        <v>12.664182089794718</v>
      </c>
      <c r="L215" s="33">
        <f>'B) D RI'!S216</f>
        <v>78</v>
      </c>
      <c r="M215" s="33">
        <f t="shared" si="27"/>
        <v>65.335817910205279</v>
      </c>
      <c r="N215" s="33">
        <f>'J) Plafonnement effort'!G214+'J) Plafonnement effort'!I214-'K) Plafonnement aide'!I214</f>
        <v>9.2850400623307969</v>
      </c>
      <c r="O215" s="126">
        <f t="shared" si="28"/>
        <v>74.620857972536072</v>
      </c>
      <c r="P215" s="47">
        <f t="shared" si="29"/>
        <v>0</v>
      </c>
      <c r="Q215" s="55">
        <f t="shared" si="33"/>
        <v>0</v>
      </c>
      <c r="R215" s="146">
        <f t="shared" si="30"/>
        <v>74.620857972536072</v>
      </c>
      <c r="S215" s="126">
        <f t="shared" si="31"/>
        <v>-3.3791420274639279</v>
      </c>
      <c r="T215" s="145">
        <f t="shared" si="42"/>
        <v>0</v>
      </c>
      <c r="V215" s="12"/>
    </row>
    <row r="216" spans="1:22" x14ac:dyDescent="0.25">
      <c r="A216" s="49">
        <f>'A) Base RI'!A217</f>
        <v>5746</v>
      </c>
      <c r="B216" s="357" t="str">
        <f>'A) Base RI'!B217</f>
        <v>Bavois</v>
      </c>
      <c r="C216" s="419">
        <v>484579.36935321346</v>
      </c>
      <c r="D216" s="419">
        <v>46794.607623203192</v>
      </c>
      <c r="E216" s="396">
        <v>0</v>
      </c>
      <c r="F216" s="396">
        <v>0</v>
      </c>
      <c r="G216" s="396">
        <v>0</v>
      </c>
      <c r="H216" s="419">
        <f t="shared" si="41"/>
        <v>531373.97697641666</v>
      </c>
      <c r="I216" s="420">
        <v>25508.009041095891</v>
      </c>
      <c r="J216" s="361">
        <f>'B) D RI'!U217</f>
        <v>26553.96285852553</v>
      </c>
      <c r="K216" s="62">
        <f t="shared" si="32"/>
        <v>20.831652369274344</v>
      </c>
      <c r="L216" s="33">
        <f>'B) D RI'!S217</f>
        <v>73</v>
      </c>
      <c r="M216" s="33">
        <f t="shared" si="27"/>
        <v>52.168347630725656</v>
      </c>
      <c r="N216" s="33">
        <f>'J) Plafonnement effort'!G215+'J) Plafonnement effort'!I215-'K) Plafonnement aide'!I215</f>
        <v>12.57658176511061</v>
      </c>
      <c r="O216" s="126">
        <f t="shared" si="28"/>
        <v>64.744929395836266</v>
      </c>
      <c r="P216" s="47">
        <f t="shared" si="29"/>
        <v>0</v>
      </c>
      <c r="Q216" s="55">
        <f t="shared" si="33"/>
        <v>0</v>
      </c>
      <c r="R216" s="146">
        <f t="shared" si="30"/>
        <v>64.744929395836266</v>
      </c>
      <c r="S216" s="126">
        <f t="shared" si="31"/>
        <v>-8.2550706041637341</v>
      </c>
      <c r="T216" s="145">
        <f t="shared" si="42"/>
        <v>0</v>
      </c>
      <c r="V216" s="12"/>
    </row>
    <row r="217" spans="1:22" x14ac:dyDescent="0.25">
      <c r="A217" s="49">
        <f>'A) Base RI'!A218</f>
        <v>5747</v>
      </c>
      <c r="B217" s="357" t="str">
        <f>'A) Base RI'!B218</f>
        <v>Bofflens</v>
      </c>
      <c r="C217" s="419">
        <v>85731.946844072532</v>
      </c>
      <c r="D217" s="419">
        <v>23218.877639168029</v>
      </c>
      <c r="E217" s="396">
        <v>0</v>
      </c>
      <c r="F217" s="396">
        <v>0</v>
      </c>
      <c r="G217" s="396">
        <v>0</v>
      </c>
      <c r="H217" s="419">
        <f t="shared" si="41"/>
        <v>108950.82448324056</v>
      </c>
      <c r="I217" s="420">
        <v>5402.2208695652162</v>
      </c>
      <c r="J217" s="361">
        <f>'B) D RI'!U218</f>
        <v>4975.9343453180645</v>
      </c>
      <c r="K217" s="62">
        <f t="shared" si="32"/>
        <v>20.167784160222457</v>
      </c>
      <c r="L217" s="33">
        <f>'B) D RI'!S218</f>
        <v>69</v>
      </c>
      <c r="M217" s="33">
        <f t="shared" si="27"/>
        <v>48.832215839777547</v>
      </c>
      <c r="N217" s="33">
        <f>'J) Plafonnement effort'!G216+'J) Plafonnement effort'!I216-'K) Plafonnement aide'!I216</f>
        <v>12.503985248925474</v>
      </c>
      <c r="O217" s="126">
        <f t="shared" si="28"/>
        <v>61.336201088703021</v>
      </c>
      <c r="P217" s="47">
        <f t="shared" si="29"/>
        <v>0</v>
      </c>
      <c r="Q217" s="55">
        <f t="shared" si="33"/>
        <v>0</v>
      </c>
      <c r="R217" s="146">
        <f t="shared" si="30"/>
        <v>61.336201088703021</v>
      </c>
      <c r="S217" s="126">
        <f t="shared" si="31"/>
        <v>-7.6637989112969791</v>
      </c>
      <c r="T217" s="145">
        <f t="shared" si="42"/>
        <v>0</v>
      </c>
      <c r="V217" s="12"/>
    </row>
    <row r="218" spans="1:22" x14ac:dyDescent="0.25">
      <c r="A218" s="49">
        <f>'A) Base RI'!A219</f>
        <v>5748</v>
      </c>
      <c r="B218" s="357" t="str">
        <f>'A) Base RI'!B219</f>
        <v>Bretonnières</v>
      </c>
      <c r="C218" s="419">
        <v>229779.38873690442</v>
      </c>
      <c r="D218" s="419">
        <v>34567.486829332862</v>
      </c>
      <c r="E218" s="396">
        <v>0</v>
      </c>
      <c r="F218" s="396">
        <v>0</v>
      </c>
      <c r="G218" s="396">
        <v>0</v>
      </c>
      <c r="H218" s="419">
        <f t="shared" si="41"/>
        <v>264346.87556623726</v>
      </c>
      <c r="I218" s="420">
        <v>7661.0479629629635</v>
      </c>
      <c r="J218" s="361">
        <f>'B) D RI'!U219</f>
        <v>5547.867770022187</v>
      </c>
      <c r="K218" s="62">
        <f t="shared" si="32"/>
        <v>34.505315309891266</v>
      </c>
      <c r="L218" s="33">
        <f>'B) D RI'!S219</f>
        <v>72</v>
      </c>
      <c r="M218" s="33">
        <f t="shared" si="27"/>
        <v>37.494684690108734</v>
      </c>
      <c r="N218" s="33">
        <f>'J) Plafonnement effort'!G217+'J) Plafonnement effort'!I217-'K) Plafonnement aide'!I217</f>
        <v>0.52517692407460892</v>
      </c>
      <c r="O218" s="126">
        <f t="shared" si="28"/>
        <v>38.019861614183341</v>
      </c>
      <c r="P218" s="47">
        <f t="shared" si="29"/>
        <v>0</v>
      </c>
      <c r="Q218" s="55">
        <f t="shared" si="33"/>
        <v>0</v>
      </c>
      <c r="R218" s="146">
        <f t="shared" si="30"/>
        <v>38.019861614183341</v>
      </c>
      <c r="S218" s="126">
        <f t="shared" si="31"/>
        <v>-33.980138385816659</v>
      </c>
      <c r="T218" s="145">
        <f t="shared" si="42"/>
        <v>0</v>
      </c>
      <c r="V218" s="12"/>
    </row>
    <row r="219" spans="1:22" x14ac:dyDescent="0.25">
      <c r="A219" s="49">
        <f>'A) Base RI'!A220</f>
        <v>5749</v>
      </c>
      <c r="B219" s="357" t="str">
        <f>'A) Base RI'!B220</f>
        <v>Chavornay</v>
      </c>
      <c r="C219" s="419">
        <v>2560278.8663164536</v>
      </c>
      <c r="D219" s="419">
        <v>-860453.4555945606</v>
      </c>
      <c r="E219" s="396">
        <v>0</v>
      </c>
      <c r="F219" s="396">
        <v>0</v>
      </c>
      <c r="G219" s="396">
        <v>0</v>
      </c>
      <c r="H219" s="419">
        <f t="shared" si="41"/>
        <v>1699825.410721893</v>
      </c>
      <c r="I219" s="420">
        <v>134740.63065656566</v>
      </c>
      <c r="J219" s="361">
        <f>'B) D RI'!U220</f>
        <v>136712.84503559873</v>
      </c>
      <c r="K219" s="62">
        <f t="shared" ref="K219" si="43">H219/I219</f>
        <v>12.615536994587043</v>
      </c>
      <c r="L219" s="33">
        <f>'B) D RI'!S220</f>
        <v>72</v>
      </c>
      <c r="M219" s="33">
        <f t="shared" ref="M219" si="44">L219-K219</f>
        <v>59.384463005412954</v>
      </c>
      <c r="N219" s="33">
        <f>'J) Plafonnement effort'!G218+'J) Plafonnement effort'!I218-'K) Plafonnement aide'!I218</f>
        <v>8.4126433456155247</v>
      </c>
      <c r="O219" s="126">
        <f t="shared" ref="O219" si="45">M219+N219</f>
        <v>67.797106351028475</v>
      </c>
      <c r="P219" s="47">
        <f t="shared" ref="P219" si="46">IF(O219&gt;$P$5,$P$5-O219,0)</f>
        <v>0</v>
      </c>
      <c r="Q219" s="55">
        <f t="shared" ref="Q219" si="47">P219*J219</f>
        <v>0</v>
      </c>
      <c r="R219" s="146">
        <f t="shared" ref="R219" si="48">O219+P219</f>
        <v>67.797106351028475</v>
      </c>
      <c r="S219" s="126">
        <f t="shared" ref="S219" si="49">R219-L219</f>
        <v>-4.202893648971525</v>
      </c>
      <c r="T219" s="145">
        <f t="shared" si="42"/>
        <v>0</v>
      </c>
      <c r="V219" s="12"/>
    </row>
    <row r="220" spans="1:22" x14ac:dyDescent="0.25">
      <c r="A220" s="49">
        <f>'A) Base RI'!A221</f>
        <v>5750</v>
      </c>
      <c r="B220" s="357" t="str">
        <f>'A) Base RI'!B221</f>
        <v>Les Clées</v>
      </c>
      <c r="C220" s="419">
        <v>89580.313435661956</v>
      </c>
      <c r="D220" s="419">
        <v>-2478.994694300316</v>
      </c>
      <c r="E220" s="396">
        <v>0</v>
      </c>
      <c r="F220" s="396">
        <v>0</v>
      </c>
      <c r="G220" s="396">
        <v>0</v>
      </c>
      <c r="H220" s="419">
        <f t="shared" si="41"/>
        <v>87101.31874136164</v>
      </c>
      <c r="I220" s="420">
        <v>5020.8349583333338</v>
      </c>
      <c r="J220" s="361">
        <f>'B) D RI'!U221</f>
        <v>5161.3627278037393</v>
      </c>
      <c r="K220" s="62">
        <f t="shared" si="32"/>
        <v>17.347974881507543</v>
      </c>
      <c r="L220" s="33">
        <f>'B) D RI'!S221</f>
        <v>80</v>
      </c>
      <c r="M220" s="33">
        <f t="shared" ref="M220:M261" si="50">L220-K220</f>
        <v>62.65202511849246</v>
      </c>
      <c r="N220" s="33">
        <f>'J) Plafonnement effort'!G219+'J) Plafonnement effort'!I219-'K) Plafonnement aide'!I219</f>
        <v>5.945316713411918</v>
      </c>
      <c r="O220" s="126">
        <f t="shared" ref="O220:O261" si="51">M220+N220</f>
        <v>68.597341831904373</v>
      </c>
      <c r="P220" s="47">
        <f t="shared" ref="P220:P261" si="52">IF(O220&gt;$P$5,$P$5-O220,0)</f>
        <v>0</v>
      </c>
      <c r="Q220" s="55">
        <f t="shared" si="33"/>
        <v>0</v>
      </c>
      <c r="R220" s="146">
        <f t="shared" ref="R220:R261" si="53">O220+P220</f>
        <v>68.597341831904373</v>
      </c>
      <c r="S220" s="126">
        <f t="shared" ref="S220:S261" si="54">R220-L220</f>
        <v>-11.402658168095627</v>
      </c>
      <c r="T220" s="145">
        <f t="shared" si="42"/>
        <v>0</v>
      </c>
      <c r="V220" s="12"/>
    </row>
    <row r="221" spans="1:22" x14ac:dyDescent="0.25">
      <c r="A221" s="49">
        <f>'A) Base RI'!A222</f>
        <v>5752</v>
      </c>
      <c r="B221" s="357" t="str">
        <f>'A) Base RI'!B222</f>
        <v>Croy</v>
      </c>
      <c r="C221" s="419">
        <v>198367.19548325497</v>
      </c>
      <c r="D221" s="419">
        <v>45418.669451021764</v>
      </c>
      <c r="E221" s="396">
        <v>0</v>
      </c>
      <c r="F221" s="396">
        <v>0</v>
      </c>
      <c r="G221" s="396">
        <v>0</v>
      </c>
      <c r="H221" s="419">
        <f t="shared" si="41"/>
        <v>243785.86493427673</v>
      </c>
      <c r="I221" s="420">
        <v>11140.896486486487</v>
      </c>
      <c r="J221" s="361">
        <f>'B) D RI'!U222</f>
        <v>10757.15843408766</v>
      </c>
      <c r="K221" s="62">
        <f t="shared" ref="K221:K265" si="55">H221/I221</f>
        <v>21.882068936730573</v>
      </c>
      <c r="L221" s="33">
        <f>'B) D RI'!S222</f>
        <v>74</v>
      </c>
      <c r="M221" s="33">
        <f t="shared" si="50"/>
        <v>52.117931063269424</v>
      </c>
      <c r="N221" s="33">
        <f>'J) Plafonnement effort'!G220+'J) Plafonnement effort'!I220-'K) Plafonnement aide'!I220</f>
        <v>4.4987080781554099</v>
      </c>
      <c r="O221" s="126">
        <f t="shared" si="51"/>
        <v>56.616639141424834</v>
      </c>
      <c r="P221" s="47">
        <f t="shared" si="52"/>
        <v>0</v>
      </c>
      <c r="Q221" s="55">
        <f t="shared" si="33"/>
        <v>0</v>
      </c>
      <c r="R221" s="146">
        <f t="shared" si="53"/>
        <v>56.616639141424834</v>
      </c>
      <c r="S221" s="126">
        <f t="shared" si="54"/>
        <v>-17.383360858575166</v>
      </c>
      <c r="T221" s="145">
        <f t="shared" si="42"/>
        <v>0</v>
      </c>
      <c r="V221" s="12"/>
    </row>
    <row r="222" spans="1:22" x14ac:dyDescent="0.25">
      <c r="A222" s="49">
        <f>'A) Base RI'!A223</f>
        <v>5754</v>
      </c>
      <c r="B222" s="357" t="str">
        <f>'A) Base RI'!B223</f>
        <v>Juriens</v>
      </c>
      <c r="C222" s="419">
        <v>132948.00919361884</v>
      </c>
      <c r="D222" s="419">
        <v>-20234.826880305482</v>
      </c>
      <c r="E222" s="396">
        <v>0</v>
      </c>
      <c r="F222" s="396">
        <v>0</v>
      </c>
      <c r="G222" s="396">
        <v>0</v>
      </c>
      <c r="H222" s="419">
        <f t="shared" si="41"/>
        <v>112713.18231331336</v>
      </c>
      <c r="I222" s="420">
        <v>8138.4883785546344</v>
      </c>
      <c r="J222" s="361">
        <f>'B) D RI'!U223</f>
        <v>8043.6966976741023</v>
      </c>
      <c r="K222" s="62">
        <f t="shared" si="55"/>
        <v>13.849400167519905</v>
      </c>
      <c r="L222" s="33">
        <f>'B) D RI'!S223</f>
        <v>79</v>
      </c>
      <c r="M222" s="33">
        <f t="shared" si="50"/>
        <v>65.150599832480097</v>
      </c>
      <c r="N222" s="33">
        <f>'J) Plafonnement effort'!G221+'J) Plafonnement effort'!I221-'K) Plafonnement aide'!I221</f>
        <v>10.519778322718444</v>
      </c>
      <c r="O222" s="126">
        <f t="shared" si="51"/>
        <v>75.670378155198534</v>
      </c>
      <c r="P222" s="47">
        <f t="shared" si="52"/>
        <v>0</v>
      </c>
      <c r="Q222" s="55">
        <f t="shared" ref="Q222:Q266" si="56">P222*J222</f>
        <v>0</v>
      </c>
      <c r="R222" s="146">
        <f t="shared" si="53"/>
        <v>75.670378155198534</v>
      </c>
      <c r="S222" s="126">
        <f t="shared" si="54"/>
        <v>-3.3296218448014656</v>
      </c>
      <c r="T222" s="145">
        <f t="shared" si="42"/>
        <v>0</v>
      </c>
      <c r="V222" s="12"/>
    </row>
    <row r="223" spans="1:22" x14ac:dyDescent="0.25">
      <c r="A223" s="49">
        <f>'A) Base RI'!A224</f>
        <v>5755</v>
      </c>
      <c r="B223" s="357" t="str">
        <f>'A) Base RI'!B224</f>
        <v>Lignerolle</v>
      </c>
      <c r="C223" s="419">
        <v>170423.16520237137</v>
      </c>
      <c r="D223" s="419">
        <v>-107920.27470132272</v>
      </c>
      <c r="E223" s="396">
        <v>0</v>
      </c>
      <c r="F223" s="396">
        <v>0</v>
      </c>
      <c r="G223" s="396">
        <v>0</v>
      </c>
      <c r="H223" s="419">
        <f t="shared" si="41"/>
        <v>62502.890501048649</v>
      </c>
      <c r="I223" s="420">
        <v>9320.3381401087972</v>
      </c>
      <c r="J223" s="361">
        <f>'B) D RI'!U224</f>
        <v>9515.1754002495127</v>
      </c>
      <c r="K223" s="62">
        <f t="shared" si="55"/>
        <v>6.7060754193108112</v>
      </c>
      <c r="L223" s="33">
        <f>'B) D RI'!S224</f>
        <v>80</v>
      </c>
      <c r="M223" s="33">
        <f t="shared" si="50"/>
        <v>73.293924580689193</v>
      </c>
      <c r="N223" s="33">
        <f>'J) Plafonnement effort'!G222+'J) Plafonnement effort'!I222-'K) Plafonnement aide'!I222</f>
        <v>-11.625626841952588</v>
      </c>
      <c r="O223" s="126">
        <f t="shared" si="51"/>
        <v>61.668297738736605</v>
      </c>
      <c r="P223" s="47">
        <f t="shared" si="52"/>
        <v>0</v>
      </c>
      <c r="Q223" s="55">
        <f t="shared" si="56"/>
        <v>0</v>
      </c>
      <c r="R223" s="146">
        <f t="shared" si="53"/>
        <v>61.668297738736605</v>
      </c>
      <c r="S223" s="126">
        <f t="shared" si="54"/>
        <v>-18.331702261263395</v>
      </c>
      <c r="T223" s="145">
        <f t="shared" si="42"/>
        <v>0</v>
      </c>
      <c r="V223" s="12"/>
    </row>
    <row r="224" spans="1:22" x14ac:dyDescent="0.25">
      <c r="A224" s="49">
        <f>'A) Base RI'!A225</f>
        <v>5756</v>
      </c>
      <c r="B224" s="357" t="str">
        <f>'A) Base RI'!B225</f>
        <v>Montcherand</v>
      </c>
      <c r="C224" s="419">
        <v>314846.12390704616</v>
      </c>
      <c r="D224" s="419">
        <v>240107.71682013955</v>
      </c>
      <c r="E224" s="396">
        <v>0</v>
      </c>
      <c r="F224" s="396">
        <v>0</v>
      </c>
      <c r="G224" s="396">
        <v>0</v>
      </c>
      <c r="H224" s="419">
        <f t="shared" si="41"/>
        <v>554953.84072718571</v>
      </c>
      <c r="I224" s="420">
        <v>18436.632028742581</v>
      </c>
      <c r="J224" s="361">
        <f>'B) D RI'!U225</f>
        <v>16469.035494125688</v>
      </c>
      <c r="K224" s="62">
        <f t="shared" si="55"/>
        <v>30.100608389971473</v>
      </c>
      <c r="L224" s="33">
        <f>'B) D RI'!S225</f>
        <v>72</v>
      </c>
      <c r="M224" s="33">
        <f t="shared" si="50"/>
        <v>41.89939161002853</v>
      </c>
      <c r="N224" s="33">
        <f>'J) Plafonnement effort'!G223+'J) Plafonnement effort'!I223-'K) Plafonnement aide'!I223</f>
        <v>22.2420496549178</v>
      </c>
      <c r="O224" s="126">
        <f t="shared" si="51"/>
        <v>64.141441264946337</v>
      </c>
      <c r="P224" s="47">
        <f t="shared" si="52"/>
        <v>0</v>
      </c>
      <c r="Q224" s="55">
        <f t="shared" si="56"/>
        <v>0</v>
      </c>
      <c r="R224" s="146">
        <f t="shared" si="53"/>
        <v>64.141441264946337</v>
      </c>
      <c r="S224" s="126">
        <f t="shared" si="54"/>
        <v>-7.8585587350536628</v>
      </c>
      <c r="T224" s="145">
        <f t="shared" si="42"/>
        <v>0</v>
      </c>
      <c r="V224" s="12"/>
    </row>
    <row r="225" spans="1:22" x14ac:dyDescent="0.25">
      <c r="A225" s="49">
        <f>'A) Base RI'!A226</f>
        <v>5757</v>
      </c>
      <c r="B225" s="357" t="str">
        <f>'A) Base RI'!B226</f>
        <v>Orbe</v>
      </c>
      <c r="C225" s="419">
        <v>4310704.1591748865</v>
      </c>
      <c r="D225" s="419">
        <v>-1914370.8647345128</v>
      </c>
      <c r="E225" s="396">
        <v>0</v>
      </c>
      <c r="F225" s="396">
        <v>0</v>
      </c>
      <c r="G225" s="396">
        <v>0</v>
      </c>
      <c r="H225" s="419">
        <f t="shared" si="41"/>
        <v>2396333.2944403738</v>
      </c>
      <c r="I225" s="420">
        <v>195350.61852415255</v>
      </c>
      <c r="J225" s="361">
        <f>'B) D RI'!U226</f>
        <v>204851.86723579146</v>
      </c>
      <c r="K225" s="62">
        <f t="shared" si="55"/>
        <v>12.266832388575716</v>
      </c>
      <c r="L225" s="33">
        <f>'B) D RI'!S226</f>
        <v>77</v>
      </c>
      <c r="M225" s="33">
        <f t="shared" si="50"/>
        <v>64.733167611424278</v>
      </c>
      <c r="N225" s="33">
        <f>'J) Plafonnement effort'!G224+'J) Plafonnement effort'!I224-'K) Plafonnement aide'!I224</f>
        <v>8.2761941583551142</v>
      </c>
      <c r="O225" s="126">
        <f t="shared" si="51"/>
        <v>73.009361769779389</v>
      </c>
      <c r="P225" s="47">
        <f t="shared" si="52"/>
        <v>0</v>
      </c>
      <c r="Q225" s="55">
        <f t="shared" si="56"/>
        <v>0</v>
      </c>
      <c r="R225" s="146">
        <f t="shared" si="53"/>
        <v>73.009361769779389</v>
      </c>
      <c r="S225" s="126">
        <f t="shared" si="54"/>
        <v>-3.9906382302206111</v>
      </c>
      <c r="T225" s="145">
        <f t="shared" si="42"/>
        <v>0</v>
      </c>
      <c r="V225" s="12"/>
    </row>
    <row r="226" spans="1:22" x14ac:dyDescent="0.25">
      <c r="A226" s="49">
        <f>'A) Base RI'!A227</f>
        <v>5758</v>
      </c>
      <c r="B226" s="357" t="str">
        <f>'A) Base RI'!B227</f>
        <v>La Praz</v>
      </c>
      <c r="C226" s="419">
        <v>77137.152092210687</v>
      </c>
      <c r="D226" s="419">
        <v>-65562.237970830611</v>
      </c>
      <c r="E226" s="396">
        <v>0</v>
      </c>
      <c r="F226" s="396">
        <v>0</v>
      </c>
      <c r="G226" s="396">
        <v>0</v>
      </c>
      <c r="H226" s="419">
        <f t="shared" si="41"/>
        <v>11574.914121380076</v>
      </c>
      <c r="I226" s="420">
        <v>3217.0835405215335</v>
      </c>
      <c r="J226" s="361">
        <f>'B) D RI'!U227</f>
        <v>4452.1612722088212</v>
      </c>
      <c r="K226" s="62">
        <f t="shared" si="55"/>
        <v>3.5979526100536461</v>
      </c>
      <c r="L226" s="33">
        <f>'B) D RI'!S227</f>
        <v>83</v>
      </c>
      <c r="M226" s="33">
        <f t="shared" si="50"/>
        <v>79.402047389946347</v>
      </c>
      <c r="N226" s="33">
        <f>'J) Plafonnement effort'!G225+'J) Plafonnement effort'!I225-'K) Plafonnement aide'!I225</f>
        <v>14.636233621136899</v>
      </c>
      <c r="O226" s="126">
        <f t="shared" si="51"/>
        <v>94.038281011083242</v>
      </c>
      <c r="P226" s="47">
        <f t="shared" si="52"/>
        <v>-1.6077463435763519</v>
      </c>
      <c r="Q226" s="55">
        <f t="shared" si="56"/>
        <v>-7157.9460064059713</v>
      </c>
      <c r="R226" s="146">
        <f t="shared" si="53"/>
        <v>92.43053466750689</v>
      </c>
      <c r="S226" s="126">
        <f t="shared" si="54"/>
        <v>9.4305346675068904</v>
      </c>
      <c r="T226" s="145">
        <f t="shared" si="42"/>
        <v>0</v>
      </c>
      <c r="V226" s="12"/>
    </row>
    <row r="227" spans="1:22" x14ac:dyDescent="0.25">
      <c r="A227" s="49">
        <f>'A) Base RI'!A228</f>
        <v>5759</v>
      </c>
      <c r="B227" s="357" t="str">
        <f>'A) Base RI'!B228</f>
        <v>Premier</v>
      </c>
      <c r="C227" s="419">
        <v>94133.263274328579</v>
      </c>
      <c r="D227" s="419">
        <v>-55746.972140489204</v>
      </c>
      <c r="E227" s="396">
        <v>0</v>
      </c>
      <c r="F227" s="396">
        <v>0</v>
      </c>
      <c r="G227" s="396">
        <v>0</v>
      </c>
      <c r="H227" s="419">
        <f t="shared" si="41"/>
        <v>38386.291133839375</v>
      </c>
      <c r="I227" s="420">
        <v>4730.0976887452725</v>
      </c>
      <c r="J227" s="361">
        <f>'B) D RI'!U228</f>
        <v>4744.8996537773928</v>
      </c>
      <c r="K227" s="62">
        <f t="shared" si="55"/>
        <v>8.1153273483495223</v>
      </c>
      <c r="L227" s="33">
        <f>'B) D RI'!S228</f>
        <v>81</v>
      </c>
      <c r="M227" s="33">
        <f t="shared" si="50"/>
        <v>72.884672651650476</v>
      </c>
      <c r="N227" s="33">
        <f>'J) Plafonnement effort'!G226+'J) Plafonnement effort'!I226-'K) Plafonnement aide'!I226</f>
        <v>-5.7155216297024527</v>
      </c>
      <c r="O227" s="126">
        <f t="shared" si="51"/>
        <v>67.169151021948025</v>
      </c>
      <c r="P227" s="47">
        <f t="shared" si="52"/>
        <v>0</v>
      </c>
      <c r="Q227" s="55">
        <f t="shared" si="56"/>
        <v>0</v>
      </c>
      <c r="R227" s="146">
        <f t="shared" si="53"/>
        <v>67.169151021948025</v>
      </c>
      <c r="S227" s="126">
        <f t="shared" si="54"/>
        <v>-13.830848978051975</v>
      </c>
      <c r="T227" s="145">
        <f t="shared" si="42"/>
        <v>0</v>
      </c>
      <c r="V227" s="12"/>
    </row>
    <row r="228" spans="1:22" x14ac:dyDescent="0.25">
      <c r="A228" s="49">
        <f>'A) Base RI'!A229</f>
        <v>5760</v>
      </c>
      <c r="B228" s="357" t="str">
        <f>'A) Base RI'!B229</f>
        <v>Rances</v>
      </c>
      <c r="C228" s="419">
        <v>187757.81825780973</v>
      </c>
      <c r="D228" s="419">
        <v>-129810.33561838965</v>
      </c>
      <c r="E228" s="396">
        <v>0</v>
      </c>
      <c r="F228" s="396">
        <v>0</v>
      </c>
      <c r="G228" s="396">
        <v>0</v>
      </c>
      <c r="H228" s="419">
        <f t="shared" si="41"/>
        <v>57947.482639420079</v>
      </c>
      <c r="I228" s="420">
        <v>10427.733324716695</v>
      </c>
      <c r="J228" s="361">
        <f>'B) D RI'!U229</f>
        <v>11421.2396274482</v>
      </c>
      <c r="K228" s="62">
        <f t="shared" si="55"/>
        <v>5.5570545232556015</v>
      </c>
      <c r="L228" s="33">
        <f>'B) D RI'!S229</f>
        <v>78</v>
      </c>
      <c r="M228" s="33">
        <f t="shared" si="50"/>
        <v>72.442945476744399</v>
      </c>
      <c r="N228" s="33">
        <f>'J) Plafonnement effort'!G227+'J) Plafonnement effort'!I227-'K) Plafonnement aide'!I227</f>
        <v>0.10997418817823679</v>
      </c>
      <c r="O228" s="126">
        <f t="shared" si="51"/>
        <v>72.552919664922641</v>
      </c>
      <c r="P228" s="47">
        <f t="shared" si="52"/>
        <v>0</v>
      </c>
      <c r="Q228" s="55">
        <f t="shared" si="56"/>
        <v>0</v>
      </c>
      <c r="R228" s="146">
        <f t="shared" si="53"/>
        <v>72.552919664922641</v>
      </c>
      <c r="S228" s="126">
        <f t="shared" si="54"/>
        <v>-5.4470803350773593</v>
      </c>
      <c r="T228" s="145">
        <f t="shared" si="42"/>
        <v>0</v>
      </c>
      <c r="V228" s="12"/>
    </row>
    <row r="229" spans="1:22" x14ac:dyDescent="0.25">
      <c r="A229" s="49">
        <f>'A) Base RI'!A230</f>
        <v>5761</v>
      </c>
      <c r="B229" s="357" t="str">
        <f>'A) Base RI'!B230</f>
        <v>Romainmôtier-Envy</v>
      </c>
      <c r="C229" s="419">
        <v>260522.60109633056</v>
      </c>
      <c r="D229" s="419">
        <v>-127145.27747491412</v>
      </c>
      <c r="E229" s="396">
        <v>0</v>
      </c>
      <c r="F229" s="396">
        <v>0</v>
      </c>
      <c r="G229" s="396">
        <v>0</v>
      </c>
      <c r="H229" s="419">
        <f t="shared" si="41"/>
        <v>133377.32362141644</v>
      </c>
      <c r="I229" s="420">
        <v>12825.466828901401</v>
      </c>
      <c r="J229" s="361">
        <f>'B) D RI'!U230</f>
        <v>14547.39613540147</v>
      </c>
      <c r="K229" s="62">
        <f t="shared" si="55"/>
        <v>10.399412777775764</v>
      </c>
      <c r="L229" s="33">
        <f>'B) D RI'!S230</f>
        <v>81</v>
      </c>
      <c r="M229" s="33">
        <f t="shared" si="50"/>
        <v>70.600587222224235</v>
      </c>
      <c r="N229" s="33">
        <f>'J) Plafonnement effort'!G228+'J) Plafonnement effort'!I228-'K) Plafonnement aide'!I228</f>
        <v>10.155675963123535</v>
      </c>
      <c r="O229" s="126">
        <f t="shared" si="51"/>
        <v>80.756263185347763</v>
      </c>
      <c r="P229" s="47">
        <f t="shared" si="52"/>
        <v>0</v>
      </c>
      <c r="Q229" s="55">
        <f t="shared" si="56"/>
        <v>0</v>
      </c>
      <c r="R229" s="146">
        <f t="shared" si="53"/>
        <v>80.756263185347763</v>
      </c>
      <c r="S229" s="126">
        <f t="shared" si="54"/>
        <v>-0.2437368146522374</v>
      </c>
      <c r="T229" s="145">
        <f t="shared" si="42"/>
        <v>0</v>
      </c>
      <c r="V229" s="12"/>
    </row>
    <row r="230" spans="1:22" x14ac:dyDescent="0.25">
      <c r="A230" s="49">
        <f>'A) Base RI'!A231</f>
        <v>5762</v>
      </c>
      <c r="B230" s="357" t="str">
        <f>'A) Base RI'!B231</f>
        <v>Sergey</v>
      </c>
      <c r="C230" s="419">
        <v>66077.673805066632</v>
      </c>
      <c r="D230" s="419">
        <v>9333.3896958358382</v>
      </c>
      <c r="E230" s="396">
        <v>0</v>
      </c>
      <c r="F230" s="396">
        <v>0</v>
      </c>
      <c r="G230" s="396">
        <v>0</v>
      </c>
      <c r="H230" s="419">
        <f t="shared" si="41"/>
        <v>75411.06350090247</v>
      </c>
      <c r="I230" s="420">
        <v>3985.6390801086227</v>
      </c>
      <c r="J230" s="361">
        <f>'B) D RI'!U231</f>
        <v>3763.729317622563</v>
      </c>
      <c r="K230" s="62">
        <f t="shared" si="55"/>
        <v>18.920695523400791</v>
      </c>
      <c r="L230" s="33">
        <f>'B) D RI'!S231</f>
        <v>78</v>
      </c>
      <c r="M230" s="33">
        <f t="shared" si="50"/>
        <v>59.079304476599205</v>
      </c>
      <c r="N230" s="33">
        <f>'J) Plafonnement effort'!G229+'J) Plafonnement effort'!I229-'K) Plafonnement aide'!I229</f>
        <v>8.0104759843884885</v>
      </c>
      <c r="O230" s="126">
        <f t="shared" si="51"/>
        <v>67.089780460987697</v>
      </c>
      <c r="P230" s="47">
        <f t="shared" si="52"/>
        <v>0</v>
      </c>
      <c r="Q230" s="55">
        <f t="shared" si="56"/>
        <v>0</v>
      </c>
      <c r="R230" s="146">
        <f t="shared" si="53"/>
        <v>67.089780460987697</v>
      </c>
      <c r="S230" s="126">
        <f t="shared" si="54"/>
        <v>-10.910219539012303</v>
      </c>
      <c r="T230" s="145">
        <f t="shared" si="42"/>
        <v>0</v>
      </c>
      <c r="V230" s="12"/>
    </row>
    <row r="231" spans="1:22" x14ac:dyDescent="0.25">
      <c r="A231" s="49">
        <f>'A) Base RI'!A232</f>
        <v>5763</v>
      </c>
      <c r="B231" s="357" t="str">
        <f>'A) Base RI'!B232</f>
        <v>Valeyres-sous-Rances</v>
      </c>
      <c r="C231" s="419">
        <v>355721.38961096347</v>
      </c>
      <c r="D231" s="419">
        <v>183026.50353873844</v>
      </c>
      <c r="E231" s="396">
        <v>0</v>
      </c>
      <c r="F231" s="396">
        <v>0</v>
      </c>
      <c r="G231" s="396">
        <v>0</v>
      </c>
      <c r="H231" s="419">
        <f t="shared" si="41"/>
        <v>538747.89314970188</v>
      </c>
      <c r="I231" s="420">
        <v>20114.818063776223</v>
      </c>
      <c r="J231" s="361">
        <f>'B) D RI'!U232</f>
        <v>20916.396171179269</v>
      </c>
      <c r="K231" s="62">
        <f t="shared" si="55"/>
        <v>26.783632416735909</v>
      </c>
      <c r="L231" s="33">
        <f>'B) D RI'!S232</f>
        <v>65</v>
      </c>
      <c r="M231" s="33">
        <f t="shared" si="50"/>
        <v>38.216367583264088</v>
      </c>
      <c r="N231" s="33">
        <f>'J) Plafonnement effort'!G230+'J) Plafonnement effort'!I230-'K) Plafonnement aide'!I230</f>
        <v>16.924346377315381</v>
      </c>
      <c r="O231" s="126">
        <f t="shared" si="51"/>
        <v>55.140713960579468</v>
      </c>
      <c r="P231" s="47">
        <f t="shared" si="52"/>
        <v>0</v>
      </c>
      <c r="Q231" s="55">
        <f t="shared" si="56"/>
        <v>0</v>
      </c>
      <c r="R231" s="146">
        <f t="shared" si="53"/>
        <v>55.140713960579468</v>
      </c>
      <c r="S231" s="126">
        <f t="shared" si="54"/>
        <v>-9.8592860394205317</v>
      </c>
      <c r="T231" s="145">
        <f t="shared" si="42"/>
        <v>0</v>
      </c>
      <c r="V231" s="12"/>
    </row>
    <row r="232" spans="1:22" x14ac:dyDescent="0.25">
      <c r="A232" s="49">
        <f>'A) Base RI'!A233</f>
        <v>5764</v>
      </c>
      <c r="B232" s="357" t="str">
        <f>'A) Base RI'!B233</f>
        <v>Vallorbe</v>
      </c>
      <c r="C232" s="419">
        <v>2062750.9270199342</v>
      </c>
      <c r="D232" s="419">
        <v>-1580512.7849136046</v>
      </c>
      <c r="E232" s="396">
        <v>0</v>
      </c>
      <c r="F232" s="396">
        <v>0</v>
      </c>
      <c r="G232" s="396">
        <v>0</v>
      </c>
      <c r="H232" s="419">
        <f t="shared" si="41"/>
        <v>482238.14210632956</v>
      </c>
      <c r="I232" s="420">
        <v>81234.457849579077</v>
      </c>
      <c r="J232" s="361">
        <f>'B) D RI'!U233</f>
        <v>83482.591885585367</v>
      </c>
      <c r="K232" s="62">
        <f t="shared" si="55"/>
        <v>5.9363742292622232</v>
      </c>
      <c r="L232" s="33">
        <f>'B) D RI'!S233</f>
        <v>73</v>
      </c>
      <c r="M232" s="33">
        <f t="shared" si="50"/>
        <v>67.063625770737772</v>
      </c>
      <c r="N232" s="33">
        <f>'J) Plafonnement effort'!G231+'J) Plafonnement effort'!I231-'K) Plafonnement aide'!I231</f>
        <v>-15.018097472323433</v>
      </c>
      <c r="O232" s="126">
        <f t="shared" si="51"/>
        <v>52.045528298414339</v>
      </c>
      <c r="P232" s="47">
        <f t="shared" si="52"/>
        <v>0</v>
      </c>
      <c r="Q232" s="55">
        <f t="shared" si="56"/>
        <v>0</v>
      </c>
      <c r="R232" s="146">
        <f t="shared" si="53"/>
        <v>52.045528298414339</v>
      </c>
      <c r="S232" s="126">
        <f t="shared" si="54"/>
        <v>-20.954471701585661</v>
      </c>
      <c r="T232" s="145">
        <f t="shared" si="42"/>
        <v>0</v>
      </c>
      <c r="V232" s="12"/>
    </row>
    <row r="233" spans="1:22" x14ac:dyDescent="0.25">
      <c r="A233" s="49">
        <f>'A) Base RI'!A234</f>
        <v>5765</v>
      </c>
      <c r="B233" s="357" t="str">
        <f>'A) Base RI'!B234</f>
        <v>Vaulion</v>
      </c>
      <c r="C233" s="419">
        <v>175008.82158023451</v>
      </c>
      <c r="D233" s="419">
        <v>-187296.47902418184</v>
      </c>
      <c r="E233" s="396">
        <v>0</v>
      </c>
      <c r="F233" s="396">
        <v>0</v>
      </c>
      <c r="G233" s="396">
        <v>0</v>
      </c>
      <c r="H233" s="419">
        <f t="shared" si="41"/>
        <v>-12287.657443947333</v>
      </c>
      <c r="I233" s="420">
        <v>9570.1875488405149</v>
      </c>
      <c r="J233" s="361">
        <f>'B) D RI'!U234</f>
        <v>9771.3712818501954</v>
      </c>
      <c r="K233" s="62">
        <f t="shared" si="55"/>
        <v>-1.283951582060276</v>
      </c>
      <c r="L233" s="33">
        <f>'B) D RI'!S234</f>
        <v>81</v>
      </c>
      <c r="M233" s="33">
        <f t="shared" si="50"/>
        <v>82.283951582060283</v>
      </c>
      <c r="N233" s="33">
        <f>'J) Plafonnement effort'!G232+'J) Plafonnement effort'!I232-'K) Plafonnement aide'!I232</f>
        <v>-11.760071921557959</v>
      </c>
      <c r="O233" s="126">
        <f t="shared" si="51"/>
        <v>70.523879660502331</v>
      </c>
      <c r="P233" s="47">
        <f t="shared" si="52"/>
        <v>0</v>
      </c>
      <c r="Q233" s="55">
        <f t="shared" si="56"/>
        <v>0</v>
      </c>
      <c r="R233" s="146">
        <f t="shared" si="53"/>
        <v>70.523879660502331</v>
      </c>
      <c r="S233" s="126">
        <f t="shared" si="54"/>
        <v>-10.476120339497669</v>
      </c>
      <c r="T233" s="145">
        <f t="shared" si="42"/>
        <v>0</v>
      </c>
      <c r="V233" s="12"/>
    </row>
    <row r="234" spans="1:22" x14ac:dyDescent="0.25">
      <c r="A234" s="49">
        <f>'A) Base RI'!A235</f>
        <v>5766</v>
      </c>
      <c r="B234" s="357" t="str">
        <f>'A) Base RI'!B235</f>
        <v>Vuiteboeuf</v>
      </c>
      <c r="C234" s="419">
        <v>249121.48614509392</v>
      </c>
      <c r="D234" s="419">
        <v>-121134.13555066744</v>
      </c>
      <c r="E234" s="396">
        <v>0</v>
      </c>
      <c r="F234" s="396">
        <v>0</v>
      </c>
      <c r="G234" s="396">
        <v>0</v>
      </c>
      <c r="H234" s="419">
        <f t="shared" si="41"/>
        <v>127987.35059442648</v>
      </c>
      <c r="I234" s="420">
        <v>12893.801548266167</v>
      </c>
      <c r="J234" s="361">
        <f>'B) D RI'!U235</f>
        <v>13156.989379669412</v>
      </c>
      <c r="K234" s="62">
        <f t="shared" si="55"/>
        <v>9.9262696199661118</v>
      </c>
      <c r="L234" s="33">
        <f>'B) D RI'!S235</f>
        <v>77</v>
      </c>
      <c r="M234" s="33">
        <f t="shared" si="50"/>
        <v>67.073730380033894</v>
      </c>
      <c r="N234" s="33">
        <f>'J) Plafonnement effort'!G233+'J) Plafonnement effort'!I233-'K) Plafonnement aide'!I233</f>
        <v>0.23213080480135595</v>
      </c>
      <c r="O234" s="126">
        <f t="shared" si="51"/>
        <v>67.305861184835251</v>
      </c>
      <c r="P234" s="47">
        <f t="shared" si="52"/>
        <v>0</v>
      </c>
      <c r="Q234" s="55">
        <f t="shared" si="56"/>
        <v>0</v>
      </c>
      <c r="R234" s="146">
        <f t="shared" si="53"/>
        <v>67.305861184835251</v>
      </c>
      <c r="S234" s="126">
        <f t="shared" si="54"/>
        <v>-9.6941388151647487</v>
      </c>
      <c r="T234" s="145">
        <f t="shared" si="42"/>
        <v>0</v>
      </c>
      <c r="V234" s="12"/>
    </row>
    <row r="235" spans="1:22" x14ac:dyDescent="0.25">
      <c r="A235" s="49">
        <f>'A) Base RI'!A236</f>
        <v>5785</v>
      </c>
      <c r="B235" s="357" t="str">
        <f>'A) Base RI'!B236</f>
        <v>Corcelles-le-Jorat</v>
      </c>
      <c r="C235" s="419">
        <v>279746.82579684327</v>
      </c>
      <c r="D235" s="419">
        <v>126967.76948039641</v>
      </c>
      <c r="E235" s="396">
        <v>0</v>
      </c>
      <c r="F235" s="396">
        <v>0</v>
      </c>
      <c r="G235" s="396">
        <v>0</v>
      </c>
      <c r="H235" s="419">
        <f t="shared" si="41"/>
        <v>406714.59527723968</v>
      </c>
      <c r="I235" s="420">
        <v>15470.207510777882</v>
      </c>
      <c r="J235" s="361">
        <f>'B) D RI'!U236</f>
        <v>15572.051048960157</v>
      </c>
      <c r="K235" s="62">
        <f t="shared" si="55"/>
        <v>26.290183566955207</v>
      </c>
      <c r="L235" s="33">
        <f>'B) D RI'!S236</f>
        <v>77</v>
      </c>
      <c r="M235" s="33">
        <f t="shared" si="50"/>
        <v>50.709816433044793</v>
      </c>
      <c r="N235" s="33">
        <f>'J) Plafonnement effort'!G234+'J) Plafonnement effort'!I234-'K) Plafonnement aide'!I234</f>
        <v>23.791254273953001</v>
      </c>
      <c r="O235" s="126">
        <f t="shared" si="51"/>
        <v>74.501070706997794</v>
      </c>
      <c r="P235" s="47">
        <f t="shared" si="52"/>
        <v>0</v>
      </c>
      <c r="Q235" s="55">
        <f t="shared" si="56"/>
        <v>0</v>
      </c>
      <c r="R235" s="146">
        <f t="shared" si="53"/>
        <v>74.501070706997794</v>
      </c>
      <c r="S235" s="126">
        <f t="shared" si="54"/>
        <v>-2.498929293002206</v>
      </c>
      <c r="T235" s="145">
        <f t="shared" si="42"/>
        <v>0</v>
      </c>
      <c r="V235" s="12"/>
    </row>
    <row r="236" spans="1:22" x14ac:dyDescent="0.25">
      <c r="A236" s="49">
        <f>'A) Base RI'!A237</f>
        <v>5788</v>
      </c>
      <c r="B236" s="357" t="str">
        <f>'A) Base RI'!B237</f>
        <v>Essertes</v>
      </c>
      <c r="C236" s="419">
        <v>243849.04858709103</v>
      </c>
      <c r="D236" s="419">
        <v>103409.62772775847</v>
      </c>
      <c r="E236" s="396">
        <v>0</v>
      </c>
      <c r="F236" s="396">
        <v>0</v>
      </c>
      <c r="G236" s="396">
        <v>0</v>
      </c>
      <c r="H236" s="419">
        <f t="shared" si="41"/>
        <v>347258.67631484952</v>
      </c>
      <c r="I236" s="420">
        <v>11538.273586899442</v>
      </c>
      <c r="J236" s="361">
        <f>'B) D RI'!U237</f>
        <v>11883.854268348969</v>
      </c>
      <c r="K236" s="62">
        <f t="shared" si="55"/>
        <v>30.096242189050457</v>
      </c>
      <c r="L236" s="33">
        <f>'B) D RI'!S237</f>
        <v>72</v>
      </c>
      <c r="M236" s="33">
        <f t="shared" si="50"/>
        <v>41.903757810949543</v>
      </c>
      <c r="N236" s="33">
        <f>'J) Plafonnement effort'!G235+'J) Plafonnement effort'!I235-'K) Plafonnement aide'!I235</f>
        <v>23.827930633430725</v>
      </c>
      <c r="O236" s="126">
        <f t="shared" si="51"/>
        <v>65.731688444380268</v>
      </c>
      <c r="P236" s="47">
        <f t="shared" si="52"/>
        <v>0</v>
      </c>
      <c r="Q236" s="55">
        <f t="shared" si="56"/>
        <v>0</v>
      </c>
      <c r="R236" s="146">
        <f t="shared" si="53"/>
        <v>65.731688444380268</v>
      </c>
      <c r="S236" s="126">
        <f t="shared" si="54"/>
        <v>-6.2683115556197322</v>
      </c>
      <c r="T236" s="145">
        <f t="shared" si="42"/>
        <v>0</v>
      </c>
      <c r="V236" s="12"/>
    </row>
    <row r="237" spans="1:22" x14ac:dyDescent="0.25">
      <c r="A237" s="49">
        <f>'A) Base RI'!A238</f>
        <v>5790</v>
      </c>
      <c r="B237" s="357" t="str">
        <f>'A) Base RI'!B238</f>
        <v>Maracon</v>
      </c>
      <c r="C237" s="419">
        <v>246653.96995774203</v>
      </c>
      <c r="D237" s="419">
        <v>-34307.708356979652</v>
      </c>
      <c r="E237" s="396">
        <v>0</v>
      </c>
      <c r="F237" s="396">
        <v>0</v>
      </c>
      <c r="G237" s="396">
        <v>0</v>
      </c>
      <c r="H237" s="419">
        <f t="shared" si="41"/>
        <v>212346.26160076237</v>
      </c>
      <c r="I237" s="420">
        <v>12104.202592846941</v>
      </c>
      <c r="J237" s="361">
        <f>'B) D RI'!U238</f>
        <v>13256.164125976293</v>
      </c>
      <c r="K237" s="62">
        <f t="shared" si="55"/>
        <v>17.543184689113666</v>
      </c>
      <c r="L237" s="33">
        <f>'B) D RI'!S238</f>
        <v>76</v>
      </c>
      <c r="M237" s="33">
        <f t="shared" si="50"/>
        <v>58.456815310886334</v>
      </c>
      <c r="N237" s="33">
        <f>'J) Plafonnement effort'!G236+'J) Plafonnement effort'!I236-'K) Plafonnement aide'!I236</f>
        <v>12.926877864698902</v>
      </c>
      <c r="O237" s="126">
        <f t="shared" si="51"/>
        <v>71.383693175585236</v>
      </c>
      <c r="P237" s="47">
        <f t="shared" si="52"/>
        <v>0</v>
      </c>
      <c r="Q237" s="55">
        <f t="shared" si="56"/>
        <v>0</v>
      </c>
      <c r="R237" s="146">
        <f t="shared" si="53"/>
        <v>71.383693175585236</v>
      </c>
      <c r="S237" s="126">
        <f t="shared" si="54"/>
        <v>-4.6163068244147638</v>
      </c>
      <c r="T237" s="145">
        <f t="shared" si="42"/>
        <v>0</v>
      </c>
      <c r="V237" s="12"/>
    </row>
    <row r="238" spans="1:22" x14ac:dyDescent="0.25">
      <c r="A238" s="49">
        <f>'A) Base RI'!A239</f>
        <v>5792</v>
      </c>
      <c r="B238" s="357" t="str">
        <f>'A) Base RI'!B239</f>
        <v>Montpreveyres</v>
      </c>
      <c r="C238" s="419">
        <v>335479.55598205299</v>
      </c>
      <c r="D238" s="419">
        <v>-13160.179780889826</v>
      </c>
      <c r="E238" s="396">
        <v>0</v>
      </c>
      <c r="F238" s="396">
        <v>0</v>
      </c>
      <c r="G238" s="396">
        <v>0</v>
      </c>
      <c r="H238" s="419">
        <f t="shared" si="41"/>
        <v>322319.37620116316</v>
      </c>
      <c r="I238" s="420">
        <v>17389.927760878301</v>
      </c>
      <c r="J238" s="361">
        <f>'B) D RI'!U239</f>
        <v>18726.471313410195</v>
      </c>
      <c r="K238" s="62">
        <f t="shared" si="55"/>
        <v>18.534831232955277</v>
      </c>
      <c r="L238" s="33">
        <f>'B) D RI'!S239</f>
        <v>77</v>
      </c>
      <c r="M238" s="33">
        <f t="shared" si="50"/>
        <v>58.465168767044723</v>
      </c>
      <c r="N238" s="33">
        <f>'J) Plafonnement effort'!G237+'J) Plafonnement effort'!I237-'K) Plafonnement aide'!I237</f>
        <v>15.046441735368894</v>
      </c>
      <c r="O238" s="126">
        <f t="shared" si="51"/>
        <v>73.511610502413617</v>
      </c>
      <c r="P238" s="47">
        <f t="shared" si="52"/>
        <v>0</v>
      </c>
      <c r="Q238" s="55">
        <f t="shared" si="56"/>
        <v>0</v>
      </c>
      <c r="R238" s="146">
        <f t="shared" si="53"/>
        <v>73.511610502413617</v>
      </c>
      <c r="S238" s="126">
        <f t="shared" si="54"/>
        <v>-3.4883894975863825</v>
      </c>
      <c r="T238" s="145">
        <f t="shared" si="42"/>
        <v>0</v>
      </c>
      <c r="V238" s="12"/>
    </row>
    <row r="239" spans="1:22" x14ac:dyDescent="0.25">
      <c r="A239" s="49">
        <f>'A) Base RI'!A240</f>
        <v>5798</v>
      </c>
      <c r="B239" s="357" t="str">
        <f>'A) Base RI'!B240</f>
        <v>Ropraz</v>
      </c>
      <c r="C239" s="419">
        <v>273840.0214546771</v>
      </c>
      <c r="D239" s="419">
        <v>72461.223907666077</v>
      </c>
      <c r="E239" s="396">
        <v>0</v>
      </c>
      <c r="F239" s="396">
        <v>0</v>
      </c>
      <c r="G239" s="396">
        <v>0</v>
      </c>
      <c r="H239" s="419">
        <f t="shared" si="41"/>
        <v>346301.24536234315</v>
      </c>
      <c r="I239" s="420">
        <v>13992.205782654681</v>
      </c>
      <c r="J239" s="361">
        <f>'B) D RI'!U240</f>
        <v>13725.260150883058</v>
      </c>
      <c r="K239" s="62">
        <f t="shared" si="55"/>
        <v>24.749582070300349</v>
      </c>
      <c r="L239" s="33">
        <f>'B) D RI'!S240</f>
        <v>77.5</v>
      </c>
      <c r="M239" s="33">
        <f t="shared" si="50"/>
        <v>52.750417929699651</v>
      </c>
      <c r="N239" s="33">
        <f>'J) Plafonnement effort'!G238+'J) Plafonnement effort'!I238-'K) Plafonnement aide'!I238</f>
        <v>14.266276933743621</v>
      </c>
      <c r="O239" s="126">
        <f t="shared" si="51"/>
        <v>67.016694863443277</v>
      </c>
      <c r="P239" s="47">
        <f t="shared" si="52"/>
        <v>0</v>
      </c>
      <c r="Q239" s="55">
        <f t="shared" si="56"/>
        <v>0</v>
      </c>
      <c r="R239" s="146">
        <f t="shared" si="53"/>
        <v>67.016694863443277</v>
      </c>
      <c r="S239" s="126">
        <f t="shared" si="54"/>
        <v>-10.483305136556723</v>
      </c>
      <c r="T239" s="145">
        <f t="shared" si="42"/>
        <v>0</v>
      </c>
      <c r="V239" s="12"/>
    </row>
    <row r="240" spans="1:22" x14ac:dyDescent="0.25">
      <c r="A240" s="49">
        <f>'A) Base RI'!A241</f>
        <v>5799</v>
      </c>
      <c r="B240" s="357" t="str">
        <f>'A) Base RI'!B241</f>
        <v>Servion</v>
      </c>
      <c r="C240" s="419">
        <v>1153169.4165797925</v>
      </c>
      <c r="D240" s="419">
        <v>474987.39451051853</v>
      </c>
      <c r="E240" s="396">
        <v>0</v>
      </c>
      <c r="F240" s="396">
        <v>0</v>
      </c>
      <c r="G240" s="396">
        <v>0</v>
      </c>
      <c r="H240" s="419">
        <f t="shared" si="41"/>
        <v>1628156.811090311</v>
      </c>
      <c r="I240" s="420">
        <v>65260.062669214836</v>
      </c>
      <c r="J240" s="361">
        <f>'B) D RI'!U241</f>
        <v>68712.576636224549</v>
      </c>
      <c r="K240" s="62">
        <f t="shared" si="55"/>
        <v>24.948747281212192</v>
      </c>
      <c r="L240" s="33">
        <f>'B) D RI'!S241</f>
        <v>69</v>
      </c>
      <c r="M240" s="33">
        <f t="shared" si="50"/>
        <v>44.051252718787808</v>
      </c>
      <c r="N240" s="33">
        <f>'J) Plafonnement effort'!G239+'J) Plafonnement effort'!I239-'K) Plafonnement aide'!I239</f>
        <v>25.346448359581515</v>
      </c>
      <c r="O240" s="126">
        <f t="shared" si="51"/>
        <v>69.397701078369323</v>
      </c>
      <c r="P240" s="47">
        <f t="shared" si="52"/>
        <v>0</v>
      </c>
      <c r="Q240" s="55">
        <f t="shared" si="56"/>
        <v>0</v>
      </c>
      <c r="R240" s="146">
        <f t="shared" si="53"/>
        <v>69.397701078369323</v>
      </c>
      <c r="S240" s="126">
        <f t="shared" si="54"/>
        <v>0.39770107836932311</v>
      </c>
      <c r="T240" s="145">
        <f t="shared" si="42"/>
        <v>0</v>
      </c>
      <c r="V240" s="12"/>
    </row>
    <row r="241" spans="1:22" x14ac:dyDescent="0.25">
      <c r="A241" s="49">
        <f>'A) Base RI'!A242</f>
        <v>5803</v>
      </c>
      <c r="B241" s="357" t="str">
        <f>'A) Base RI'!B242</f>
        <v>Vulliens</v>
      </c>
      <c r="C241" s="419">
        <v>289109.62168631988</v>
      </c>
      <c r="D241" s="419">
        <v>58719.574169167725</v>
      </c>
      <c r="E241" s="396">
        <v>0</v>
      </c>
      <c r="F241" s="396">
        <v>0</v>
      </c>
      <c r="G241" s="396">
        <v>0</v>
      </c>
      <c r="H241" s="419">
        <f t="shared" si="41"/>
        <v>347829.1958554876</v>
      </c>
      <c r="I241" s="420">
        <v>15516.870988563373</v>
      </c>
      <c r="J241" s="361">
        <f>'B) D RI'!U242</f>
        <v>16546.34632030463</v>
      </c>
      <c r="K241" s="62">
        <f t="shared" si="55"/>
        <v>22.416194354638463</v>
      </c>
      <c r="L241" s="33">
        <f>'B) D RI'!S242</f>
        <v>78</v>
      </c>
      <c r="M241" s="33">
        <f t="shared" si="50"/>
        <v>55.583805645361537</v>
      </c>
      <c r="N241" s="33">
        <f>'J) Plafonnement effort'!G240+'J) Plafonnement effort'!I240-'K) Plafonnement aide'!I240</f>
        <v>15.813845368581966</v>
      </c>
      <c r="O241" s="126">
        <f t="shared" si="51"/>
        <v>71.397651013943502</v>
      </c>
      <c r="P241" s="47">
        <f t="shared" si="52"/>
        <v>0</v>
      </c>
      <c r="Q241" s="55">
        <f t="shared" si="56"/>
        <v>0</v>
      </c>
      <c r="R241" s="146">
        <f t="shared" si="53"/>
        <v>71.397651013943502</v>
      </c>
      <c r="S241" s="126">
        <f t="shared" si="54"/>
        <v>-6.6023489860564979</v>
      </c>
      <c r="T241" s="145">
        <f t="shared" si="42"/>
        <v>0</v>
      </c>
      <c r="V241" s="12"/>
    </row>
    <row r="242" spans="1:22" x14ac:dyDescent="0.25">
      <c r="A242" s="49">
        <f>'A) Base RI'!A243</f>
        <v>5804</v>
      </c>
      <c r="B242" s="357" t="str">
        <f>'A) Base RI'!B243</f>
        <v>Jorat-Menthue</v>
      </c>
      <c r="C242" s="419">
        <v>863490.73932384793</v>
      </c>
      <c r="D242" s="419">
        <v>173861.40416909021</v>
      </c>
      <c r="E242" s="396">
        <v>0</v>
      </c>
      <c r="F242" s="396">
        <v>0</v>
      </c>
      <c r="G242" s="396">
        <v>0</v>
      </c>
      <c r="H242" s="419">
        <f t="shared" si="41"/>
        <v>1037352.1434929381</v>
      </c>
      <c r="I242" s="420">
        <v>47010.590890855121</v>
      </c>
      <c r="J242" s="361">
        <f>'B) D RI'!U243</f>
        <v>47504.398266419383</v>
      </c>
      <c r="K242" s="62">
        <f>H242/I242</f>
        <v>22.066349812563878</v>
      </c>
      <c r="L242" s="33">
        <f>'B) D RI'!S243</f>
        <v>72</v>
      </c>
      <c r="M242" s="33">
        <f>L242-K242</f>
        <v>49.933650187436122</v>
      </c>
      <c r="N242" s="33">
        <f>'J) Plafonnement effort'!G241+'J) Plafonnement effort'!I241-'K) Plafonnement aide'!I241</f>
        <v>11.278825493576411</v>
      </c>
      <c r="O242" s="126">
        <f>M242+N242</f>
        <v>61.212475681012535</v>
      </c>
      <c r="P242" s="47">
        <f t="shared" si="52"/>
        <v>0</v>
      </c>
      <c r="Q242" s="55">
        <f>P242*J242</f>
        <v>0</v>
      </c>
      <c r="R242" s="146">
        <f>O242+P242</f>
        <v>61.212475681012535</v>
      </c>
      <c r="S242" s="126">
        <f>R242-L242</f>
        <v>-10.787524318987465</v>
      </c>
      <c r="T242" s="145">
        <f t="shared" si="42"/>
        <v>0</v>
      </c>
      <c r="V242" s="12"/>
    </row>
    <row r="243" spans="1:22" x14ac:dyDescent="0.25">
      <c r="A243" s="49">
        <f>'A) Base RI'!A244</f>
        <v>5805</v>
      </c>
      <c r="B243" s="357" t="str">
        <f>'A) Base RI'!B244</f>
        <v>Oron</v>
      </c>
      <c r="C243" s="419">
        <v>2740463.4785061846</v>
      </c>
      <c r="D243" s="419">
        <v>-1096414.0003904155</v>
      </c>
      <c r="E243" s="396">
        <v>0</v>
      </c>
      <c r="F243" s="396">
        <v>0</v>
      </c>
      <c r="G243" s="396">
        <v>0</v>
      </c>
      <c r="H243" s="419">
        <f t="shared" si="41"/>
        <v>1644049.4781157691</v>
      </c>
      <c r="I243" s="420">
        <v>145333.30890614819</v>
      </c>
      <c r="J243" s="361">
        <f>'B) D RI'!U244</f>
        <v>152415.01875763744</v>
      </c>
      <c r="K243" s="62">
        <f>H243/I243</f>
        <v>11.312268952587091</v>
      </c>
      <c r="L243" s="33">
        <f>'B) D RI'!S244</f>
        <v>69</v>
      </c>
      <c r="M243" s="33">
        <f>L243-K243</f>
        <v>57.68773104741291</v>
      </c>
      <c r="N243" s="33">
        <f>'J) Plafonnement effort'!G242+'J) Plafonnement effort'!I242-'K) Plafonnement aide'!I242</f>
        <v>9.6233417926314733</v>
      </c>
      <c r="O243" s="126">
        <f>M243+N243</f>
        <v>67.311072840044389</v>
      </c>
      <c r="P243" s="47">
        <f t="shared" si="52"/>
        <v>0</v>
      </c>
      <c r="Q243" s="55">
        <f>P243*J243</f>
        <v>0</v>
      </c>
      <c r="R243" s="146">
        <f>O243+P243</f>
        <v>67.311072840044389</v>
      </c>
      <c r="S243" s="126">
        <f>R243-L243</f>
        <v>-1.688927159955611</v>
      </c>
      <c r="T243" s="145">
        <f t="shared" si="42"/>
        <v>0</v>
      </c>
      <c r="V243" s="12"/>
    </row>
    <row r="244" spans="1:22" x14ac:dyDescent="0.25">
      <c r="A244" s="49">
        <f>'A) Base RI'!A245</f>
        <v>5806</v>
      </c>
      <c r="B244" s="357" t="str">
        <f>'A) Base RI'!B245</f>
        <v>Jorat-Mézières</v>
      </c>
      <c r="C244" s="419">
        <v>1590908.2835035722</v>
      </c>
      <c r="D244" s="419">
        <v>-67191.048260322073</v>
      </c>
      <c r="E244" s="396">
        <v>0</v>
      </c>
      <c r="F244" s="396">
        <v>0</v>
      </c>
      <c r="G244" s="396">
        <v>0</v>
      </c>
      <c r="H244" s="419">
        <f t="shared" si="41"/>
        <v>1523717.2352432502</v>
      </c>
      <c r="I244" s="420">
        <v>85087.623552631558</v>
      </c>
      <c r="J244" s="361">
        <f>'B) D RI'!U245</f>
        <v>89827.60291631594</v>
      </c>
      <c r="K244" s="62">
        <f>H244/I244</f>
        <v>17.907624771077828</v>
      </c>
      <c r="L244" s="33">
        <f>'B) D RI'!S245</f>
        <v>76</v>
      </c>
      <c r="M244" s="33">
        <f>L244-K244</f>
        <v>58.092375228922172</v>
      </c>
      <c r="N244" s="33">
        <f>'J) Plafonnement effort'!G243+'J) Plafonnement effort'!I243-'K) Plafonnement aide'!I243</f>
        <v>16.351676077073918</v>
      </c>
      <c r="O244" s="126">
        <f>M244+N244</f>
        <v>74.444051305996084</v>
      </c>
      <c r="P244" s="47">
        <f t="shared" ref="P244" si="57">IF(O244&gt;$P$5,$P$5-O244,0)</f>
        <v>0</v>
      </c>
      <c r="Q244" s="55">
        <f>P244*J244</f>
        <v>0</v>
      </c>
      <c r="R244" s="146">
        <f>O244+P244</f>
        <v>74.444051305996084</v>
      </c>
      <c r="S244" s="126">
        <f>R244-L244</f>
        <v>-1.5559486940039164</v>
      </c>
      <c r="T244" s="145">
        <f t="shared" si="42"/>
        <v>0</v>
      </c>
      <c r="V244" s="12"/>
    </row>
    <row r="245" spans="1:22" x14ac:dyDescent="0.25">
      <c r="A245" s="49">
        <f>'A) Base RI'!A246</f>
        <v>5812</v>
      </c>
      <c r="B245" s="357" t="str">
        <f>'A) Base RI'!B246</f>
        <v>Champtauroz</v>
      </c>
      <c r="C245" s="419">
        <v>51775.593210830346</v>
      </c>
      <c r="D245" s="419">
        <v>-47096.332162301624</v>
      </c>
      <c r="E245" s="396">
        <v>0</v>
      </c>
      <c r="F245" s="396">
        <v>0</v>
      </c>
      <c r="G245" s="396">
        <v>0</v>
      </c>
      <c r="H245" s="419">
        <f t="shared" si="41"/>
        <v>4679.2610485287223</v>
      </c>
      <c r="I245" s="420">
        <v>2414.7620603829159</v>
      </c>
      <c r="J245" s="361">
        <f>'B) D RI'!U246</f>
        <v>2432.9524302206905</v>
      </c>
      <c r="K245" s="62">
        <f>H245/I245</f>
        <v>1.9377731352076644</v>
      </c>
      <c r="L245" s="33">
        <f>'B) D RI'!S246</f>
        <v>77</v>
      </c>
      <c r="M245" s="33">
        <f>L245-K245</f>
        <v>75.062226864792336</v>
      </c>
      <c r="N245" s="33">
        <f>'J) Plafonnement effort'!G244+'J) Plafonnement effort'!I244-'K) Plafonnement aide'!I244</f>
        <v>-7.0624510082315979</v>
      </c>
      <c r="O245" s="126">
        <f>M245+N245</f>
        <v>67.999775856560746</v>
      </c>
      <c r="P245" s="47">
        <f t="shared" si="52"/>
        <v>0</v>
      </c>
      <c r="Q245" s="55">
        <f>P245*J245</f>
        <v>0</v>
      </c>
      <c r="R245" s="146">
        <f>O245+P245</f>
        <v>67.999775856560746</v>
      </c>
      <c r="S245" s="126">
        <f>R245-L245</f>
        <v>-9.0002241434392545</v>
      </c>
      <c r="T245" s="145">
        <f t="shared" si="42"/>
        <v>0</v>
      </c>
      <c r="V245" s="12"/>
    </row>
    <row r="246" spans="1:22" x14ac:dyDescent="0.25">
      <c r="A246" s="49">
        <f>'A) Base RI'!A247</f>
        <v>5813</v>
      </c>
      <c r="B246" s="357" t="str">
        <f>'A) Base RI'!B247</f>
        <v>Chevroux</v>
      </c>
      <c r="C246" s="419">
        <v>284797.88576147711</v>
      </c>
      <c r="D246" s="419">
        <v>45620.142326607311</v>
      </c>
      <c r="E246" s="396">
        <v>0</v>
      </c>
      <c r="F246" s="396">
        <v>0</v>
      </c>
      <c r="G246" s="396">
        <v>0</v>
      </c>
      <c r="H246" s="419">
        <f t="shared" si="41"/>
        <v>330418.02808808442</v>
      </c>
      <c r="I246" s="420">
        <v>13113.471464382501</v>
      </c>
      <c r="J246" s="361">
        <f>'B) D RI'!U247</f>
        <v>12841.233936581375</v>
      </c>
      <c r="K246" s="62">
        <f t="shared" si="55"/>
        <v>25.196838913748568</v>
      </c>
      <c r="L246" s="33">
        <f>'B) D RI'!S247</f>
        <v>70</v>
      </c>
      <c r="M246" s="33">
        <f t="shared" si="50"/>
        <v>44.803161086251436</v>
      </c>
      <c r="N246" s="33">
        <f>'J) Plafonnement effort'!G245+'J) Plafonnement effort'!I245-'K) Plafonnement aide'!I245</f>
        <v>17.532645459975132</v>
      </c>
      <c r="O246" s="126">
        <f t="shared" si="51"/>
        <v>62.335806546226564</v>
      </c>
      <c r="P246" s="47">
        <f t="shared" si="52"/>
        <v>0</v>
      </c>
      <c r="Q246" s="55">
        <f t="shared" si="56"/>
        <v>0</v>
      </c>
      <c r="R246" s="146">
        <f t="shared" si="53"/>
        <v>62.335806546226564</v>
      </c>
      <c r="S246" s="126">
        <f t="shared" si="54"/>
        <v>-7.6641934537734357</v>
      </c>
      <c r="T246" s="145">
        <f t="shared" si="42"/>
        <v>0</v>
      </c>
      <c r="V246" s="12"/>
    </row>
    <row r="247" spans="1:22" x14ac:dyDescent="0.25">
      <c r="A247" s="49">
        <f>'A) Base RI'!A248</f>
        <v>5816</v>
      </c>
      <c r="B247" s="357" t="str">
        <f>'A) Base RI'!B248</f>
        <v>Corcelles-près-Payerne</v>
      </c>
      <c r="C247" s="419">
        <v>1049618.4626144806</v>
      </c>
      <c r="D247" s="419">
        <v>-612867.2512876566</v>
      </c>
      <c r="E247" s="396">
        <v>0</v>
      </c>
      <c r="F247" s="396">
        <v>0</v>
      </c>
      <c r="G247" s="396">
        <v>0</v>
      </c>
      <c r="H247" s="419">
        <f t="shared" si="41"/>
        <v>436751.21132682404</v>
      </c>
      <c r="I247" s="420">
        <v>56475.749877973358</v>
      </c>
      <c r="J247" s="361">
        <f>'B) D RI'!U248</f>
        <v>55328.106299465391</v>
      </c>
      <c r="K247" s="62">
        <f t="shared" si="55"/>
        <v>7.7334291668638029</v>
      </c>
      <c r="L247" s="33">
        <f>'B) D RI'!S248</f>
        <v>72</v>
      </c>
      <c r="M247" s="33">
        <f t="shared" si="50"/>
        <v>64.2665708331362</v>
      </c>
      <c r="N247" s="33">
        <f>'J) Plafonnement effort'!G246+'J) Plafonnement effort'!I246-'K) Plafonnement aide'!I246</f>
        <v>-0.92733527064898702</v>
      </c>
      <c r="O247" s="126">
        <f t="shared" si="51"/>
        <v>63.339235562487211</v>
      </c>
      <c r="P247" s="47">
        <f t="shared" si="52"/>
        <v>0</v>
      </c>
      <c r="Q247" s="55">
        <f t="shared" si="56"/>
        <v>0</v>
      </c>
      <c r="R247" s="146">
        <f t="shared" si="53"/>
        <v>63.339235562487211</v>
      </c>
      <c r="S247" s="126">
        <f t="shared" si="54"/>
        <v>-8.660764437512789</v>
      </c>
      <c r="T247" s="145">
        <f t="shared" si="42"/>
        <v>0</v>
      </c>
      <c r="V247" s="12"/>
    </row>
    <row r="248" spans="1:22" x14ac:dyDescent="0.25">
      <c r="A248" s="49">
        <f>'A) Base RI'!A249</f>
        <v>5817</v>
      </c>
      <c r="B248" s="357" t="str">
        <f>'A) Base RI'!B249</f>
        <v>Grandcour</v>
      </c>
      <c r="C248" s="419">
        <v>411624.2523450366</v>
      </c>
      <c r="D248" s="419">
        <v>-124942.66926466394</v>
      </c>
      <c r="E248" s="396">
        <v>0</v>
      </c>
      <c r="F248" s="396">
        <v>0</v>
      </c>
      <c r="G248" s="396">
        <v>0</v>
      </c>
      <c r="H248" s="419">
        <f t="shared" si="41"/>
        <v>286681.58308037266</v>
      </c>
      <c r="I248" s="420">
        <v>22082.516537974258</v>
      </c>
      <c r="J248" s="361">
        <f>'B) D RI'!U249</f>
        <v>23406.066601684674</v>
      </c>
      <c r="K248" s="62">
        <f t="shared" si="55"/>
        <v>12.982287711066803</v>
      </c>
      <c r="L248" s="33">
        <f>'B) D RI'!S249</f>
        <v>77</v>
      </c>
      <c r="M248" s="33">
        <f t="shared" si="50"/>
        <v>64.017712288933197</v>
      </c>
      <c r="N248" s="33">
        <f>'J) Plafonnement effort'!G247+'J) Plafonnement effort'!I247-'K) Plafonnement aide'!I247</f>
        <v>12.170514565522193</v>
      </c>
      <c r="O248" s="126">
        <f t="shared" si="51"/>
        <v>76.188226854455394</v>
      </c>
      <c r="P248" s="47">
        <f t="shared" si="52"/>
        <v>0</v>
      </c>
      <c r="Q248" s="55">
        <f t="shared" si="56"/>
        <v>0</v>
      </c>
      <c r="R248" s="146">
        <f t="shared" si="53"/>
        <v>76.188226854455394</v>
      </c>
      <c r="S248" s="126">
        <f t="shared" si="54"/>
        <v>-0.81177314554460622</v>
      </c>
      <c r="T248" s="145">
        <f t="shared" si="42"/>
        <v>0</v>
      </c>
      <c r="V248" s="12"/>
    </row>
    <row r="249" spans="1:22" x14ac:dyDescent="0.25">
      <c r="A249" s="49">
        <f>'A) Base RI'!A250</f>
        <v>5819</v>
      </c>
      <c r="B249" s="357" t="str">
        <f>'A) Base RI'!B250</f>
        <v>Henniez</v>
      </c>
      <c r="C249" s="419">
        <v>252035.31260967167</v>
      </c>
      <c r="D249" s="419">
        <v>183516.93329430543</v>
      </c>
      <c r="E249" s="396">
        <v>0</v>
      </c>
      <c r="F249" s="396">
        <v>0</v>
      </c>
      <c r="G249" s="396">
        <v>0</v>
      </c>
      <c r="H249" s="419">
        <f t="shared" si="41"/>
        <v>435552.24590397708</v>
      </c>
      <c r="I249" s="420">
        <v>13743.862603576948</v>
      </c>
      <c r="J249" s="361">
        <f>'B) D RI'!U250</f>
        <v>12438.573202549422</v>
      </c>
      <c r="K249" s="62">
        <f t="shared" si="55"/>
        <v>31.69067229983958</v>
      </c>
      <c r="L249" s="33">
        <f>'B) D RI'!S250</f>
        <v>69</v>
      </c>
      <c r="M249" s="33">
        <f t="shared" si="50"/>
        <v>37.309327700160424</v>
      </c>
      <c r="N249" s="33">
        <f>'J) Plafonnement effort'!G248+'J) Plafonnement effort'!I248-'K) Plafonnement aide'!I248</f>
        <v>24.239768984741705</v>
      </c>
      <c r="O249" s="126">
        <f t="shared" si="51"/>
        <v>61.549096684902125</v>
      </c>
      <c r="P249" s="47">
        <f t="shared" si="52"/>
        <v>0</v>
      </c>
      <c r="Q249" s="55">
        <f t="shared" si="56"/>
        <v>0</v>
      </c>
      <c r="R249" s="146">
        <f t="shared" si="53"/>
        <v>61.549096684902125</v>
      </c>
      <c r="S249" s="126">
        <f t="shared" si="54"/>
        <v>-7.4509033150978752</v>
      </c>
      <c r="T249" s="145">
        <f t="shared" si="42"/>
        <v>0</v>
      </c>
      <c r="V249" s="12"/>
    </row>
    <row r="250" spans="1:22" x14ac:dyDescent="0.25">
      <c r="A250" s="49">
        <f>'A) Base RI'!A251</f>
        <v>5821</v>
      </c>
      <c r="B250" s="357" t="str">
        <f>'A) Base RI'!B251</f>
        <v>Missy</v>
      </c>
      <c r="C250" s="419">
        <v>127175.75370843612</v>
      </c>
      <c r="D250" s="419">
        <v>-61460.617104735778</v>
      </c>
      <c r="E250" s="396">
        <v>0</v>
      </c>
      <c r="F250" s="396">
        <v>0</v>
      </c>
      <c r="G250" s="396">
        <v>0</v>
      </c>
      <c r="H250" s="419">
        <f t="shared" si="41"/>
        <v>65715.136603700346</v>
      </c>
      <c r="I250" s="420">
        <v>7638.0636098287778</v>
      </c>
      <c r="J250" s="361">
        <f>'B) D RI'!U251</f>
        <v>8575.631351638991</v>
      </c>
      <c r="K250" s="62">
        <f t="shared" si="55"/>
        <v>8.6036382989972875</v>
      </c>
      <c r="L250" s="33">
        <f>'B) D RI'!S251</f>
        <v>72</v>
      </c>
      <c r="M250" s="33">
        <f t="shared" si="50"/>
        <v>63.396361701002711</v>
      </c>
      <c r="N250" s="33">
        <f>'J) Plafonnement effort'!G249+'J) Plafonnement effort'!I249-'K) Plafonnement aide'!I249</f>
        <v>10.827736069625582</v>
      </c>
      <c r="O250" s="126">
        <f t="shared" si="51"/>
        <v>74.224097770628291</v>
      </c>
      <c r="P250" s="47">
        <f t="shared" si="52"/>
        <v>0</v>
      </c>
      <c r="Q250" s="55">
        <f t="shared" si="56"/>
        <v>0</v>
      </c>
      <c r="R250" s="146">
        <f t="shared" si="53"/>
        <v>74.224097770628291</v>
      </c>
      <c r="S250" s="126">
        <f t="shared" si="54"/>
        <v>2.2240977706282905</v>
      </c>
      <c r="T250" s="145">
        <f t="shared" si="42"/>
        <v>0</v>
      </c>
      <c r="V250" s="12"/>
    </row>
    <row r="251" spans="1:22" x14ac:dyDescent="0.25">
      <c r="A251" s="49">
        <f>'A) Base RI'!A252</f>
        <v>5822</v>
      </c>
      <c r="B251" s="357" t="str">
        <f>'A) Base RI'!B252</f>
        <v>Payerne</v>
      </c>
      <c r="C251" s="419">
        <v>4437687.6984784147</v>
      </c>
      <c r="D251" s="419">
        <v>-4599043.9342418909</v>
      </c>
      <c r="E251" s="396">
        <v>0</v>
      </c>
      <c r="F251" s="396">
        <v>0</v>
      </c>
      <c r="G251" s="396">
        <v>0</v>
      </c>
      <c r="H251" s="419">
        <f t="shared" si="41"/>
        <v>-161356.23576347623</v>
      </c>
      <c r="I251" s="420">
        <v>236156.50420606061</v>
      </c>
      <c r="J251" s="361">
        <f>'B) D RI'!U252</f>
        <v>236916.04439002261</v>
      </c>
      <c r="K251" s="62">
        <f t="shared" si="55"/>
        <v>-0.68325975736278388</v>
      </c>
      <c r="L251" s="33">
        <f>'B) D RI'!S252</f>
        <v>75</v>
      </c>
      <c r="M251" s="33">
        <f t="shared" si="50"/>
        <v>75.683259757362791</v>
      </c>
      <c r="N251" s="33">
        <f>'J) Plafonnement effort'!G250+'J) Plafonnement effort'!I250-'K) Plafonnement aide'!I250</f>
        <v>-8.090179829829248</v>
      </c>
      <c r="O251" s="126">
        <f t="shared" si="51"/>
        <v>67.593079927533537</v>
      </c>
      <c r="P251" s="47">
        <f t="shared" si="52"/>
        <v>0</v>
      </c>
      <c r="Q251" s="55">
        <f t="shared" si="56"/>
        <v>0</v>
      </c>
      <c r="R251" s="146">
        <f t="shared" si="53"/>
        <v>67.593079927533537</v>
      </c>
      <c r="S251" s="126">
        <f t="shared" si="54"/>
        <v>-7.4069200724664626</v>
      </c>
      <c r="T251" s="145">
        <f t="shared" si="42"/>
        <v>0</v>
      </c>
      <c r="V251" s="12"/>
    </row>
    <row r="252" spans="1:22" x14ac:dyDescent="0.25">
      <c r="A252" s="49">
        <f>'A) Base RI'!A253</f>
        <v>5827</v>
      </c>
      <c r="B252" s="357" t="str">
        <f>'A) Base RI'!B253</f>
        <v>Trey</v>
      </c>
      <c r="C252" s="419">
        <v>120823.53204818715</v>
      </c>
      <c r="D252" s="419">
        <v>-37511.233235313062</v>
      </c>
      <c r="E252" s="396">
        <v>0</v>
      </c>
      <c r="F252" s="396">
        <v>0</v>
      </c>
      <c r="G252" s="396">
        <v>0</v>
      </c>
      <c r="H252" s="419">
        <f t="shared" si="41"/>
        <v>83312.298812874084</v>
      </c>
      <c r="I252" s="420">
        <v>6690.1986933784046</v>
      </c>
      <c r="J252" s="361">
        <f>'B) D RI'!U253</f>
        <v>7081.6159611211069</v>
      </c>
      <c r="K252" s="62">
        <f t="shared" si="55"/>
        <v>12.452888565975188</v>
      </c>
      <c r="L252" s="33">
        <f>'B) D RI'!S253</f>
        <v>80</v>
      </c>
      <c r="M252" s="33">
        <f t="shared" si="50"/>
        <v>67.547111434024814</v>
      </c>
      <c r="N252" s="33">
        <f>'J) Plafonnement effort'!G251+'J) Plafonnement effort'!I251-'K) Plafonnement aide'!I251</f>
        <v>8.1554574244019395</v>
      </c>
      <c r="O252" s="126">
        <f t="shared" si="51"/>
        <v>75.702568858426758</v>
      </c>
      <c r="P252" s="47">
        <f t="shared" si="52"/>
        <v>0</v>
      </c>
      <c r="Q252" s="55">
        <f t="shared" si="56"/>
        <v>0</v>
      </c>
      <c r="R252" s="146">
        <f t="shared" si="53"/>
        <v>75.702568858426758</v>
      </c>
      <c r="S252" s="126">
        <f t="shared" si="54"/>
        <v>-4.2974311415732416</v>
      </c>
      <c r="T252" s="145">
        <f t="shared" si="42"/>
        <v>0</v>
      </c>
      <c r="V252" s="12"/>
    </row>
    <row r="253" spans="1:22" x14ac:dyDescent="0.25">
      <c r="A253" s="49">
        <f>'A) Base RI'!A254</f>
        <v>5828</v>
      </c>
      <c r="B253" s="357" t="str">
        <f>'A) Base RI'!B254</f>
        <v>Treytorrens (Payerne)</v>
      </c>
      <c r="C253" s="419">
        <v>53979.169992435767</v>
      </c>
      <c r="D253" s="419">
        <v>-60365.554751838361</v>
      </c>
      <c r="E253" s="396">
        <v>0</v>
      </c>
      <c r="F253" s="396">
        <v>0</v>
      </c>
      <c r="G253" s="396">
        <v>0</v>
      </c>
      <c r="H253" s="419">
        <f t="shared" si="41"/>
        <v>-6386.3847594025938</v>
      </c>
      <c r="I253" s="420">
        <v>2279.6786771708244</v>
      </c>
      <c r="J253" s="361">
        <f>'B) D RI'!U254</f>
        <v>2673.2421559488716</v>
      </c>
      <c r="K253" s="62">
        <f t="shared" si="55"/>
        <v>-2.8014407571370374</v>
      </c>
      <c r="L253" s="33">
        <f>'B) D RI'!S254</f>
        <v>84</v>
      </c>
      <c r="M253" s="33">
        <f t="shared" si="50"/>
        <v>86.801440757137044</v>
      </c>
      <c r="N253" s="33">
        <f>'J) Plafonnement effort'!G252+'J) Plafonnement effort'!I252-'K) Plafonnement aide'!I252</f>
        <v>-7.634138320801469</v>
      </c>
      <c r="O253" s="126">
        <f t="shared" si="51"/>
        <v>79.167302436335575</v>
      </c>
      <c r="P253" s="47">
        <f t="shared" si="52"/>
        <v>0</v>
      </c>
      <c r="Q253" s="55">
        <f t="shared" si="56"/>
        <v>0</v>
      </c>
      <c r="R253" s="146">
        <f t="shared" si="53"/>
        <v>79.167302436335575</v>
      </c>
      <c r="S253" s="126">
        <f t="shared" si="54"/>
        <v>-4.8326975636644249</v>
      </c>
      <c r="T253" s="145">
        <f t="shared" si="42"/>
        <v>0</v>
      </c>
      <c r="V253" s="12"/>
    </row>
    <row r="254" spans="1:22" x14ac:dyDescent="0.25">
      <c r="A254" s="49">
        <f>'A) Base RI'!A255</f>
        <v>5830</v>
      </c>
      <c r="B254" s="357" t="str">
        <f>'A) Base RI'!B255</f>
        <v>Villarzel</v>
      </c>
      <c r="C254" s="419">
        <v>196207.39843418112</v>
      </c>
      <c r="D254" s="419">
        <v>-51347.139500906691</v>
      </c>
      <c r="E254" s="396">
        <v>0</v>
      </c>
      <c r="F254" s="396">
        <v>0</v>
      </c>
      <c r="G254" s="396">
        <v>0</v>
      </c>
      <c r="H254" s="419">
        <f t="shared" si="41"/>
        <v>144860.25893327442</v>
      </c>
      <c r="I254" s="420">
        <v>10447.04854538646</v>
      </c>
      <c r="J254" s="361">
        <f>'B) D RI'!U255</f>
        <v>12117.556810814382</v>
      </c>
      <c r="K254" s="62">
        <f t="shared" si="55"/>
        <v>13.86614203082711</v>
      </c>
      <c r="L254" s="33">
        <f>'B) D RI'!S255</f>
        <v>79</v>
      </c>
      <c r="M254" s="33">
        <f t="shared" si="50"/>
        <v>65.133857969172894</v>
      </c>
      <c r="N254" s="33">
        <f>'J) Plafonnement effort'!G253+'J) Plafonnement effort'!I253-'K) Plafonnement aide'!I253</f>
        <v>9.6049611164465141</v>
      </c>
      <c r="O254" s="126">
        <f t="shared" si="51"/>
        <v>74.738819085619411</v>
      </c>
      <c r="P254" s="47">
        <f t="shared" si="52"/>
        <v>0</v>
      </c>
      <c r="Q254" s="55">
        <f t="shared" si="56"/>
        <v>0</v>
      </c>
      <c r="R254" s="146">
        <f t="shared" si="53"/>
        <v>74.738819085619411</v>
      </c>
      <c r="S254" s="126">
        <f t="shared" si="54"/>
        <v>-4.2611809143805885</v>
      </c>
      <c r="T254" s="145">
        <f t="shared" si="42"/>
        <v>0</v>
      </c>
      <c r="V254" s="12"/>
    </row>
    <row r="255" spans="1:22" x14ac:dyDescent="0.25">
      <c r="A255" s="49">
        <f>'A) Base RI'!A256</f>
        <v>5831</v>
      </c>
      <c r="B255" s="357" t="str">
        <f>'A) Base RI'!B256</f>
        <v>Valbroye</v>
      </c>
      <c r="C255" s="419">
        <v>1601937.9243240114</v>
      </c>
      <c r="D255" s="419">
        <v>-429381.77419715514</v>
      </c>
      <c r="E255" s="396">
        <v>0</v>
      </c>
      <c r="F255" s="396">
        <v>0</v>
      </c>
      <c r="G255" s="396">
        <v>0</v>
      </c>
      <c r="H255" s="419">
        <f t="shared" si="41"/>
        <v>1172556.1501268563</v>
      </c>
      <c r="I255" s="420">
        <v>80393.76686206559</v>
      </c>
      <c r="J255" s="361">
        <f>'B) D RI'!U256</f>
        <v>83651.867392232569</v>
      </c>
      <c r="K255" s="62">
        <f>H255/I255</f>
        <v>14.585162455923381</v>
      </c>
      <c r="L255" s="33">
        <f>'B) D RI'!S256</f>
        <v>73</v>
      </c>
      <c r="M255" s="33">
        <f>L255-K255</f>
        <v>58.414837544076619</v>
      </c>
      <c r="N255" s="33">
        <f>'J) Plafonnement effort'!G254+'J) Plafonnement effort'!I254-'K) Plafonnement aide'!I254</f>
        <v>5.1105113983346424</v>
      </c>
      <c r="O255" s="126">
        <f>M255+N255</f>
        <v>63.525348942411263</v>
      </c>
      <c r="P255" s="47">
        <f t="shared" si="52"/>
        <v>0</v>
      </c>
      <c r="Q255" s="55">
        <f>P255*J255</f>
        <v>0</v>
      </c>
      <c r="R255" s="146">
        <f>O255+P255</f>
        <v>63.525348942411263</v>
      </c>
      <c r="S255" s="126">
        <f>R255-L255</f>
        <v>-9.474651057588737</v>
      </c>
      <c r="T255" s="145">
        <f t="shared" si="42"/>
        <v>0</v>
      </c>
      <c r="V255" s="12"/>
    </row>
    <row r="256" spans="1:22" x14ac:dyDescent="0.25">
      <c r="A256" s="49">
        <f>'A) Base RI'!A257</f>
        <v>5841</v>
      </c>
      <c r="B256" s="357" t="str">
        <f>'A) Base RI'!B257</f>
        <v>Château-d'Oex</v>
      </c>
      <c r="C256" s="419">
        <v>2341663.0170071078</v>
      </c>
      <c r="D256" s="419">
        <v>47539.996314123739</v>
      </c>
      <c r="E256" s="396">
        <v>0</v>
      </c>
      <c r="F256" s="396">
        <v>0</v>
      </c>
      <c r="G256" s="396">
        <v>0</v>
      </c>
      <c r="H256" s="419">
        <f t="shared" si="41"/>
        <v>2389203.0133212316</v>
      </c>
      <c r="I256" s="420">
        <v>112439.97706211945</v>
      </c>
      <c r="J256" s="361">
        <f>'B) D RI'!U257</f>
        <v>116299.93992329082</v>
      </c>
      <c r="K256" s="62">
        <f>H256/I256</f>
        <v>21.248697089303693</v>
      </c>
      <c r="L256" s="33">
        <f>'B) D RI'!S257</f>
        <v>83</v>
      </c>
      <c r="M256" s="33">
        <f>L256-K256</f>
        <v>61.75130291069631</v>
      </c>
      <c r="N256" s="33">
        <f>'J) Plafonnement effort'!G255+'J) Plafonnement effort'!I255-'K) Plafonnement aide'!I255</f>
        <v>4.8823591310204186</v>
      </c>
      <c r="O256" s="126">
        <f>M256+N256</f>
        <v>66.633662041716732</v>
      </c>
      <c r="P256" s="47">
        <f t="shared" si="52"/>
        <v>0</v>
      </c>
      <c r="Q256" s="55">
        <f>P256*J256</f>
        <v>0</v>
      </c>
      <c r="R256" s="146">
        <f>O256+P256</f>
        <v>66.633662041716732</v>
      </c>
      <c r="S256" s="126">
        <f>R256-L256</f>
        <v>-16.366337958283268</v>
      </c>
      <c r="T256" s="145">
        <f t="shared" si="42"/>
        <v>0</v>
      </c>
      <c r="V256" s="12"/>
    </row>
    <row r="257" spans="1:22" x14ac:dyDescent="0.25">
      <c r="A257" s="49">
        <f>'A) Base RI'!A258</f>
        <v>5842</v>
      </c>
      <c r="B257" s="357" t="str">
        <f>'A) Base RI'!B258</f>
        <v>Rossinière</v>
      </c>
      <c r="C257" s="419">
        <v>239650.78510316813</v>
      </c>
      <c r="D257" s="419">
        <v>-135998.70533587711</v>
      </c>
      <c r="E257" s="396">
        <v>0</v>
      </c>
      <c r="F257" s="396">
        <v>0</v>
      </c>
      <c r="G257" s="396">
        <v>0</v>
      </c>
      <c r="H257" s="419">
        <f t="shared" si="41"/>
        <v>103652.07976729103</v>
      </c>
      <c r="I257" s="420">
        <v>12463.858686572428</v>
      </c>
      <c r="J257" s="361">
        <f>'B) D RI'!U258</f>
        <v>16094.216375513943</v>
      </c>
      <c r="K257" s="62">
        <f t="shared" si="55"/>
        <v>8.3162110846906145</v>
      </c>
      <c r="L257" s="33">
        <f>'B) D RI'!S258</f>
        <v>81</v>
      </c>
      <c r="M257" s="33">
        <f t="shared" si="50"/>
        <v>72.683788915309378</v>
      </c>
      <c r="N257" s="33">
        <f>'J) Plafonnement effort'!G256+'J) Plafonnement effort'!I256-'K) Plafonnement aide'!I256</f>
        <v>10.510476076401634</v>
      </c>
      <c r="O257" s="126">
        <f t="shared" si="51"/>
        <v>83.194264991711009</v>
      </c>
      <c r="P257" s="47">
        <f t="shared" si="52"/>
        <v>0</v>
      </c>
      <c r="Q257" s="55">
        <f t="shared" si="56"/>
        <v>0</v>
      </c>
      <c r="R257" s="146">
        <f t="shared" si="53"/>
        <v>83.194264991711009</v>
      </c>
      <c r="S257" s="126">
        <f t="shared" si="54"/>
        <v>2.1942649917110089</v>
      </c>
      <c r="T257" s="145">
        <f t="shared" si="42"/>
        <v>0</v>
      </c>
      <c r="V257" s="12"/>
    </row>
    <row r="258" spans="1:22" x14ac:dyDescent="0.25">
      <c r="A258" s="49">
        <f>'A) Base RI'!A259</f>
        <v>5843</v>
      </c>
      <c r="B258" s="357" t="str">
        <f>'A) Base RI'!B259</f>
        <v>Rougemont</v>
      </c>
      <c r="C258" s="419">
        <v>3097881.7624754133</v>
      </c>
      <c r="D258" s="419">
        <v>1634265.7071356946</v>
      </c>
      <c r="E258" s="396">
        <v>0</v>
      </c>
      <c r="F258" s="396">
        <v>0</v>
      </c>
      <c r="G258" s="396">
        <v>0</v>
      </c>
      <c r="H258" s="419">
        <f t="shared" si="41"/>
        <v>4732147.4696111083</v>
      </c>
      <c r="I258" s="420">
        <v>87105.84628297943</v>
      </c>
      <c r="J258" s="361">
        <f>'B) D RI'!U259</f>
        <v>94148.401666926264</v>
      </c>
      <c r="K258" s="62">
        <f t="shared" si="55"/>
        <v>54.326404845868247</v>
      </c>
      <c r="L258" s="33">
        <f>'B) D RI'!S259</f>
        <v>74</v>
      </c>
      <c r="M258" s="33">
        <f t="shared" si="50"/>
        <v>19.673595154131753</v>
      </c>
      <c r="N258" s="33">
        <f>'J) Plafonnement effort'!G257+'J) Plafonnement effort'!I257-'K) Plafonnement aide'!I257</f>
        <v>54.692597153471901</v>
      </c>
      <c r="O258" s="126">
        <f t="shared" si="51"/>
        <v>74.366192307603654</v>
      </c>
      <c r="P258" s="47">
        <f t="shared" si="52"/>
        <v>0</v>
      </c>
      <c r="Q258" s="55">
        <f t="shared" si="56"/>
        <v>0</v>
      </c>
      <c r="R258" s="146">
        <f t="shared" si="53"/>
        <v>74.366192307603654</v>
      </c>
      <c r="S258" s="126">
        <f t="shared" si="54"/>
        <v>0.3661923076036544</v>
      </c>
      <c r="T258" s="145">
        <f t="shared" si="42"/>
        <v>0</v>
      </c>
      <c r="V258" s="12"/>
    </row>
    <row r="259" spans="1:22" x14ac:dyDescent="0.25">
      <c r="A259" s="49">
        <f>'A) Base RI'!A260</f>
        <v>5851</v>
      </c>
      <c r="B259" s="357" t="str">
        <f>'A) Base RI'!B260</f>
        <v>Allaman</v>
      </c>
      <c r="C259" s="419">
        <v>601264.78249701206</v>
      </c>
      <c r="D259" s="419">
        <v>501468.3733954209</v>
      </c>
      <c r="E259" s="396">
        <v>0</v>
      </c>
      <c r="F259" s="396">
        <v>0</v>
      </c>
      <c r="G259" s="396">
        <v>0</v>
      </c>
      <c r="H259" s="419">
        <f t="shared" si="41"/>
        <v>1102733.1558924329</v>
      </c>
      <c r="I259" s="420">
        <v>27785.537982029753</v>
      </c>
      <c r="J259" s="361">
        <f>'B) D RI'!U260</f>
        <v>28833.689592297927</v>
      </c>
      <c r="K259" s="62">
        <f t="shared" si="55"/>
        <v>39.687306274423179</v>
      </c>
      <c r="L259" s="33">
        <f>'B) D RI'!S260</f>
        <v>62</v>
      </c>
      <c r="M259" s="33">
        <f t="shared" si="50"/>
        <v>22.312693725576821</v>
      </c>
      <c r="N259" s="33">
        <f>'J) Plafonnement effort'!G258+'J) Plafonnement effort'!I258-'K) Plafonnement aide'!I258</f>
        <v>48.885736838638252</v>
      </c>
      <c r="O259" s="126">
        <f t="shared" si="51"/>
        <v>71.198430564215073</v>
      </c>
      <c r="P259" s="47">
        <f t="shared" si="52"/>
        <v>0</v>
      </c>
      <c r="Q259" s="55">
        <f t="shared" si="56"/>
        <v>0</v>
      </c>
      <c r="R259" s="146">
        <f t="shared" si="53"/>
        <v>71.198430564215073</v>
      </c>
      <c r="S259" s="126">
        <f t="shared" si="54"/>
        <v>9.198430564215073</v>
      </c>
      <c r="T259" s="145">
        <f t="shared" si="42"/>
        <v>0</v>
      </c>
      <c r="V259" s="12"/>
    </row>
    <row r="260" spans="1:22" x14ac:dyDescent="0.25">
      <c r="A260" s="49">
        <f>'A) Base RI'!A261</f>
        <v>5852</v>
      </c>
      <c r="B260" s="357" t="str">
        <f>'A) Base RI'!B261</f>
        <v>Bursinel</v>
      </c>
      <c r="C260" s="419">
        <v>2447572.6090655671</v>
      </c>
      <c r="D260" s="419">
        <v>715013.85870433541</v>
      </c>
      <c r="E260" s="396">
        <v>0</v>
      </c>
      <c r="F260" s="396">
        <v>-1419280.7515409505</v>
      </c>
      <c r="G260" s="396">
        <v>0</v>
      </c>
      <c r="H260" s="419">
        <f t="shared" si="41"/>
        <v>1743305.7162289522</v>
      </c>
      <c r="I260" s="420">
        <v>38740.127027310053</v>
      </c>
      <c r="J260" s="361">
        <f>'B) D RI'!U261</f>
        <v>39695.951591324636</v>
      </c>
      <c r="K260" s="62">
        <f t="shared" si="55"/>
        <v>44.999999999999993</v>
      </c>
      <c r="L260" s="33">
        <f>'B) D RI'!S261</f>
        <v>65.5</v>
      </c>
      <c r="M260" s="33">
        <f t="shared" si="50"/>
        <v>20.500000000000007</v>
      </c>
      <c r="N260" s="33">
        <f>'J) Plafonnement effort'!G259+'J) Plafonnement effort'!I259-'K) Plafonnement aide'!I259</f>
        <v>47.973776638874369</v>
      </c>
      <c r="O260" s="126">
        <f t="shared" si="51"/>
        <v>68.473776638874369</v>
      </c>
      <c r="P260" s="47">
        <f t="shared" si="52"/>
        <v>0</v>
      </c>
      <c r="Q260" s="55">
        <f t="shared" si="56"/>
        <v>0</v>
      </c>
      <c r="R260" s="146">
        <f t="shared" si="53"/>
        <v>68.473776638874369</v>
      </c>
      <c r="S260" s="126">
        <f t="shared" si="54"/>
        <v>2.9737766388743694</v>
      </c>
      <c r="T260" s="145">
        <f t="shared" si="42"/>
        <v>0</v>
      </c>
      <c r="V260" s="12"/>
    </row>
    <row r="261" spans="1:22" x14ac:dyDescent="0.25">
      <c r="A261" s="49">
        <f>'A) Base RI'!A262</f>
        <v>5853</v>
      </c>
      <c r="B261" s="357" t="str">
        <f>'A) Base RI'!B262</f>
        <v>Bursins</v>
      </c>
      <c r="C261" s="419">
        <v>750762.89262605342</v>
      </c>
      <c r="D261" s="419">
        <v>627088.12200812565</v>
      </c>
      <c r="E261" s="396">
        <v>0</v>
      </c>
      <c r="F261" s="396">
        <v>0</v>
      </c>
      <c r="G261" s="396">
        <v>0</v>
      </c>
      <c r="H261" s="419">
        <f t="shared" si="41"/>
        <v>1377851.014634179</v>
      </c>
      <c r="I261" s="420">
        <v>35932.419772150381</v>
      </c>
      <c r="J261" s="361">
        <f>'B) D RI'!U262</f>
        <v>36570.93565140845</v>
      </c>
      <c r="K261" s="62">
        <f t="shared" si="55"/>
        <v>38.345622793321866</v>
      </c>
      <c r="L261" s="33">
        <f>'B) D RI'!S262</f>
        <v>71</v>
      </c>
      <c r="M261" s="33">
        <f t="shared" si="50"/>
        <v>32.654377206678134</v>
      </c>
      <c r="N261" s="33">
        <f>'J) Plafonnement effort'!G260+'J) Plafonnement effort'!I260-'K) Plafonnement aide'!I260</f>
        <v>37.777952922203113</v>
      </c>
      <c r="O261" s="126">
        <f t="shared" si="51"/>
        <v>70.432330128881247</v>
      </c>
      <c r="P261" s="47">
        <f t="shared" si="52"/>
        <v>0</v>
      </c>
      <c r="Q261" s="55">
        <f t="shared" si="56"/>
        <v>0</v>
      </c>
      <c r="R261" s="146">
        <f t="shared" si="53"/>
        <v>70.432330128881247</v>
      </c>
      <c r="S261" s="126">
        <f t="shared" si="54"/>
        <v>-0.56766987111875267</v>
      </c>
      <c r="T261" s="145">
        <f t="shared" si="42"/>
        <v>0</v>
      </c>
      <c r="V261" s="12"/>
    </row>
    <row r="262" spans="1:22" x14ac:dyDescent="0.25">
      <c r="A262" s="49">
        <f>'A) Base RI'!A263</f>
        <v>5854</v>
      </c>
      <c r="B262" s="357" t="str">
        <f>'A) Base RI'!B263</f>
        <v>Burtigny</v>
      </c>
      <c r="C262" s="419">
        <v>224655.70359491228</v>
      </c>
      <c r="D262" s="419">
        <v>-12252.004812659055</v>
      </c>
      <c r="E262" s="396">
        <v>0</v>
      </c>
      <c r="F262" s="396">
        <v>0</v>
      </c>
      <c r="G262" s="396">
        <v>0</v>
      </c>
      <c r="H262" s="419">
        <f t="shared" si="41"/>
        <v>212403.69878225322</v>
      </c>
      <c r="I262" s="420">
        <v>9853.2751063664073</v>
      </c>
      <c r="J262" s="361">
        <f>'B) D RI'!U263</f>
        <v>15186.776169765042</v>
      </c>
      <c r="K262" s="62">
        <f t="shared" si="55"/>
        <v>21.556659738954689</v>
      </c>
      <c r="L262" s="33">
        <f>'B) D RI'!S263</f>
        <v>80</v>
      </c>
      <c r="M262" s="33">
        <f t="shared" ref="M262:M291" si="58">L262-K262</f>
        <v>58.443340261045307</v>
      </c>
      <c r="N262" s="33">
        <f>'J) Plafonnement effort'!G261+'J) Plafonnement effort'!I261-'K) Plafonnement aide'!I261</f>
        <v>35.116192506027666</v>
      </c>
      <c r="O262" s="126">
        <f t="shared" ref="O262:O314" si="59">M262+N262</f>
        <v>93.559532767072966</v>
      </c>
      <c r="P262" s="47">
        <f t="shared" ref="P262:P314" si="60">IF(O262&gt;$P$5,$P$5-O262,0)</f>
        <v>-1.1289980995660756</v>
      </c>
      <c r="Q262" s="55">
        <f t="shared" si="56"/>
        <v>-17145.841434200098</v>
      </c>
      <c r="R262" s="146">
        <f t="shared" ref="R262:R314" si="61">O262+P262</f>
        <v>92.43053466750689</v>
      </c>
      <c r="S262" s="126">
        <f t="shared" ref="S262:S314" si="62">R262-L262</f>
        <v>12.43053466750689</v>
      </c>
      <c r="T262" s="145">
        <f t="shared" si="42"/>
        <v>0</v>
      </c>
      <c r="V262" s="12"/>
    </row>
    <row r="263" spans="1:22" x14ac:dyDescent="0.25">
      <c r="A263" s="49">
        <f>'A) Base RI'!A264</f>
        <v>5855</v>
      </c>
      <c r="B263" s="357" t="str">
        <f>'A) Base RI'!B264</f>
        <v>Dully</v>
      </c>
      <c r="C263" s="419">
        <v>2293976.7388773798</v>
      </c>
      <c r="D263" s="419">
        <v>1487106.4627706532</v>
      </c>
      <c r="E263" s="396">
        <v>0</v>
      </c>
      <c r="F263" s="396">
        <v>-259425.22812830663</v>
      </c>
      <c r="G263" s="396">
        <v>0</v>
      </c>
      <c r="H263" s="419">
        <f t="shared" ref="H263:H314" si="63">SUM(C263:G263)</f>
        <v>3521657.9735197267</v>
      </c>
      <c r="I263" s="420">
        <v>78259.066078216143</v>
      </c>
      <c r="J263" s="361">
        <f>'B) D RI'!U264</f>
        <v>91369.635498396179</v>
      </c>
      <c r="K263" s="62">
        <f t="shared" si="55"/>
        <v>45</v>
      </c>
      <c r="L263" s="33">
        <f>'B) D RI'!S264</f>
        <v>49</v>
      </c>
      <c r="M263" s="33">
        <f t="shared" si="58"/>
        <v>4</v>
      </c>
      <c r="N263" s="33">
        <f>'J) Plafonnement effort'!G262+'J) Plafonnement effort'!I262-'K) Plafonnement aide'!I262</f>
        <v>51.246025699699828</v>
      </c>
      <c r="O263" s="126">
        <f t="shared" si="59"/>
        <v>55.246025699699828</v>
      </c>
      <c r="P263" s="47">
        <f t="shared" si="60"/>
        <v>0</v>
      </c>
      <c r="Q263" s="55">
        <f t="shared" si="56"/>
        <v>0</v>
      </c>
      <c r="R263" s="146">
        <f t="shared" si="61"/>
        <v>55.246025699699828</v>
      </c>
      <c r="S263" s="126">
        <f t="shared" si="62"/>
        <v>6.2460256996998282</v>
      </c>
      <c r="T263" s="145">
        <f t="shared" ref="T263:T314" si="64">+C263+D263+E263+F263+G263-H263</f>
        <v>0</v>
      </c>
      <c r="V263" s="12"/>
    </row>
    <row r="264" spans="1:22" x14ac:dyDescent="0.25">
      <c r="A264" s="49">
        <f>'A) Base RI'!A265</f>
        <v>5856</v>
      </c>
      <c r="B264" s="357" t="str">
        <f>'A) Base RI'!B265</f>
        <v>Essertines-sur-Rolle</v>
      </c>
      <c r="C264" s="419">
        <v>741339.84049295343</v>
      </c>
      <c r="D264" s="419">
        <v>601644.1418189283</v>
      </c>
      <c r="E264" s="396">
        <v>0</v>
      </c>
      <c r="F264" s="396">
        <v>0</v>
      </c>
      <c r="G264" s="396">
        <v>0</v>
      </c>
      <c r="H264" s="419">
        <f t="shared" si="63"/>
        <v>1342983.9823118816</v>
      </c>
      <c r="I264" s="420">
        <v>34358.63256703021</v>
      </c>
      <c r="J264" s="361">
        <f>'B) D RI'!U265</f>
        <v>37403.277675115321</v>
      </c>
      <c r="K264" s="62">
        <f t="shared" si="55"/>
        <v>39.087236073550251</v>
      </c>
      <c r="L264" s="33">
        <f>'B) D RI'!S265</f>
        <v>68</v>
      </c>
      <c r="M264" s="33">
        <f t="shared" si="58"/>
        <v>28.912763926449749</v>
      </c>
      <c r="N264" s="33">
        <f>'J) Plafonnement effort'!G263+'J) Plafonnement effort'!I263-'K) Plafonnement aide'!I263</f>
        <v>39.892441857831045</v>
      </c>
      <c r="O264" s="126">
        <f t="shared" si="59"/>
        <v>68.805205784280787</v>
      </c>
      <c r="P264" s="47">
        <f t="shared" si="60"/>
        <v>0</v>
      </c>
      <c r="Q264" s="55">
        <f t="shared" si="56"/>
        <v>0</v>
      </c>
      <c r="R264" s="146">
        <f t="shared" si="61"/>
        <v>68.805205784280787</v>
      </c>
      <c r="S264" s="126">
        <f t="shared" si="62"/>
        <v>0.80520578428078693</v>
      </c>
      <c r="T264" s="145">
        <f t="shared" si="64"/>
        <v>0</v>
      </c>
      <c r="V264" s="12"/>
    </row>
    <row r="265" spans="1:22" x14ac:dyDescent="0.25">
      <c r="A265" s="49">
        <f>'A) Base RI'!A266</f>
        <v>5857</v>
      </c>
      <c r="B265" s="357" t="str">
        <f>'A) Base RI'!B266</f>
        <v>Gilly</v>
      </c>
      <c r="C265" s="419">
        <v>1754012.0250062319</v>
      </c>
      <c r="D265" s="419">
        <v>1305918.3542248411</v>
      </c>
      <c r="E265" s="396">
        <v>0</v>
      </c>
      <c r="F265" s="396">
        <v>0</v>
      </c>
      <c r="G265" s="396">
        <v>0</v>
      </c>
      <c r="H265" s="419">
        <f t="shared" si="63"/>
        <v>3059930.379231073</v>
      </c>
      <c r="I265" s="420">
        <v>76506.459222154648</v>
      </c>
      <c r="J265" s="361">
        <f>'B) D RI'!U266</f>
        <v>88640.687774331382</v>
      </c>
      <c r="K265" s="62">
        <f t="shared" si="55"/>
        <v>39.995712915504811</v>
      </c>
      <c r="L265" s="33">
        <f>'B) D RI'!S266</f>
        <v>66</v>
      </c>
      <c r="M265" s="33">
        <f t="shared" si="58"/>
        <v>26.004287084495189</v>
      </c>
      <c r="N265" s="33">
        <f>'J) Plafonnement effort'!G264+'J) Plafonnement effort'!I264-'K) Plafonnement aide'!I264</f>
        <v>40.974697531816545</v>
      </c>
      <c r="O265" s="126">
        <f t="shared" si="59"/>
        <v>66.978984616311735</v>
      </c>
      <c r="P265" s="47">
        <f t="shared" si="60"/>
        <v>0</v>
      </c>
      <c r="Q265" s="55">
        <f t="shared" si="56"/>
        <v>0</v>
      </c>
      <c r="R265" s="146">
        <f t="shared" si="61"/>
        <v>66.978984616311735</v>
      </c>
      <c r="S265" s="126">
        <f t="shared" si="62"/>
        <v>0.97898461631173461</v>
      </c>
      <c r="T265" s="145">
        <f t="shared" si="64"/>
        <v>0</v>
      </c>
      <c r="V265" s="12"/>
    </row>
    <row r="266" spans="1:22" x14ac:dyDescent="0.25">
      <c r="A266" s="49">
        <f>'A) Base RI'!A267</f>
        <v>5858</v>
      </c>
      <c r="B266" s="357" t="str">
        <f>'A) Base RI'!B267</f>
        <v>Luins</v>
      </c>
      <c r="C266" s="419">
        <v>685354.2763318863</v>
      </c>
      <c r="D266" s="419">
        <v>610889.93458503636</v>
      </c>
      <c r="E266" s="396">
        <v>0</v>
      </c>
      <c r="F266" s="396">
        <v>0</v>
      </c>
      <c r="G266" s="396">
        <v>0</v>
      </c>
      <c r="H266" s="419">
        <f t="shared" si="63"/>
        <v>1296244.2109169227</v>
      </c>
      <c r="I266" s="420">
        <v>34277.61170447935</v>
      </c>
      <c r="J266" s="361">
        <f>'B) D RI'!U267</f>
        <v>43780.812152194871</v>
      </c>
      <c r="K266" s="62">
        <f t="shared" ref="K266:K314" si="65">H266/I266</f>
        <v>37.816059709537214</v>
      </c>
      <c r="L266" s="33">
        <f>'B) D RI'!S267</f>
        <v>60</v>
      </c>
      <c r="M266" s="33">
        <f t="shared" si="58"/>
        <v>22.183940290462786</v>
      </c>
      <c r="N266" s="33">
        <f>'J) Plafonnement effort'!G265+'J) Plafonnement effort'!I265-'K) Plafonnement aide'!I265</f>
        <v>42.322076059993677</v>
      </c>
      <c r="O266" s="126">
        <f t="shared" si="59"/>
        <v>64.506016350456463</v>
      </c>
      <c r="P266" s="47">
        <f t="shared" si="60"/>
        <v>0</v>
      </c>
      <c r="Q266" s="55">
        <f t="shared" si="56"/>
        <v>0</v>
      </c>
      <c r="R266" s="146">
        <f t="shared" si="61"/>
        <v>64.506016350456463</v>
      </c>
      <c r="S266" s="126">
        <f t="shared" si="62"/>
        <v>4.5060163504564628</v>
      </c>
      <c r="T266" s="145">
        <f t="shared" si="64"/>
        <v>0</v>
      </c>
      <c r="V266" s="12"/>
    </row>
    <row r="267" spans="1:22" x14ac:dyDescent="0.25">
      <c r="A267" s="49">
        <f>'A) Base RI'!A268</f>
        <v>5859</v>
      </c>
      <c r="B267" s="357" t="str">
        <f>'A) Base RI'!B268</f>
        <v>Mont-sur-Rolle</v>
      </c>
      <c r="C267" s="419">
        <v>2931500.3802462257</v>
      </c>
      <c r="D267" s="419">
        <v>2015321.0117531198</v>
      </c>
      <c r="E267" s="396">
        <v>0</v>
      </c>
      <c r="F267" s="396">
        <v>0</v>
      </c>
      <c r="G267" s="396">
        <v>0</v>
      </c>
      <c r="H267" s="419">
        <f t="shared" si="63"/>
        <v>4946821.3919993453</v>
      </c>
      <c r="I267" s="420">
        <v>136265.21065164401</v>
      </c>
      <c r="J267" s="361">
        <f>'B) D RI'!U268</f>
        <v>142403.85565354835</v>
      </c>
      <c r="K267" s="62">
        <f t="shared" si="65"/>
        <v>36.30289322082124</v>
      </c>
      <c r="L267" s="33">
        <f>'B) D RI'!S268</f>
        <v>65</v>
      </c>
      <c r="M267" s="33">
        <f t="shared" si="58"/>
        <v>28.69710677917876</v>
      </c>
      <c r="N267" s="33">
        <f>'J) Plafonnement effort'!G266+'J) Plafonnement effort'!I266-'K) Plafonnement aide'!I266</f>
        <v>34.729749912199431</v>
      </c>
      <c r="O267" s="126">
        <f t="shared" si="59"/>
        <v>63.426856691378191</v>
      </c>
      <c r="P267" s="47">
        <f t="shared" si="60"/>
        <v>0</v>
      </c>
      <c r="Q267" s="55">
        <f t="shared" ref="Q267:Q314" si="66">P267*J267</f>
        <v>0</v>
      </c>
      <c r="R267" s="146">
        <f t="shared" si="61"/>
        <v>63.426856691378191</v>
      </c>
      <c r="S267" s="126">
        <f t="shared" si="62"/>
        <v>-1.573143308621809</v>
      </c>
      <c r="T267" s="145">
        <f t="shared" si="64"/>
        <v>0</v>
      </c>
      <c r="V267" s="12"/>
    </row>
    <row r="268" spans="1:22" x14ac:dyDescent="0.25">
      <c r="A268" s="49">
        <f>'A) Base RI'!A269</f>
        <v>5860</v>
      </c>
      <c r="B268" s="357" t="str">
        <f>'A) Base RI'!B269</f>
        <v>Perroy</v>
      </c>
      <c r="C268" s="419">
        <v>1945943.2015413162</v>
      </c>
      <c r="D268" s="419">
        <v>1451179.0902189149</v>
      </c>
      <c r="E268" s="396">
        <v>0</v>
      </c>
      <c r="F268" s="396">
        <v>0</v>
      </c>
      <c r="G268" s="396">
        <v>0</v>
      </c>
      <c r="H268" s="419">
        <f t="shared" si="63"/>
        <v>3397122.2917602314</v>
      </c>
      <c r="I268" s="420">
        <v>87566.238279299258</v>
      </c>
      <c r="J268" s="361">
        <f>'B) D RI'!U269</f>
        <v>95160.687801613312</v>
      </c>
      <c r="K268" s="62">
        <f t="shared" si="65"/>
        <v>38.794886688233063</v>
      </c>
      <c r="L268" s="33">
        <f>'B) D RI'!S269</f>
        <v>60</v>
      </c>
      <c r="M268" s="33">
        <f t="shared" si="58"/>
        <v>21.205113311766937</v>
      </c>
      <c r="N268" s="33">
        <f>'J) Plafonnement effort'!G267+'J) Plafonnement effort'!I267-'K) Plafonnement aide'!I267</f>
        <v>42.280476468363645</v>
      </c>
      <c r="O268" s="126">
        <f t="shared" si="59"/>
        <v>63.485589780130582</v>
      </c>
      <c r="P268" s="47">
        <f t="shared" si="60"/>
        <v>0</v>
      </c>
      <c r="Q268" s="55">
        <f t="shared" si="66"/>
        <v>0</v>
      </c>
      <c r="R268" s="146">
        <f t="shared" si="61"/>
        <v>63.485589780130582</v>
      </c>
      <c r="S268" s="126">
        <f t="shared" si="62"/>
        <v>3.4855897801305815</v>
      </c>
      <c r="T268" s="145">
        <f t="shared" si="64"/>
        <v>0</v>
      </c>
      <c r="V268" s="12"/>
    </row>
    <row r="269" spans="1:22" x14ac:dyDescent="0.25">
      <c r="A269" s="49">
        <f>'A) Base RI'!A270</f>
        <v>5861</v>
      </c>
      <c r="B269" s="357" t="str">
        <f>'A) Base RI'!B270</f>
        <v>Rolle</v>
      </c>
      <c r="C269" s="419">
        <v>24853270.796318822</v>
      </c>
      <c r="D269" s="419">
        <v>12959488.457737265</v>
      </c>
      <c r="E269" s="396">
        <v>0</v>
      </c>
      <c r="F269" s="396">
        <v>-2984794.5485629621</v>
      </c>
      <c r="G269" s="396">
        <v>0</v>
      </c>
      <c r="H269" s="419">
        <f t="shared" si="63"/>
        <v>34827964.70549313</v>
      </c>
      <c r="I269" s="420">
        <v>773954.77123318054</v>
      </c>
      <c r="J269" s="361">
        <f>'B) D RI'!U270</f>
        <v>574229.10238061741</v>
      </c>
      <c r="K269" s="62">
        <f t="shared" si="65"/>
        <v>45.000000000000007</v>
      </c>
      <c r="L269" s="33">
        <f>'B) D RI'!S270</f>
        <v>59.5</v>
      </c>
      <c r="M269" s="33">
        <f t="shared" si="58"/>
        <v>14.499999999999993</v>
      </c>
      <c r="N269" s="33">
        <f>'J) Plafonnement effort'!G268+'J) Plafonnement effort'!I268-'K) Plafonnement aide'!I268</f>
        <v>43.26632661024918</v>
      </c>
      <c r="O269" s="126">
        <f t="shared" si="59"/>
        <v>57.766326610249173</v>
      </c>
      <c r="P269" s="47">
        <f t="shared" si="60"/>
        <v>0</v>
      </c>
      <c r="Q269" s="55">
        <f t="shared" si="66"/>
        <v>0</v>
      </c>
      <c r="R269" s="146">
        <f t="shared" si="61"/>
        <v>57.766326610249173</v>
      </c>
      <c r="S269" s="126">
        <f t="shared" si="62"/>
        <v>-1.7336733897508267</v>
      </c>
      <c r="T269" s="145">
        <f t="shared" si="64"/>
        <v>0</v>
      </c>
      <c r="V269" s="12"/>
    </row>
    <row r="270" spans="1:22" x14ac:dyDescent="0.25">
      <c r="A270" s="49">
        <f>'A) Base RI'!A271</f>
        <v>5862</v>
      </c>
      <c r="B270" s="357" t="str">
        <f>'A) Base RI'!B271</f>
        <v>Tartegnin</v>
      </c>
      <c r="C270" s="419">
        <v>239970.4990213447</v>
      </c>
      <c r="D270" s="419">
        <v>181910.78396692741</v>
      </c>
      <c r="E270" s="396">
        <v>0</v>
      </c>
      <c r="F270" s="396">
        <v>0</v>
      </c>
      <c r="G270" s="396">
        <v>-24261.884260726591</v>
      </c>
      <c r="H270" s="419">
        <f t="shared" si="63"/>
        <v>397619.39872754557</v>
      </c>
      <c r="I270" s="420">
        <v>10589.245656408681</v>
      </c>
      <c r="J270" s="361">
        <f>'B) D RI'!U271</f>
        <v>12235.59571867773</v>
      </c>
      <c r="K270" s="62">
        <f t="shared" si="65"/>
        <v>37.549360136612158</v>
      </c>
      <c r="L270" s="33">
        <f>'B) D RI'!S271</f>
        <v>81</v>
      </c>
      <c r="M270" s="33">
        <f t="shared" si="58"/>
        <v>43.450639863387842</v>
      </c>
      <c r="N270" s="33">
        <f>'J) Plafonnement effort'!G269+'J) Plafonnement effort'!I269-'K) Plafonnement aide'!I269</f>
        <v>36.77646392646389</v>
      </c>
      <c r="O270" s="126">
        <f t="shared" si="59"/>
        <v>80.227103789851725</v>
      </c>
      <c r="P270" s="47">
        <f t="shared" si="60"/>
        <v>0</v>
      </c>
      <c r="Q270" s="55">
        <f t="shared" si="66"/>
        <v>0</v>
      </c>
      <c r="R270" s="146">
        <f t="shared" si="61"/>
        <v>80.227103789851725</v>
      </c>
      <c r="S270" s="126">
        <f t="shared" si="62"/>
        <v>-0.77289621014827503</v>
      </c>
      <c r="T270" s="145">
        <f t="shared" si="64"/>
        <v>0</v>
      </c>
      <c r="V270" s="12"/>
    </row>
    <row r="271" spans="1:22" x14ac:dyDescent="0.25">
      <c r="A271" s="49">
        <f>'A) Base RI'!A272</f>
        <v>5863</v>
      </c>
      <c r="B271" s="357" t="str">
        <f>'A) Base RI'!B272</f>
        <v>Vinzel</v>
      </c>
      <c r="C271" s="419">
        <v>465422.05137131066</v>
      </c>
      <c r="D271" s="419">
        <v>410022.23839327117</v>
      </c>
      <c r="E271" s="396">
        <v>0</v>
      </c>
      <c r="F271" s="396">
        <v>0</v>
      </c>
      <c r="G271" s="396">
        <v>0</v>
      </c>
      <c r="H271" s="419">
        <f t="shared" si="63"/>
        <v>875444.28976458183</v>
      </c>
      <c r="I271" s="420">
        <v>22777.907701128508</v>
      </c>
      <c r="J271" s="361">
        <f>'B) D RI'!U272</f>
        <v>22394.635794374353</v>
      </c>
      <c r="K271" s="62">
        <f t="shared" si="65"/>
        <v>38.43392032540411</v>
      </c>
      <c r="L271" s="33">
        <f>'B) D RI'!S272</f>
        <v>67</v>
      </c>
      <c r="M271" s="33">
        <f t="shared" si="58"/>
        <v>28.56607967459589</v>
      </c>
      <c r="N271" s="33">
        <f>'J) Plafonnement effort'!G270+'J) Plafonnement effort'!I270-'K) Plafonnement aide'!I270</f>
        <v>39.928615702271074</v>
      </c>
      <c r="O271" s="126">
        <f t="shared" si="59"/>
        <v>68.494695376866957</v>
      </c>
      <c r="P271" s="47">
        <f t="shared" si="60"/>
        <v>0</v>
      </c>
      <c r="Q271" s="55">
        <f t="shared" si="66"/>
        <v>0</v>
      </c>
      <c r="R271" s="146">
        <f t="shared" si="61"/>
        <v>68.494695376866957</v>
      </c>
      <c r="S271" s="126">
        <f t="shared" si="62"/>
        <v>1.4946953768669573</v>
      </c>
      <c r="T271" s="145">
        <f t="shared" si="64"/>
        <v>0</v>
      </c>
      <c r="V271" s="12"/>
    </row>
    <row r="272" spans="1:22" x14ac:dyDescent="0.25">
      <c r="A272" s="49">
        <f>'A) Base RI'!A273</f>
        <v>5871</v>
      </c>
      <c r="B272" s="357" t="str">
        <f>'A) Base RI'!B273</f>
        <v>L'Abbaye</v>
      </c>
      <c r="C272" s="419">
        <v>1072880.6447570282</v>
      </c>
      <c r="D272" s="419">
        <v>136631.87444832805</v>
      </c>
      <c r="E272" s="396">
        <v>0</v>
      </c>
      <c r="F272" s="396">
        <v>0</v>
      </c>
      <c r="G272" s="396">
        <v>0</v>
      </c>
      <c r="H272" s="419">
        <f t="shared" si="63"/>
        <v>1209512.5192053562</v>
      </c>
      <c r="I272" s="420">
        <v>46463.831419219103</v>
      </c>
      <c r="J272" s="361">
        <f>'B) D RI'!U273</f>
        <v>44671.831166364944</v>
      </c>
      <c r="K272" s="62">
        <f t="shared" si="65"/>
        <v>26.031269532909388</v>
      </c>
      <c r="L272" s="33">
        <f>'B) D RI'!S273</f>
        <v>77.31</v>
      </c>
      <c r="M272" s="33">
        <f t="shared" si="58"/>
        <v>51.278730467090611</v>
      </c>
      <c r="N272" s="33">
        <f>'J) Plafonnement effort'!G271+'J) Plafonnement effort'!I271-'K) Plafonnement aide'!I271</f>
        <v>15.289784351901968</v>
      </c>
      <c r="O272" s="126">
        <f t="shared" si="59"/>
        <v>66.568514818992583</v>
      </c>
      <c r="P272" s="47">
        <f t="shared" si="60"/>
        <v>0</v>
      </c>
      <c r="Q272" s="55">
        <f t="shared" si="66"/>
        <v>0</v>
      </c>
      <c r="R272" s="146">
        <f t="shared" si="61"/>
        <v>66.568514818992583</v>
      </c>
      <c r="S272" s="126">
        <f t="shared" si="62"/>
        <v>-10.74148518100742</v>
      </c>
      <c r="T272" s="145">
        <f t="shared" si="64"/>
        <v>0</v>
      </c>
      <c r="V272" s="12"/>
    </row>
    <row r="273" spans="1:22" x14ac:dyDescent="0.25">
      <c r="A273" s="49">
        <f>'A) Base RI'!A274</f>
        <v>5872</v>
      </c>
      <c r="B273" s="357" t="str">
        <f>'A) Base RI'!B274</f>
        <v>Le Chenit</v>
      </c>
      <c r="C273" s="419">
        <v>5055090.4672492109</v>
      </c>
      <c r="D273" s="419">
        <v>2362769.5403964659</v>
      </c>
      <c r="E273" s="396">
        <v>0</v>
      </c>
      <c r="F273" s="396">
        <v>0</v>
      </c>
      <c r="G273" s="396">
        <v>0</v>
      </c>
      <c r="H273" s="419">
        <f t="shared" si="63"/>
        <v>7417860.0076456768</v>
      </c>
      <c r="I273" s="420">
        <v>203474.88252883923</v>
      </c>
      <c r="J273" s="361">
        <f>'B) D RI'!U274</f>
        <v>169487.47890245376</v>
      </c>
      <c r="K273" s="62">
        <f t="shared" si="65"/>
        <v>36.455900185096887</v>
      </c>
      <c r="L273" s="33">
        <f>'B) D RI'!S274</f>
        <v>68.12</v>
      </c>
      <c r="M273" s="33">
        <f t="shared" si="58"/>
        <v>31.664099814903118</v>
      </c>
      <c r="N273" s="33">
        <f>'J) Plafonnement effort'!G272+'J) Plafonnement effort'!I272-'K) Plafonnement aide'!I272</f>
        <v>26.000216235886235</v>
      </c>
      <c r="O273" s="126">
        <f t="shared" si="59"/>
        <v>57.664316050789353</v>
      </c>
      <c r="P273" s="47">
        <f t="shared" si="60"/>
        <v>0</v>
      </c>
      <c r="Q273" s="55">
        <f t="shared" si="66"/>
        <v>0</v>
      </c>
      <c r="R273" s="146">
        <f t="shared" si="61"/>
        <v>57.664316050789353</v>
      </c>
      <c r="S273" s="126">
        <f t="shared" si="62"/>
        <v>-10.455683949210652</v>
      </c>
      <c r="T273" s="145">
        <f t="shared" si="64"/>
        <v>0</v>
      </c>
      <c r="V273" s="12"/>
    </row>
    <row r="274" spans="1:22" x14ac:dyDescent="0.25">
      <c r="A274" s="49">
        <f>'A) Base RI'!A275</f>
        <v>5873</v>
      </c>
      <c r="B274" s="357" t="str">
        <f>'A) Base RI'!B275</f>
        <v>Le Lieu</v>
      </c>
      <c r="C274" s="419">
        <v>786966.29264685302</v>
      </c>
      <c r="D274" s="419">
        <v>411989.41274397518</v>
      </c>
      <c r="E274" s="396">
        <v>0</v>
      </c>
      <c r="F274" s="396">
        <v>0</v>
      </c>
      <c r="G274" s="396">
        <v>0</v>
      </c>
      <c r="H274" s="419">
        <f t="shared" si="63"/>
        <v>1198955.7053908282</v>
      </c>
      <c r="I274" s="420">
        <v>32044.127943123549</v>
      </c>
      <c r="J274" s="361">
        <f>'B) D RI'!U275</f>
        <v>29965.351280448966</v>
      </c>
      <c r="K274" s="62">
        <f t="shared" si="65"/>
        <v>37.415769513806225</v>
      </c>
      <c r="L274" s="33">
        <f>'B) D RI'!S275</f>
        <v>70</v>
      </c>
      <c r="M274" s="33">
        <f t="shared" si="58"/>
        <v>32.584230486193775</v>
      </c>
      <c r="N274" s="33">
        <f>'J) Plafonnement effort'!G273+'J) Plafonnement effort'!I273-'K) Plafonnement aide'!I273</f>
        <v>9.7010661543306576</v>
      </c>
      <c r="O274" s="126">
        <f t="shared" si="59"/>
        <v>42.285296640524436</v>
      </c>
      <c r="P274" s="47">
        <f t="shared" si="60"/>
        <v>0</v>
      </c>
      <c r="Q274" s="55">
        <f t="shared" si="66"/>
        <v>0</v>
      </c>
      <c r="R274" s="146">
        <f t="shared" si="61"/>
        <v>42.285296640524436</v>
      </c>
      <c r="S274" s="126">
        <f t="shared" si="62"/>
        <v>-27.714703359475564</v>
      </c>
      <c r="T274" s="145">
        <f t="shared" si="64"/>
        <v>0</v>
      </c>
      <c r="V274" s="12"/>
    </row>
    <row r="275" spans="1:22" x14ac:dyDescent="0.25">
      <c r="A275" s="49">
        <f>'A) Base RI'!A276</f>
        <v>5881</v>
      </c>
      <c r="B275" s="357" t="str">
        <f>'A) Base RI'!B276</f>
        <v>Blonay</v>
      </c>
      <c r="C275" s="419">
        <v>6802574.6492344476</v>
      </c>
      <c r="D275" s="419">
        <v>4253275.758685438</v>
      </c>
      <c r="E275" s="396">
        <v>0</v>
      </c>
      <c r="F275" s="396">
        <v>0</v>
      </c>
      <c r="G275" s="396">
        <v>0</v>
      </c>
      <c r="H275" s="419">
        <f t="shared" si="63"/>
        <v>11055850.407919886</v>
      </c>
      <c r="I275" s="420">
        <v>337666.7615162601</v>
      </c>
      <c r="J275" s="361">
        <f>'B) D RI'!U276</f>
        <v>329876.03226063965</v>
      </c>
      <c r="K275" s="62">
        <f t="shared" si="65"/>
        <v>32.741897242934584</v>
      </c>
      <c r="L275" s="33">
        <f>'B) D RI'!S276</f>
        <v>70</v>
      </c>
      <c r="M275" s="33">
        <f t="shared" si="58"/>
        <v>37.258102757065416</v>
      </c>
      <c r="N275" s="33">
        <f>'J) Plafonnement effort'!G274+'J) Plafonnement effort'!I274-'K) Plafonnement aide'!I274</f>
        <v>30.424123275403453</v>
      </c>
      <c r="O275" s="126">
        <f t="shared" si="59"/>
        <v>67.682226032468861</v>
      </c>
      <c r="P275" s="47">
        <f t="shared" si="60"/>
        <v>0</v>
      </c>
      <c r="Q275" s="55">
        <f t="shared" si="66"/>
        <v>0</v>
      </c>
      <c r="R275" s="146">
        <f t="shared" si="61"/>
        <v>67.682226032468861</v>
      </c>
      <c r="S275" s="126">
        <f t="shared" si="62"/>
        <v>-2.3177739675311386</v>
      </c>
      <c r="T275" s="145">
        <f t="shared" si="64"/>
        <v>0</v>
      </c>
      <c r="V275" s="12"/>
    </row>
    <row r="276" spans="1:22" x14ac:dyDescent="0.25">
      <c r="A276" s="49">
        <f>'A) Base RI'!A277</f>
        <v>5882</v>
      </c>
      <c r="B276" s="357" t="str">
        <f>'A) Base RI'!B277</f>
        <v>Chardonne</v>
      </c>
      <c r="C276" s="419">
        <v>4083022.5337699228</v>
      </c>
      <c r="D276" s="419">
        <v>2343823.3965187366</v>
      </c>
      <c r="E276" s="396">
        <v>0</v>
      </c>
      <c r="F276" s="396">
        <v>0</v>
      </c>
      <c r="G276" s="396">
        <v>0</v>
      </c>
      <c r="H276" s="419">
        <f t="shared" si="63"/>
        <v>6426845.9302886594</v>
      </c>
      <c r="I276" s="420">
        <v>156481.45987298383</v>
      </c>
      <c r="J276" s="361">
        <f>'B) D RI'!U277</f>
        <v>160866.12406088383</v>
      </c>
      <c r="K276" s="62">
        <f t="shared" si="65"/>
        <v>41.070973746700325</v>
      </c>
      <c r="L276" s="33">
        <f>'B) D RI'!S277</f>
        <v>68</v>
      </c>
      <c r="M276" s="33">
        <f t="shared" si="58"/>
        <v>26.929026253299675</v>
      </c>
      <c r="N276" s="33">
        <f>'J) Plafonnement effort'!G275+'J) Plafonnement effort'!I275-'K) Plafonnement aide'!I275</f>
        <v>36.706430023266748</v>
      </c>
      <c r="O276" s="126">
        <f t="shared" si="59"/>
        <v>63.635456276566423</v>
      </c>
      <c r="P276" s="47">
        <f t="shared" si="60"/>
        <v>0</v>
      </c>
      <c r="Q276" s="55">
        <f t="shared" si="66"/>
        <v>0</v>
      </c>
      <c r="R276" s="146">
        <f t="shared" si="61"/>
        <v>63.635456276566423</v>
      </c>
      <c r="S276" s="126">
        <f t="shared" si="62"/>
        <v>-4.3645437234335773</v>
      </c>
      <c r="T276" s="145">
        <f t="shared" si="64"/>
        <v>0</v>
      </c>
      <c r="V276" s="12"/>
    </row>
    <row r="277" spans="1:22" x14ac:dyDescent="0.25">
      <c r="A277" s="49">
        <f>'A) Base RI'!A278</f>
        <v>5883</v>
      </c>
      <c r="B277" s="357" t="str">
        <f>'A) Base RI'!B278</f>
        <v>Corseaux</v>
      </c>
      <c r="C277" s="419">
        <v>3622750.4327109</v>
      </c>
      <c r="D277" s="419">
        <v>2435537.082748909</v>
      </c>
      <c r="E277" s="396">
        <v>0</v>
      </c>
      <c r="F277" s="396">
        <v>0</v>
      </c>
      <c r="G277" s="396">
        <v>0</v>
      </c>
      <c r="H277" s="419">
        <f t="shared" si="63"/>
        <v>6058287.5154598095</v>
      </c>
      <c r="I277" s="420">
        <v>150144.54939318728</v>
      </c>
      <c r="J277" s="361">
        <f>'B) D RI'!U278</f>
        <v>155219.69320868849</v>
      </c>
      <c r="K277" s="62">
        <f t="shared" si="65"/>
        <v>40.349699938789122</v>
      </c>
      <c r="L277" s="33">
        <f>'B) D RI'!S278</f>
        <v>69</v>
      </c>
      <c r="M277" s="33">
        <f t="shared" si="58"/>
        <v>28.650300061210878</v>
      </c>
      <c r="N277" s="33">
        <f>'J) Plafonnement effort'!G276+'J) Plafonnement effort'!I276-'K) Plafonnement aide'!I276</f>
        <v>49.458980682660979</v>
      </c>
      <c r="O277" s="126">
        <f t="shared" si="59"/>
        <v>78.109280743871864</v>
      </c>
      <c r="P277" s="47">
        <f t="shared" si="60"/>
        <v>0</v>
      </c>
      <c r="Q277" s="55">
        <f t="shared" si="66"/>
        <v>0</v>
      </c>
      <c r="R277" s="146">
        <f t="shared" si="61"/>
        <v>78.109280743871864</v>
      </c>
      <c r="S277" s="126">
        <f t="shared" si="62"/>
        <v>9.1092807438718637</v>
      </c>
      <c r="T277" s="145">
        <f t="shared" si="64"/>
        <v>0</v>
      </c>
      <c r="V277" s="12"/>
    </row>
    <row r="278" spans="1:22" x14ac:dyDescent="0.25">
      <c r="A278" s="49">
        <f>'A) Base RI'!A279</f>
        <v>5884</v>
      </c>
      <c r="B278" s="357" t="str">
        <f>'A) Base RI'!B279</f>
        <v>Corsier-sur-Vevey</v>
      </c>
      <c r="C278" s="419">
        <v>2324458.5267312392</v>
      </c>
      <c r="D278" s="419">
        <v>830503.76588925114</v>
      </c>
      <c r="E278" s="396">
        <v>0</v>
      </c>
      <c r="F278" s="396">
        <v>0</v>
      </c>
      <c r="G278" s="396">
        <v>0</v>
      </c>
      <c r="H278" s="419">
        <f t="shared" si="63"/>
        <v>3154962.2926204903</v>
      </c>
      <c r="I278" s="420">
        <v>120582.14380721933</v>
      </c>
      <c r="J278" s="361">
        <f>'B) D RI'!U279</f>
        <v>113730.49763913798</v>
      </c>
      <c r="K278" s="62">
        <f t="shared" si="65"/>
        <v>26.164423628630168</v>
      </c>
      <c r="L278" s="33">
        <f>'B) D RI'!S279</f>
        <v>66</v>
      </c>
      <c r="M278" s="33">
        <f t="shared" si="58"/>
        <v>39.835576371369832</v>
      </c>
      <c r="N278" s="33">
        <f>'J) Plafonnement effort'!G277+'J) Plafonnement effort'!I277-'K) Plafonnement aide'!I277</f>
        <v>12.841397709208341</v>
      </c>
      <c r="O278" s="126">
        <f t="shared" si="59"/>
        <v>52.676974080578177</v>
      </c>
      <c r="P278" s="47">
        <f t="shared" si="60"/>
        <v>0</v>
      </c>
      <c r="Q278" s="55">
        <f t="shared" si="66"/>
        <v>0</v>
      </c>
      <c r="R278" s="146">
        <f t="shared" si="61"/>
        <v>52.676974080578177</v>
      </c>
      <c r="S278" s="126">
        <f t="shared" si="62"/>
        <v>-13.323025919421823</v>
      </c>
      <c r="T278" s="145">
        <f t="shared" si="64"/>
        <v>0</v>
      </c>
      <c r="V278" s="12"/>
    </row>
    <row r="279" spans="1:22" x14ac:dyDescent="0.25">
      <c r="A279" s="49">
        <f>'A) Base RI'!A280</f>
        <v>5885</v>
      </c>
      <c r="B279" s="357" t="str">
        <f>'A) Base RI'!B280</f>
        <v>Jongny</v>
      </c>
      <c r="C279" s="419">
        <v>2174117.0404799539</v>
      </c>
      <c r="D279" s="419">
        <v>1540570.748561423</v>
      </c>
      <c r="E279" s="396">
        <v>0</v>
      </c>
      <c r="F279" s="396">
        <v>0</v>
      </c>
      <c r="G279" s="396">
        <v>0</v>
      </c>
      <c r="H279" s="419">
        <f t="shared" si="63"/>
        <v>3714687.7890413767</v>
      </c>
      <c r="I279" s="420">
        <v>92637.81830716609</v>
      </c>
      <c r="J279" s="361">
        <f>'B) D RI'!U280</f>
        <v>83488.016188395792</v>
      </c>
      <c r="K279" s="62">
        <f t="shared" si="65"/>
        <v>40.099042236986961</v>
      </c>
      <c r="L279" s="33">
        <f>'B) D RI'!S280</f>
        <v>71</v>
      </c>
      <c r="M279" s="33">
        <f t="shared" si="58"/>
        <v>30.900957763013039</v>
      </c>
      <c r="N279" s="33">
        <f>'J) Plafonnement effort'!G278+'J) Plafonnement effort'!I278-'K) Plafonnement aide'!I278</f>
        <v>41.848040398915991</v>
      </c>
      <c r="O279" s="126">
        <f t="shared" si="59"/>
        <v>72.748998161929023</v>
      </c>
      <c r="P279" s="47">
        <f t="shared" si="60"/>
        <v>0</v>
      </c>
      <c r="Q279" s="55">
        <f t="shared" si="66"/>
        <v>0</v>
      </c>
      <c r="R279" s="146">
        <f t="shared" si="61"/>
        <v>72.748998161929023</v>
      </c>
      <c r="S279" s="126">
        <f t="shared" si="62"/>
        <v>1.7489981619290234</v>
      </c>
      <c r="T279" s="145">
        <f t="shared" si="64"/>
        <v>0</v>
      </c>
      <c r="V279" s="12"/>
    </row>
    <row r="280" spans="1:22" x14ac:dyDescent="0.25">
      <c r="A280" s="49">
        <f>'A) Base RI'!A281</f>
        <v>5886</v>
      </c>
      <c r="B280" s="357" t="str">
        <f>'A) Base RI'!B281</f>
        <v>Montreux</v>
      </c>
      <c r="C280" s="419">
        <v>25817541.908807367</v>
      </c>
      <c r="D280" s="419">
        <v>-729982.82626866177</v>
      </c>
      <c r="E280" s="396">
        <v>0</v>
      </c>
      <c r="F280" s="396">
        <v>0</v>
      </c>
      <c r="G280" s="396">
        <v>0</v>
      </c>
      <c r="H280" s="419">
        <f t="shared" si="63"/>
        <v>25087559.082538705</v>
      </c>
      <c r="I280" s="420">
        <v>1120957.3291830304</v>
      </c>
      <c r="J280" s="361">
        <f>'B) D RI'!U281</f>
        <v>1097840.7322767281</v>
      </c>
      <c r="K280" s="62">
        <f t="shared" si="65"/>
        <v>22.380476427967935</v>
      </c>
      <c r="L280" s="33">
        <f>'B) D RI'!S281</f>
        <v>65</v>
      </c>
      <c r="M280" s="33">
        <f t="shared" si="58"/>
        <v>42.619523572032065</v>
      </c>
      <c r="N280" s="33">
        <f>'J) Plafonnement effort'!G279+'J) Plafonnement effort'!I279-'K) Plafonnement aide'!I279</f>
        <v>19.927126498742076</v>
      </c>
      <c r="O280" s="126">
        <f t="shared" si="59"/>
        <v>62.546650070774142</v>
      </c>
      <c r="P280" s="47">
        <f t="shared" si="60"/>
        <v>0</v>
      </c>
      <c r="Q280" s="55">
        <f t="shared" si="66"/>
        <v>0</v>
      </c>
      <c r="R280" s="146">
        <f t="shared" si="61"/>
        <v>62.546650070774142</v>
      </c>
      <c r="S280" s="126">
        <f t="shared" si="62"/>
        <v>-2.4533499292258583</v>
      </c>
      <c r="T280" s="145">
        <f t="shared" si="64"/>
        <v>0</v>
      </c>
      <c r="V280" s="12"/>
    </row>
    <row r="281" spans="1:22" x14ac:dyDescent="0.25">
      <c r="A281" s="49">
        <f>'A) Base RI'!A282</f>
        <v>5888</v>
      </c>
      <c r="B281" s="357" t="str">
        <f>'A) Base RI'!B282</f>
        <v>Saint-Légier-La Chiésaz</v>
      </c>
      <c r="C281" s="419">
        <v>6439492.6691527469</v>
      </c>
      <c r="D281" s="419">
        <v>3923887.7812501481</v>
      </c>
      <c r="E281" s="396">
        <v>0</v>
      </c>
      <c r="F281" s="396">
        <v>0</v>
      </c>
      <c r="G281" s="396">
        <v>0</v>
      </c>
      <c r="H281" s="419">
        <f t="shared" si="63"/>
        <v>10363380.450402895</v>
      </c>
      <c r="I281" s="420">
        <v>291113.86411428853</v>
      </c>
      <c r="J281" s="361">
        <f>'B) D RI'!U282</f>
        <v>314313.56949265295</v>
      </c>
      <c r="K281" s="62">
        <f t="shared" si="65"/>
        <v>35.599061837653771</v>
      </c>
      <c r="L281" s="33">
        <f>'B) D RI'!S282</f>
        <v>70</v>
      </c>
      <c r="M281" s="33">
        <f t="shared" si="58"/>
        <v>34.400938162346229</v>
      </c>
      <c r="N281" s="33">
        <f>'J) Plafonnement effort'!G280+'J) Plafonnement effort'!I280-'K) Plafonnement aide'!I280</f>
        <v>35.274446675739362</v>
      </c>
      <c r="O281" s="126">
        <f t="shared" si="59"/>
        <v>69.675384838085591</v>
      </c>
      <c r="P281" s="47">
        <f t="shared" si="60"/>
        <v>0</v>
      </c>
      <c r="Q281" s="55">
        <f t="shared" si="66"/>
        <v>0</v>
      </c>
      <c r="R281" s="146">
        <f t="shared" si="61"/>
        <v>69.675384838085591</v>
      </c>
      <c r="S281" s="126">
        <f t="shared" si="62"/>
        <v>-0.32461516191440865</v>
      </c>
      <c r="T281" s="145">
        <f t="shared" si="64"/>
        <v>0</v>
      </c>
      <c r="V281" s="12"/>
    </row>
    <row r="282" spans="1:22" x14ac:dyDescent="0.25">
      <c r="A282" s="49">
        <f>'A) Base RI'!A283</f>
        <v>5889</v>
      </c>
      <c r="B282" s="357" t="str">
        <f>'A) Base RI'!B283</f>
        <v>La Tour-de-Peilz</v>
      </c>
      <c r="C282" s="419">
        <v>14480253.034720687</v>
      </c>
      <c r="D282" s="419">
        <v>6991266.2429940961</v>
      </c>
      <c r="E282" s="396">
        <v>0</v>
      </c>
      <c r="F282" s="396">
        <v>0</v>
      </c>
      <c r="G282" s="396">
        <v>0</v>
      </c>
      <c r="H282" s="419">
        <f t="shared" si="63"/>
        <v>21471519.277714781</v>
      </c>
      <c r="I282" s="420">
        <v>674531.22490925156</v>
      </c>
      <c r="J282" s="361">
        <f>'B) D RI'!U283</f>
        <v>638439.35310298624</v>
      </c>
      <c r="K282" s="62">
        <f t="shared" si="65"/>
        <v>31.831764764638532</v>
      </c>
      <c r="L282" s="33">
        <f>'B) D RI'!S283</f>
        <v>64</v>
      </c>
      <c r="M282" s="33">
        <f t="shared" si="58"/>
        <v>32.168235235361465</v>
      </c>
      <c r="N282" s="33">
        <f>'J) Plafonnement effort'!G281+'J) Plafonnement effort'!I281-'K) Plafonnement aide'!I281</f>
        <v>33.824212818574061</v>
      </c>
      <c r="O282" s="126">
        <f t="shared" si="59"/>
        <v>65.992448053935533</v>
      </c>
      <c r="P282" s="47">
        <f t="shared" si="60"/>
        <v>0</v>
      </c>
      <c r="Q282" s="55">
        <f t="shared" si="66"/>
        <v>0</v>
      </c>
      <c r="R282" s="146">
        <f t="shared" si="61"/>
        <v>65.992448053935533</v>
      </c>
      <c r="S282" s="126">
        <f t="shared" si="62"/>
        <v>1.9924480539355329</v>
      </c>
      <c r="T282" s="145">
        <f t="shared" si="64"/>
        <v>0</v>
      </c>
      <c r="V282" s="12"/>
    </row>
    <row r="283" spans="1:22" x14ac:dyDescent="0.25">
      <c r="A283" s="49">
        <f>'A) Base RI'!A284</f>
        <v>5890</v>
      </c>
      <c r="B283" s="357" t="str">
        <f>'A) Base RI'!B284</f>
        <v>Vevey</v>
      </c>
      <c r="C283" s="419">
        <v>18931922.019213811</v>
      </c>
      <c r="D283" s="419">
        <v>4410414.500201581</v>
      </c>
      <c r="E283" s="396">
        <v>0</v>
      </c>
      <c r="F283" s="396">
        <v>0</v>
      </c>
      <c r="G283" s="396">
        <v>0</v>
      </c>
      <c r="H283" s="419">
        <f t="shared" si="63"/>
        <v>23342336.519415393</v>
      </c>
      <c r="I283" s="420">
        <v>953247.91463963222</v>
      </c>
      <c r="J283" s="361">
        <f>'B) D RI'!U284</f>
        <v>913497.60631978849</v>
      </c>
      <c r="K283" s="62">
        <f t="shared" si="65"/>
        <v>24.487162427457058</v>
      </c>
      <c r="L283" s="33">
        <f>'B) D RI'!S284</f>
        <v>76</v>
      </c>
      <c r="M283" s="33">
        <f t="shared" si="58"/>
        <v>51.512837572542942</v>
      </c>
      <c r="N283" s="33">
        <f>'J) Plafonnement effort'!G282+'J) Plafonnement effort'!I282-'K) Plafonnement aide'!I282</f>
        <v>20.393430700679954</v>
      </c>
      <c r="O283" s="126">
        <f t="shared" si="59"/>
        <v>71.906268273222892</v>
      </c>
      <c r="P283" s="47">
        <f t="shared" si="60"/>
        <v>0</v>
      </c>
      <c r="Q283" s="55">
        <f t="shared" si="66"/>
        <v>0</v>
      </c>
      <c r="R283" s="146">
        <f t="shared" si="61"/>
        <v>71.906268273222892</v>
      </c>
      <c r="S283" s="126">
        <f t="shared" si="62"/>
        <v>-4.0937317267771078</v>
      </c>
      <c r="T283" s="145">
        <f t="shared" si="64"/>
        <v>0</v>
      </c>
      <c r="V283" s="12"/>
    </row>
    <row r="284" spans="1:22" x14ac:dyDescent="0.25">
      <c r="A284" s="49">
        <f>'A) Base RI'!A285</f>
        <v>5891</v>
      </c>
      <c r="B284" s="357" t="str">
        <f>'A) Base RI'!B285</f>
        <v>Veytaux</v>
      </c>
      <c r="C284" s="419">
        <v>676037.65144603304</v>
      </c>
      <c r="D284" s="419">
        <v>516133.39968707325</v>
      </c>
      <c r="E284" s="396">
        <v>0</v>
      </c>
      <c r="F284" s="396">
        <v>0</v>
      </c>
      <c r="G284" s="396">
        <v>0</v>
      </c>
      <c r="H284" s="419">
        <f t="shared" si="63"/>
        <v>1192171.0511331062</v>
      </c>
      <c r="I284" s="420">
        <v>35139.330604262883</v>
      </c>
      <c r="J284" s="361">
        <f>'B) D RI'!U285</f>
        <v>36119.381724012419</v>
      </c>
      <c r="K284" s="62">
        <f t="shared" si="65"/>
        <v>33.926971021709775</v>
      </c>
      <c r="L284" s="33">
        <f>'B) D RI'!S285</f>
        <v>71</v>
      </c>
      <c r="M284" s="33">
        <f t="shared" si="58"/>
        <v>37.073028978290225</v>
      </c>
      <c r="N284" s="33">
        <f>'J) Plafonnement effort'!G283+'J) Plafonnement effort'!I283-'K) Plafonnement aide'!I283</f>
        <v>29.218274047817665</v>
      </c>
      <c r="O284" s="126">
        <f t="shared" si="59"/>
        <v>66.291303026107897</v>
      </c>
      <c r="P284" s="47">
        <f t="shared" si="60"/>
        <v>0</v>
      </c>
      <c r="Q284" s="55">
        <f t="shared" si="66"/>
        <v>0</v>
      </c>
      <c r="R284" s="146">
        <f t="shared" si="61"/>
        <v>66.291303026107897</v>
      </c>
      <c r="S284" s="126">
        <f t="shared" si="62"/>
        <v>-4.7086969738921027</v>
      </c>
      <c r="T284" s="145">
        <f t="shared" si="64"/>
        <v>0</v>
      </c>
      <c r="V284" s="12"/>
    </row>
    <row r="285" spans="1:22" x14ac:dyDescent="0.25">
      <c r="A285" s="49">
        <f>'A) Base RI'!A286</f>
        <v>5902</v>
      </c>
      <c r="B285" s="357" t="str">
        <f>'A) Base RI'!B286</f>
        <v>Belmont-sur-Yverdon</v>
      </c>
      <c r="C285" s="419">
        <v>187746.09090443701</v>
      </c>
      <c r="D285" s="419">
        <v>-14363.368937787018</v>
      </c>
      <c r="E285" s="396">
        <v>0</v>
      </c>
      <c r="F285" s="396">
        <v>0</v>
      </c>
      <c r="G285" s="396">
        <v>0</v>
      </c>
      <c r="H285" s="419">
        <f t="shared" si="63"/>
        <v>173382.72196664999</v>
      </c>
      <c r="I285" s="420">
        <v>9890.2176826722334</v>
      </c>
      <c r="J285" s="361">
        <f>'B) D RI'!U286</f>
        <v>10311.765900330549</v>
      </c>
      <c r="K285" s="62">
        <f t="shared" si="65"/>
        <v>17.530728597654463</v>
      </c>
      <c r="L285" s="33">
        <f>'B) D RI'!S286</f>
        <v>76</v>
      </c>
      <c r="M285" s="33">
        <f t="shared" si="58"/>
        <v>58.469271402345541</v>
      </c>
      <c r="N285" s="33">
        <f>'J) Plafonnement effort'!G284+'J) Plafonnement effort'!I284-'K) Plafonnement aide'!I284</f>
        <v>15.012796944301684</v>
      </c>
      <c r="O285" s="126">
        <f t="shared" si="59"/>
        <v>73.482068346647225</v>
      </c>
      <c r="P285" s="47">
        <f t="shared" si="60"/>
        <v>0</v>
      </c>
      <c r="Q285" s="55">
        <f t="shared" si="66"/>
        <v>0</v>
      </c>
      <c r="R285" s="146">
        <f t="shared" si="61"/>
        <v>73.482068346647225</v>
      </c>
      <c r="S285" s="126">
        <f t="shared" si="62"/>
        <v>-2.5179316533527754</v>
      </c>
      <c r="T285" s="145">
        <f t="shared" si="64"/>
        <v>0</v>
      </c>
      <c r="V285" s="12"/>
    </row>
    <row r="286" spans="1:22" x14ac:dyDescent="0.25">
      <c r="A286" s="49">
        <f>'A) Base RI'!A287</f>
        <v>5903</v>
      </c>
      <c r="B286" s="357" t="str">
        <f>'A) Base RI'!B287</f>
        <v>Bioley-Magnoux</v>
      </c>
      <c r="C286" s="419">
        <v>108983.29896686372</v>
      </c>
      <c r="D286" s="419">
        <v>-1806.7024151522346</v>
      </c>
      <c r="E286" s="396">
        <v>0</v>
      </c>
      <c r="F286" s="396">
        <v>0</v>
      </c>
      <c r="G286" s="396">
        <v>0</v>
      </c>
      <c r="H286" s="419">
        <f t="shared" si="63"/>
        <v>107176.59655171148</v>
      </c>
      <c r="I286" s="420">
        <v>5925.8519470372794</v>
      </c>
      <c r="J286" s="361">
        <f>'B) D RI'!U287</f>
        <v>5438.478399120967</v>
      </c>
      <c r="K286" s="62">
        <f t="shared" si="65"/>
        <v>18.086276456045457</v>
      </c>
      <c r="L286" s="33">
        <f>'B) D RI'!S287</f>
        <v>74</v>
      </c>
      <c r="M286" s="33">
        <f t="shared" si="58"/>
        <v>55.913723543954546</v>
      </c>
      <c r="N286" s="33">
        <f>'J) Plafonnement effort'!G285+'J) Plafonnement effort'!I285-'K) Plafonnement aide'!I285</f>
        <v>-27.392028359984124</v>
      </c>
      <c r="O286" s="126">
        <f t="shared" si="59"/>
        <v>28.521695183970422</v>
      </c>
      <c r="P286" s="47">
        <f t="shared" si="60"/>
        <v>0</v>
      </c>
      <c r="Q286" s="55">
        <f t="shared" si="66"/>
        <v>0</v>
      </c>
      <c r="R286" s="146">
        <f t="shared" si="61"/>
        <v>28.521695183970422</v>
      </c>
      <c r="S286" s="126">
        <f t="shared" si="62"/>
        <v>-45.478304816029578</v>
      </c>
      <c r="T286" s="145">
        <f t="shared" si="64"/>
        <v>0</v>
      </c>
      <c r="V286" s="12"/>
    </row>
    <row r="287" spans="1:22" x14ac:dyDescent="0.25">
      <c r="A287" s="49">
        <f>'A) Base RI'!A288</f>
        <v>5904</v>
      </c>
      <c r="B287" s="357" t="str">
        <f>'A) Base RI'!B288</f>
        <v>Chamblon</v>
      </c>
      <c r="C287" s="419">
        <v>392853.98881152738</v>
      </c>
      <c r="D287" s="419">
        <v>324033.1944065179</v>
      </c>
      <c r="E287" s="396">
        <v>0</v>
      </c>
      <c r="F287" s="396">
        <v>0</v>
      </c>
      <c r="G287" s="396">
        <v>0</v>
      </c>
      <c r="H287" s="419">
        <f t="shared" si="63"/>
        <v>716887.18321804528</v>
      </c>
      <c r="I287" s="420">
        <v>21650.618671075306</v>
      </c>
      <c r="J287" s="361">
        <f>'B) D RI'!U288</f>
        <v>19974.80164727481</v>
      </c>
      <c r="K287" s="62">
        <f t="shared" si="65"/>
        <v>33.11162577426893</v>
      </c>
      <c r="L287" s="33">
        <f>'B) D RI'!S288</f>
        <v>66</v>
      </c>
      <c r="M287" s="33">
        <f t="shared" si="58"/>
        <v>32.88837422573107</v>
      </c>
      <c r="N287" s="33">
        <f>'J) Plafonnement effort'!G286+'J) Plafonnement effort'!I286-'K) Plafonnement aide'!I286</f>
        <v>30.278656097566156</v>
      </c>
      <c r="O287" s="126">
        <f t="shared" si="59"/>
        <v>63.167030323297226</v>
      </c>
      <c r="P287" s="47">
        <f t="shared" si="60"/>
        <v>0</v>
      </c>
      <c r="Q287" s="55">
        <f t="shared" si="66"/>
        <v>0</v>
      </c>
      <c r="R287" s="146">
        <f t="shared" si="61"/>
        <v>63.167030323297226</v>
      </c>
      <c r="S287" s="126">
        <f t="shared" si="62"/>
        <v>-2.8329696767027741</v>
      </c>
      <c r="T287" s="145">
        <f t="shared" si="64"/>
        <v>0</v>
      </c>
      <c r="V287" s="12"/>
    </row>
    <row r="288" spans="1:22" x14ac:dyDescent="0.25">
      <c r="A288" s="49">
        <f>'A) Base RI'!A289</f>
        <v>5905</v>
      </c>
      <c r="B288" s="357" t="str">
        <f>'A) Base RI'!B289</f>
        <v>Champvent</v>
      </c>
      <c r="C288" s="419">
        <v>407632.79951505992</v>
      </c>
      <c r="D288" s="419">
        <v>198517.44611522381</v>
      </c>
      <c r="E288" s="396">
        <v>0</v>
      </c>
      <c r="F288" s="396">
        <v>0</v>
      </c>
      <c r="G288" s="396">
        <v>0</v>
      </c>
      <c r="H288" s="419">
        <f t="shared" si="63"/>
        <v>606150.24563028372</v>
      </c>
      <c r="I288" s="420">
        <v>22161.114023042239</v>
      </c>
      <c r="J288" s="361">
        <f>'B) D RI'!U289</f>
        <v>22958.275896270283</v>
      </c>
      <c r="K288" s="62">
        <f t="shared" si="65"/>
        <v>27.351975401599081</v>
      </c>
      <c r="L288" s="33">
        <f>'B) D RI'!S289</f>
        <v>71</v>
      </c>
      <c r="M288" s="33">
        <f t="shared" si="58"/>
        <v>43.648024598400923</v>
      </c>
      <c r="N288" s="33">
        <f>'J) Plafonnement effort'!G287+'J) Plafonnement effort'!I287-'K) Plafonnement aide'!I287</f>
        <v>25.672096991463885</v>
      </c>
      <c r="O288" s="126">
        <f t="shared" si="59"/>
        <v>69.320121589864812</v>
      </c>
      <c r="P288" s="47">
        <f t="shared" si="60"/>
        <v>0</v>
      </c>
      <c r="Q288" s="55">
        <f t="shared" si="66"/>
        <v>0</v>
      </c>
      <c r="R288" s="146">
        <f t="shared" si="61"/>
        <v>69.320121589864812</v>
      </c>
      <c r="S288" s="126">
        <f t="shared" si="62"/>
        <v>-1.6798784101351885</v>
      </c>
      <c r="T288" s="145">
        <f t="shared" si="64"/>
        <v>0</v>
      </c>
      <c r="V288" s="12"/>
    </row>
    <row r="289" spans="1:22" x14ac:dyDescent="0.25">
      <c r="A289" s="49">
        <f>'A) Base RI'!A290</f>
        <v>5907</v>
      </c>
      <c r="B289" s="357" t="str">
        <f>'A) Base RI'!B290</f>
        <v>Chavannes-le-Chêne</v>
      </c>
      <c r="C289" s="419">
        <v>142794.91049998082</v>
      </c>
      <c r="D289" s="419">
        <v>18770.643063383381</v>
      </c>
      <c r="E289" s="396">
        <v>0</v>
      </c>
      <c r="F289" s="396">
        <v>0</v>
      </c>
      <c r="G289" s="396">
        <v>0</v>
      </c>
      <c r="H289" s="419">
        <f t="shared" si="63"/>
        <v>161565.5535633642</v>
      </c>
      <c r="I289" s="420">
        <v>8634.8729280902389</v>
      </c>
      <c r="J289" s="361">
        <f>'B) D RI'!U290</f>
        <v>8069.3635983781451</v>
      </c>
      <c r="K289" s="62">
        <f t="shared" si="65"/>
        <v>18.710820055935368</v>
      </c>
      <c r="L289" s="33">
        <f>'B) D RI'!S290</f>
        <v>78</v>
      </c>
      <c r="M289" s="33">
        <f t="shared" si="58"/>
        <v>59.289179944064628</v>
      </c>
      <c r="N289" s="33">
        <f>'J) Plafonnement effort'!G288+'J) Plafonnement effort'!I288-'K) Plafonnement aide'!I288</f>
        <v>7.1982395294209836</v>
      </c>
      <c r="O289" s="126">
        <f t="shared" si="59"/>
        <v>66.487419473485616</v>
      </c>
      <c r="P289" s="47">
        <f t="shared" si="60"/>
        <v>0</v>
      </c>
      <c r="Q289" s="55">
        <f t="shared" si="66"/>
        <v>0</v>
      </c>
      <c r="R289" s="146">
        <f t="shared" si="61"/>
        <v>66.487419473485616</v>
      </c>
      <c r="S289" s="126">
        <f t="shared" si="62"/>
        <v>-11.512580526514384</v>
      </c>
      <c r="T289" s="145">
        <f t="shared" si="64"/>
        <v>0</v>
      </c>
      <c r="V289" s="12"/>
    </row>
    <row r="290" spans="1:22" x14ac:dyDescent="0.25">
      <c r="A290" s="49">
        <f>'A) Base RI'!A291</f>
        <v>5908</v>
      </c>
      <c r="B290" s="357" t="str">
        <f>'A) Base RI'!B291</f>
        <v>Chêne-Pâquier</v>
      </c>
      <c r="C290" s="419">
        <v>44849.231283886198</v>
      </c>
      <c r="D290" s="419">
        <v>-49836.731179022696</v>
      </c>
      <c r="E290" s="396">
        <v>0</v>
      </c>
      <c r="F290" s="396">
        <v>0</v>
      </c>
      <c r="G290" s="396">
        <v>0</v>
      </c>
      <c r="H290" s="419">
        <f t="shared" si="63"/>
        <v>-4987.4998951364978</v>
      </c>
      <c r="I290" s="420">
        <v>2752.8487805406176</v>
      </c>
      <c r="J290" s="361">
        <f>'B) D RI'!U291</f>
        <v>3150.4766446398044</v>
      </c>
      <c r="K290" s="62">
        <f t="shared" si="65"/>
        <v>-1.811759487259968</v>
      </c>
      <c r="L290" s="33">
        <f>'B) D RI'!S291</f>
        <v>79</v>
      </c>
      <c r="M290" s="33">
        <f t="shared" si="58"/>
        <v>80.811759487259962</v>
      </c>
      <c r="N290" s="33">
        <f>'J) Plafonnement effort'!G289+'J) Plafonnement effort'!I289-'K) Plafonnement aide'!I289</f>
        <v>13.824971544961022</v>
      </c>
      <c r="O290" s="126">
        <f t="shared" si="59"/>
        <v>94.636731032220979</v>
      </c>
      <c r="P290" s="47">
        <f t="shared" si="60"/>
        <v>-2.2061963647140885</v>
      </c>
      <c r="Q290" s="55">
        <f t="shared" si="66"/>
        <v>-6950.5701205209762</v>
      </c>
      <c r="R290" s="146">
        <f t="shared" si="61"/>
        <v>92.43053466750689</v>
      </c>
      <c r="S290" s="126">
        <f t="shared" si="62"/>
        <v>13.43053466750689</v>
      </c>
      <c r="T290" s="145">
        <f t="shared" si="64"/>
        <v>0</v>
      </c>
      <c r="V290" s="12"/>
    </row>
    <row r="291" spans="1:22" x14ac:dyDescent="0.25">
      <c r="A291" s="49">
        <f>'A) Base RI'!A292</f>
        <v>5909</v>
      </c>
      <c r="B291" s="357" t="str">
        <f>'A) Base RI'!B292</f>
        <v>Cheseaux-Noréaz</v>
      </c>
      <c r="C291" s="419">
        <v>576775.45984185697</v>
      </c>
      <c r="D291" s="419">
        <v>392085.452027147</v>
      </c>
      <c r="E291" s="396">
        <v>0</v>
      </c>
      <c r="F291" s="396">
        <v>0</v>
      </c>
      <c r="G291" s="396">
        <v>0</v>
      </c>
      <c r="H291" s="419">
        <f t="shared" si="63"/>
        <v>968860.9118690039</v>
      </c>
      <c r="I291" s="420">
        <v>27860.638922764225</v>
      </c>
      <c r="J291" s="361">
        <f>'B) D RI'!U292</f>
        <v>32363.863960310864</v>
      </c>
      <c r="K291" s="62">
        <f t="shared" si="65"/>
        <v>34.775258189695428</v>
      </c>
      <c r="L291" s="33">
        <f>'B) D RI'!S292</f>
        <v>70</v>
      </c>
      <c r="M291" s="33">
        <f t="shared" si="58"/>
        <v>35.224741810304572</v>
      </c>
      <c r="N291" s="33">
        <f>'J) Plafonnement effort'!G290+'J) Plafonnement effort'!I290-'K) Plafonnement aide'!I290</f>
        <v>33.346079189008819</v>
      </c>
      <c r="O291" s="126">
        <f t="shared" si="59"/>
        <v>68.570820999313383</v>
      </c>
      <c r="P291" s="47">
        <f t="shared" si="60"/>
        <v>0</v>
      </c>
      <c r="Q291" s="55">
        <f t="shared" si="66"/>
        <v>0</v>
      </c>
      <c r="R291" s="146">
        <f t="shared" si="61"/>
        <v>68.570820999313383</v>
      </c>
      <c r="S291" s="126">
        <f t="shared" si="62"/>
        <v>-1.4291790006866165</v>
      </c>
      <c r="T291" s="145">
        <f t="shared" si="64"/>
        <v>0</v>
      </c>
      <c r="V291" s="12"/>
    </row>
    <row r="292" spans="1:22" x14ac:dyDescent="0.25">
      <c r="A292" s="49">
        <f>'A) Base RI'!A293</f>
        <v>5910</v>
      </c>
      <c r="B292" s="357" t="str">
        <f>'A) Base RI'!B293</f>
        <v>Cronay</v>
      </c>
      <c r="C292" s="419">
        <v>163295.0762243729</v>
      </c>
      <c r="D292" s="419">
        <v>-21545.92680131059</v>
      </c>
      <c r="E292" s="396">
        <v>0</v>
      </c>
      <c r="F292" s="396">
        <v>0</v>
      </c>
      <c r="G292" s="396">
        <v>0</v>
      </c>
      <c r="H292" s="419">
        <f t="shared" si="63"/>
        <v>141749.14942306231</v>
      </c>
      <c r="I292" s="420">
        <v>10082.92355515589</v>
      </c>
      <c r="J292" s="361">
        <f>'B) D RI'!U293</f>
        <v>9609.1535349412279</v>
      </c>
      <c r="K292" s="62">
        <f t="shared" si="65"/>
        <v>14.058338203960602</v>
      </c>
      <c r="L292" s="33">
        <f>'B) D RI'!S293</f>
        <v>79</v>
      </c>
      <c r="M292" s="33">
        <f t="shared" ref="M292:M314" si="67">L292-K292</f>
        <v>64.941661796039398</v>
      </c>
      <c r="N292" s="33">
        <f>'J) Plafonnement effort'!G291+'J) Plafonnement effort'!I291-'K) Plafonnement aide'!I291</f>
        <v>3.0861576182256947</v>
      </c>
      <c r="O292" s="126">
        <f t="shared" si="59"/>
        <v>68.027819414265096</v>
      </c>
      <c r="P292" s="47">
        <f t="shared" si="60"/>
        <v>0</v>
      </c>
      <c r="Q292" s="55">
        <f t="shared" si="66"/>
        <v>0</v>
      </c>
      <c r="R292" s="146">
        <f t="shared" si="61"/>
        <v>68.027819414265096</v>
      </c>
      <c r="S292" s="126">
        <f t="shared" si="62"/>
        <v>-10.972180585734904</v>
      </c>
      <c r="T292" s="145">
        <f t="shared" si="64"/>
        <v>0</v>
      </c>
      <c r="V292" s="12"/>
    </row>
    <row r="293" spans="1:22" x14ac:dyDescent="0.25">
      <c r="A293" s="49">
        <f>'A) Base RI'!A294</f>
        <v>5911</v>
      </c>
      <c r="B293" s="357" t="str">
        <f>'A) Base RI'!B294</f>
        <v>Cuarny</v>
      </c>
      <c r="C293" s="419">
        <v>117032.87649888787</v>
      </c>
      <c r="D293" s="419">
        <v>17196.999921640614</v>
      </c>
      <c r="E293" s="396">
        <v>0</v>
      </c>
      <c r="F293" s="396">
        <v>0</v>
      </c>
      <c r="G293" s="396">
        <v>0</v>
      </c>
      <c r="H293" s="419">
        <f t="shared" si="63"/>
        <v>134229.87642052848</v>
      </c>
      <c r="I293" s="420">
        <v>7082.7432735873799</v>
      </c>
      <c r="J293" s="361">
        <f>'B) D RI'!U294</f>
        <v>6836.3467697278311</v>
      </c>
      <c r="K293" s="62">
        <f t="shared" si="65"/>
        <v>18.951678923771244</v>
      </c>
      <c r="L293" s="33">
        <f>'B) D RI'!S294</f>
        <v>79</v>
      </c>
      <c r="M293" s="33">
        <f t="shared" si="67"/>
        <v>60.04832107622876</v>
      </c>
      <c r="N293" s="33">
        <f>'J) Plafonnement effort'!G292+'J) Plafonnement effort'!I292-'K) Plafonnement aide'!I292</f>
        <v>4.9034248582431221</v>
      </c>
      <c r="O293" s="126">
        <f t="shared" si="59"/>
        <v>64.951745934471887</v>
      </c>
      <c r="P293" s="47">
        <f t="shared" si="60"/>
        <v>0</v>
      </c>
      <c r="Q293" s="55">
        <f t="shared" si="66"/>
        <v>0</v>
      </c>
      <c r="R293" s="146">
        <f t="shared" si="61"/>
        <v>64.951745934471887</v>
      </c>
      <c r="S293" s="126">
        <f t="shared" si="62"/>
        <v>-14.048254065528113</v>
      </c>
      <c r="T293" s="145">
        <f t="shared" si="64"/>
        <v>0</v>
      </c>
      <c r="V293" s="12"/>
    </row>
    <row r="294" spans="1:22" x14ac:dyDescent="0.25">
      <c r="A294" s="49">
        <f>'A) Base RI'!A295</f>
        <v>5912</v>
      </c>
      <c r="B294" s="357" t="str">
        <f>'A) Base RI'!B295</f>
        <v>Démoret</v>
      </c>
      <c r="C294" s="419">
        <v>57396.857553934067</v>
      </c>
      <c r="D294" s="419">
        <v>-43476.405650085915</v>
      </c>
      <c r="E294" s="396">
        <v>0</v>
      </c>
      <c r="F294" s="396">
        <v>0</v>
      </c>
      <c r="G294" s="396">
        <v>0</v>
      </c>
      <c r="H294" s="419">
        <f t="shared" si="63"/>
        <v>13920.451903848152</v>
      </c>
      <c r="I294" s="420">
        <v>3186.2414803898018</v>
      </c>
      <c r="J294" s="361">
        <f>'B) D RI'!U295</f>
        <v>3133.4473385194956</v>
      </c>
      <c r="K294" s="62">
        <f t="shared" si="65"/>
        <v>4.3689255787810337</v>
      </c>
      <c r="L294" s="33">
        <f>'B) D RI'!S295</f>
        <v>81</v>
      </c>
      <c r="M294" s="33">
        <f t="shared" si="67"/>
        <v>76.631074421218969</v>
      </c>
      <c r="N294" s="33">
        <f>'J) Plafonnement effort'!G293+'J) Plafonnement effort'!I293-'K) Plafonnement aide'!I293</f>
        <v>-14.504706278687673</v>
      </c>
      <c r="O294" s="126">
        <f t="shared" si="59"/>
        <v>62.126368142531298</v>
      </c>
      <c r="P294" s="47">
        <f t="shared" si="60"/>
        <v>0</v>
      </c>
      <c r="Q294" s="55">
        <f t="shared" si="66"/>
        <v>0</v>
      </c>
      <c r="R294" s="146">
        <f t="shared" si="61"/>
        <v>62.126368142531298</v>
      </c>
      <c r="S294" s="126">
        <f t="shared" si="62"/>
        <v>-18.873631857468702</v>
      </c>
      <c r="T294" s="145">
        <f t="shared" si="64"/>
        <v>0</v>
      </c>
      <c r="V294" s="12"/>
    </row>
    <row r="295" spans="1:22" x14ac:dyDescent="0.25">
      <c r="A295" s="49">
        <f>'A) Base RI'!A296</f>
        <v>5913</v>
      </c>
      <c r="B295" s="357" t="str">
        <f>'A) Base RI'!B296</f>
        <v>Donneloye</v>
      </c>
      <c r="C295" s="419">
        <v>360966.81898382131</v>
      </c>
      <c r="D295" s="419">
        <v>-54297.304254885064</v>
      </c>
      <c r="E295" s="396">
        <v>0</v>
      </c>
      <c r="F295" s="396">
        <v>0</v>
      </c>
      <c r="G295" s="396">
        <v>0</v>
      </c>
      <c r="H295" s="419">
        <f t="shared" si="63"/>
        <v>306669.51472893625</v>
      </c>
      <c r="I295" s="420">
        <v>20035.3963318641</v>
      </c>
      <c r="J295" s="361">
        <f>'B) D RI'!U296</f>
        <v>20110.628715820858</v>
      </c>
      <c r="K295" s="62">
        <f t="shared" si="65"/>
        <v>15.306386240097083</v>
      </c>
      <c r="L295" s="33">
        <f>'B) D RI'!S296</f>
        <v>73</v>
      </c>
      <c r="M295" s="33">
        <f t="shared" si="67"/>
        <v>57.693613759902917</v>
      </c>
      <c r="N295" s="33">
        <f>'J) Plafonnement effort'!G294+'J) Plafonnement effort'!I294-'K) Plafonnement aide'!I294</f>
        <v>15.497139861424118</v>
      </c>
      <c r="O295" s="126">
        <f t="shared" si="59"/>
        <v>73.190753621327033</v>
      </c>
      <c r="P295" s="47">
        <f t="shared" si="60"/>
        <v>0</v>
      </c>
      <c r="Q295" s="55">
        <f t="shared" si="66"/>
        <v>0</v>
      </c>
      <c r="R295" s="146">
        <f t="shared" si="61"/>
        <v>73.190753621327033</v>
      </c>
      <c r="S295" s="126">
        <f t="shared" si="62"/>
        <v>0.19075362132703333</v>
      </c>
      <c r="T295" s="145">
        <f t="shared" si="64"/>
        <v>0</v>
      </c>
      <c r="V295" s="12"/>
    </row>
    <row r="296" spans="1:22" x14ac:dyDescent="0.25">
      <c r="A296" s="49">
        <f>'A) Base RI'!A297</f>
        <v>5914</v>
      </c>
      <c r="B296" s="357" t="str">
        <f>'A) Base RI'!B297</f>
        <v>Ependes</v>
      </c>
      <c r="C296" s="419">
        <v>179307.1118264703</v>
      </c>
      <c r="D296" s="419">
        <v>21150.545481341338</v>
      </c>
      <c r="E296" s="396">
        <v>0</v>
      </c>
      <c r="F296" s="396">
        <v>0</v>
      </c>
      <c r="G296" s="396">
        <v>0</v>
      </c>
      <c r="H296" s="419">
        <f t="shared" si="63"/>
        <v>200457.65730781163</v>
      </c>
      <c r="I296" s="420">
        <v>10170.223624242424</v>
      </c>
      <c r="J296" s="361">
        <f>'B) D RI'!U297</f>
        <v>9482.8279280120751</v>
      </c>
      <c r="K296" s="62">
        <f t="shared" si="65"/>
        <v>19.710250699894875</v>
      </c>
      <c r="L296" s="33">
        <f>'B) D RI'!S297</f>
        <v>75</v>
      </c>
      <c r="M296" s="33">
        <f t="shared" si="67"/>
        <v>55.289749300105129</v>
      </c>
      <c r="N296" s="33">
        <f>'J) Plafonnement effort'!G295+'J) Plafonnement effort'!I295-'K) Plafonnement aide'!I295</f>
        <v>12.426800674672741</v>
      </c>
      <c r="O296" s="126">
        <f t="shared" si="59"/>
        <v>67.716549974777877</v>
      </c>
      <c r="P296" s="47">
        <f t="shared" si="60"/>
        <v>0</v>
      </c>
      <c r="Q296" s="55">
        <f t="shared" si="66"/>
        <v>0</v>
      </c>
      <c r="R296" s="146">
        <f t="shared" si="61"/>
        <v>67.716549974777877</v>
      </c>
      <c r="S296" s="126">
        <f t="shared" si="62"/>
        <v>-7.2834500252221233</v>
      </c>
      <c r="T296" s="145">
        <f t="shared" si="64"/>
        <v>0</v>
      </c>
      <c r="V296" s="12"/>
    </row>
    <row r="297" spans="1:22" x14ac:dyDescent="0.25">
      <c r="A297" s="49">
        <f>'A) Base RI'!A298</f>
        <v>5919</v>
      </c>
      <c r="B297" s="357" t="str">
        <f>'A) Base RI'!B298</f>
        <v>Mathod</v>
      </c>
      <c r="C297" s="419">
        <v>264235.91258829267</v>
      </c>
      <c r="D297" s="419">
        <v>-3185.8803497349727</v>
      </c>
      <c r="E297" s="396">
        <v>0</v>
      </c>
      <c r="F297" s="396">
        <v>0</v>
      </c>
      <c r="G297" s="396">
        <v>0</v>
      </c>
      <c r="H297" s="419">
        <f t="shared" si="63"/>
        <v>261050.0322385577</v>
      </c>
      <c r="I297" s="420">
        <v>15960.347228765168</v>
      </c>
      <c r="J297" s="361">
        <f>'B) D RI'!U298</f>
        <v>17110.918111251427</v>
      </c>
      <c r="K297" s="62">
        <f t="shared" si="65"/>
        <v>16.356162462936268</v>
      </c>
      <c r="L297" s="33">
        <f>'B) D RI'!S298</f>
        <v>72</v>
      </c>
      <c r="M297" s="33">
        <f t="shared" si="67"/>
        <v>55.643837537063732</v>
      </c>
      <c r="N297" s="33">
        <f>'J) Plafonnement effort'!G296+'J) Plafonnement effort'!I296-'K) Plafonnement aide'!I296</f>
        <v>21.438118637728973</v>
      </c>
      <c r="O297" s="126">
        <f t="shared" si="59"/>
        <v>77.081956174792708</v>
      </c>
      <c r="P297" s="47">
        <f t="shared" si="60"/>
        <v>0</v>
      </c>
      <c r="Q297" s="55">
        <f t="shared" si="66"/>
        <v>0</v>
      </c>
      <c r="R297" s="146">
        <f t="shared" si="61"/>
        <v>77.081956174792708</v>
      </c>
      <c r="S297" s="126">
        <f t="shared" si="62"/>
        <v>5.0819561747927082</v>
      </c>
      <c r="T297" s="145">
        <f t="shared" si="64"/>
        <v>0</v>
      </c>
      <c r="V297" s="12"/>
    </row>
    <row r="298" spans="1:22" x14ac:dyDescent="0.25">
      <c r="A298" s="49">
        <f>'A) Base RI'!A299</f>
        <v>5921</v>
      </c>
      <c r="B298" s="357" t="str">
        <f>'A) Base RI'!B299</f>
        <v>Molondin</v>
      </c>
      <c r="C298" s="419">
        <v>95959.066900937949</v>
      </c>
      <c r="D298" s="419">
        <v>-57065.428853120495</v>
      </c>
      <c r="E298" s="396">
        <v>0</v>
      </c>
      <c r="F298" s="396">
        <v>0</v>
      </c>
      <c r="G298" s="396">
        <v>0</v>
      </c>
      <c r="H298" s="419">
        <f t="shared" si="63"/>
        <v>38893.638047817454</v>
      </c>
      <c r="I298" s="420">
        <v>5323.6574375620139</v>
      </c>
      <c r="J298" s="361">
        <f>'B) D RI'!U299</f>
        <v>5222.6425850785827</v>
      </c>
      <c r="K298" s="62">
        <f t="shared" si="65"/>
        <v>7.3058115598115796</v>
      </c>
      <c r="L298" s="33">
        <f>'B) D RI'!S299</f>
        <v>81</v>
      </c>
      <c r="M298" s="33">
        <f t="shared" si="67"/>
        <v>73.694188440188427</v>
      </c>
      <c r="N298" s="33">
        <f>'J) Plafonnement effort'!G297+'J) Plafonnement effort'!I297-'K) Plafonnement aide'!I297</f>
        <v>-2.5192329255687742</v>
      </c>
      <c r="O298" s="126">
        <f t="shared" si="59"/>
        <v>71.174955514619654</v>
      </c>
      <c r="P298" s="47">
        <f t="shared" si="60"/>
        <v>0</v>
      </c>
      <c r="Q298" s="55">
        <f t="shared" si="66"/>
        <v>0</v>
      </c>
      <c r="R298" s="146">
        <f t="shared" si="61"/>
        <v>71.174955514619654</v>
      </c>
      <c r="S298" s="126">
        <f t="shared" si="62"/>
        <v>-9.8250444853803458</v>
      </c>
      <c r="T298" s="145">
        <f t="shared" si="64"/>
        <v>0</v>
      </c>
      <c r="V298" s="12"/>
    </row>
    <row r="299" spans="1:22" x14ac:dyDescent="0.25">
      <c r="A299" s="49">
        <f>'A) Base RI'!A300</f>
        <v>5922</v>
      </c>
      <c r="B299" s="357" t="str">
        <f>'A) Base RI'!B300</f>
        <v>Montagny-près-Yverdon</v>
      </c>
      <c r="C299" s="419">
        <v>942526.25436318631</v>
      </c>
      <c r="D299" s="419">
        <v>762740.60814779543</v>
      </c>
      <c r="E299" s="396">
        <v>0</v>
      </c>
      <c r="F299" s="396">
        <v>0</v>
      </c>
      <c r="G299" s="396">
        <v>0</v>
      </c>
      <c r="H299" s="419">
        <f t="shared" si="63"/>
        <v>1705266.8625109817</v>
      </c>
      <c r="I299" s="420">
        <v>42538.107931378596</v>
      </c>
      <c r="J299" s="361">
        <f>'B) D RI'!U300</f>
        <v>35584.669450199006</v>
      </c>
      <c r="K299" s="62">
        <f t="shared" si="65"/>
        <v>40.087980999575137</v>
      </c>
      <c r="L299" s="33">
        <f>'B) D RI'!S300</f>
        <v>65</v>
      </c>
      <c r="M299" s="33">
        <f t="shared" si="67"/>
        <v>24.912019000424863</v>
      </c>
      <c r="N299" s="33">
        <f>'J) Plafonnement effort'!G298+'J) Plafonnement effort'!I298-'K) Plafonnement aide'!I298</f>
        <v>35.508977733741276</v>
      </c>
      <c r="O299" s="126">
        <f t="shared" si="59"/>
        <v>60.420996734166138</v>
      </c>
      <c r="P299" s="47">
        <f t="shared" si="60"/>
        <v>0</v>
      </c>
      <c r="Q299" s="55">
        <f t="shared" si="66"/>
        <v>0</v>
      </c>
      <c r="R299" s="146">
        <f t="shared" si="61"/>
        <v>60.420996734166138</v>
      </c>
      <c r="S299" s="126">
        <f t="shared" si="62"/>
        <v>-4.5790032658338617</v>
      </c>
      <c r="T299" s="145">
        <f t="shared" si="64"/>
        <v>0</v>
      </c>
      <c r="V299" s="12"/>
    </row>
    <row r="300" spans="1:22" x14ac:dyDescent="0.25">
      <c r="A300" s="49">
        <f>'A) Base RI'!A301</f>
        <v>5923</v>
      </c>
      <c r="B300" s="357" t="str">
        <f>'A) Base RI'!B301</f>
        <v>Oppens</v>
      </c>
      <c r="C300" s="419">
        <v>83053.732659529574</v>
      </c>
      <c r="D300" s="419">
        <v>-30311.424223646944</v>
      </c>
      <c r="E300" s="396">
        <v>0</v>
      </c>
      <c r="F300" s="396">
        <v>0</v>
      </c>
      <c r="G300" s="396">
        <v>0</v>
      </c>
      <c r="H300" s="419">
        <f t="shared" si="63"/>
        <v>52742.308435882631</v>
      </c>
      <c r="I300" s="420">
        <v>4631.0916713851466</v>
      </c>
      <c r="J300" s="361">
        <f>'B) D RI'!U301</f>
        <v>5170.8107520197709</v>
      </c>
      <c r="K300" s="62">
        <f t="shared" si="65"/>
        <v>11.388742045805271</v>
      </c>
      <c r="L300" s="33">
        <f>'B) D RI'!S301</f>
        <v>81</v>
      </c>
      <c r="M300" s="33">
        <f t="shared" si="67"/>
        <v>69.611257954194727</v>
      </c>
      <c r="N300" s="33">
        <f>'J) Plafonnement effort'!G299+'J) Plafonnement effort'!I299-'K) Plafonnement aide'!I299</f>
        <v>7.6033102205744569</v>
      </c>
      <c r="O300" s="126">
        <f t="shared" si="59"/>
        <v>77.214568174769184</v>
      </c>
      <c r="P300" s="47">
        <f t="shared" si="60"/>
        <v>0</v>
      </c>
      <c r="Q300" s="55">
        <f t="shared" si="66"/>
        <v>0</v>
      </c>
      <c r="R300" s="146">
        <f t="shared" si="61"/>
        <v>77.214568174769184</v>
      </c>
      <c r="S300" s="126">
        <f t="shared" si="62"/>
        <v>-3.7854318252308161</v>
      </c>
      <c r="T300" s="145">
        <f t="shared" si="64"/>
        <v>0</v>
      </c>
      <c r="V300" s="12"/>
    </row>
    <row r="301" spans="1:22" x14ac:dyDescent="0.25">
      <c r="A301" s="49">
        <f>'A) Base RI'!A302</f>
        <v>5924</v>
      </c>
      <c r="B301" s="357" t="str">
        <f>'A) Base RI'!B302</f>
        <v>Orges</v>
      </c>
      <c r="C301" s="419">
        <v>174583.55253762961</v>
      </c>
      <c r="D301" s="419">
        <v>61994.959716975281</v>
      </c>
      <c r="E301" s="396">
        <v>0</v>
      </c>
      <c r="F301" s="396">
        <v>0</v>
      </c>
      <c r="G301" s="396">
        <v>0</v>
      </c>
      <c r="H301" s="419">
        <f t="shared" si="63"/>
        <v>236578.5122546049</v>
      </c>
      <c r="I301" s="420">
        <v>10396.618626656635</v>
      </c>
      <c r="J301" s="361">
        <f>'B) D RI'!U302</f>
        <v>10275.510319946678</v>
      </c>
      <c r="K301" s="62">
        <f t="shared" si="65"/>
        <v>22.755332358544376</v>
      </c>
      <c r="L301" s="33">
        <f>'B) D RI'!S302</f>
        <v>74</v>
      </c>
      <c r="M301" s="33">
        <f t="shared" si="67"/>
        <v>51.244667641455621</v>
      </c>
      <c r="N301" s="33">
        <f>'J) Plafonnement effort'!G300+'J) Plafonnement effort'!I300-'K) Plafonnement aide'!I300</f>
        <v>23.976471539747074</v>
      </c>
      <c r="O301" s="126">
        <f t="shared" si="59"/>
        <v>75.221139181202687</v>
      </c>
      <c r="P301" s="47">
        <f t="shared" si="60"/>
        <v>0</v>
      </c>
      <c r="Q301" s="55">
        <f t="shared" si="66"/>
        <v>0</v>
      </c>
      <c r="R301" s="146">
        <f t="shared" si="61"/>
        <v>75.221139181202687</v>
      </c>
      <c r="S301" s="126">
        <f t="shared" si="62"/>
        <v>1.2211391812026875</v>
      </c>
      <c r="T301" s="145">
        <f t="shared" si="64"/>
        <v>0</v>
      </c>
      <c r="V301" s="12"/>
    </row>
    <row r="302" spans="1:22" x14ac:dyDescent="0.25">
      <c r="A302" s="49">
        <f>'A) Base RI'!A303</f>
        <v>5925</v>
      </c>
      <c r="B302" s="357" t="str">
        <f>'A) Base RI'!B303</f>
        <v>Orzens</v>
      </c>
      <c r="C302" s="419">
        <v>79086.085852068121</v>
      </c>
      <c r="D302" s="419">
        <v>-29855.046620098656</v>
      </c>
      <c r="E302" s="396">
        <v>0</v>
      </c>
      <c r="F302" s="396">
        <v>0</v>
      </c>
      <c r="G302" s="396">
        <v>0</v>
      </c>
      <c r="H302" s="419">
        <f t="shared" si="63"/>
        <v>49231.039231969466</v>
      </c>
      <c r="I302" s="420">
        <v>4755.0256411268865</v>
      </c>
      <c r="J302" s="361">
        <f>'B) D RI'!U303</f>
        <v>5564.160782501971</v>
      </c>
      <c r="K302" s="62">
        <f t="shared" si="65"/>
        <v>10.353475027802853</v>
      </c>
      <c r="L302" s="33">
        <f>'B) D RI'!S303</f>
        <v>79</v>
      </c>
      <c r="M302" s="33">
        <f t="shared" si="67"/>
        <v>68.646524972197142</v>
      </c>
      <c r="N302" s="33">
        <f>'J) Plafonnement effort'!G301+'J) Plafonnement effort'!I301-'K) Plafonnement aide'!I301</f>
        <v>18.471798947601762</v>
      </c>
      <c r="O302" s="126">
        <f t="shared" si="59"/>
        <v>87.118323919798911</v>
      </c>
      <c r="P302" s="47">
        <f t="shared" si="60"/>
        <v>0</v>
      </c>
      <c r="Q302" s="55">
        <f t="shared" si="66"/>
        <v>0</v>
      </c>
      <c r="R302" s="146">
        <f t="shared" si="61"/>
        <v>87.118323919798911</v>
      </c>
      <c r="S302" s="126">
        <f t="shared" si="62"/>
        <v>8.118323919798911</v>
      </c>
      <c r="T302" s="145">
        <f t="shared" si="64"/>
        <v>0</v>
      </c>
      <c r="V302" s="12"/>
    </row>
    <row r="303" spans="1:22" x14ac:dyDescent="0.25">
      <c r="A303" s="49">
        <f>'A) Base RI'!A304</f>
        <v>5926</v>
      </c>
      <c r="B303" s="357" t="str">
        <f>'A) Base RI'!B304</f>
        <v>Pomy</v>
      </c>
      <c r="C303" s="419">
        <v>412039.5700541836</v>
      </c>
      <c r="D303" s="419">
        <v>122972.85751347127</v>
      </c>
      <c r="E303" s="396">
        <v>0</v>
      </c>
      <c r="F303" s="396">
        <v>0</v>
      </c>
      <c r="G303" s="396">
        <v>0</v>
      </c>
      <c r="H303" s="419">
        <f t="shared" si="63"/>
        <v>535012.42756765487</v>
      </c>
      <c r="I303" s="420">
        <v>23259.861194280857</v>
      </c>
      <c r="J303" s="361">
        <f>'B) D RI'!U304</f>
        <v>26594.76814227111</v>
      </c>
      <c r="K303" s="62">
        <f t="shared" si="65"/>
        <v>23.001531397754167</v>
      </c>
      <c r="L303" s="33">
        <f>'B) D RI'!S304</f>
        <v>71</v>
      </c>
      <c r="M303" s="33">
        <f t="shared" si="67"/>
        <v>47.998468602245836</v>
      </c>
      <c r="N303" s="33">
        <f>'J) Plafonnement effort'!G302+'J) Plafonnement effort'!I302-'K) Plafonnement aide'!I302</f>
        <v>26.31605039311205</v>
      </c>
      <c r="O303" s="126">
        <f t="shared" si="59"/>
        <v>74.314518995357886</v>
      </c>
      <c r="P303" s="47">
        <f t="shared" si="60"/>
        <v>0</v>
      </c>
      <c r="Q303" s="55">
        <f t="shared" si="66"/>
        <v>0</v>
      </c>
      <c r="R303" s="146">
        <f t="shared" si="61"/>
        <v>74.314518995357886</v>
      </c>
      <c r="S303" s="126">
        <f t="shared" si="62"/>
        <v>3.3145189953578864</v>
      </c>
      <c r="T303" s="145">
        <f t="shared" si="64"/>
        <v>0</v>
      </c>
      <c r="V303" s="12"/>
    </row>
    <row r="304" spans="1:22" x14ac:dyDescent="0.25">
      <c r="A304" s="49">
        <f>'A) Base RI'!A305</f>
        <v>5928</v>
      </c>
      <c r="B304" s="357" t="str">
        <f>'A) Base RI'!B305</f>
        <v>Rovray</v>
      </c>
      <c r="C304" s="419">
        <v>75963.904145805747</v>
      </c>
      <c r="D304" s="419">
        <v>-17519.554068262732</v>
      </c>
      <c r="E304" s="396">
        <v>0</v>
      </c>
      <c r="F304" s="396">
        <v>0</v>
      </c>
      <c r="G304" s="396">
        <v>0</v>
      </c>
      <c r="H304" s="419">
        <f t="shared" si="63"/>
        <v>58444.350077543015</v>
      </c>
      <c r="I304" s="420">
        <v>4486.3585880513701</v>
      </c>
      <c r="J304" s="361">
        <f>'B) D RI'!U305</f>
        <v>4332.6487869809371</v>
      </c>
      <c r="K304" s="62">
        <f t="shared" si="65"/>
        <v>13.027124098639662</v>
      </c>
      <c r="L304" s="33">
        <f>'B) D RI'!S305</f>
        <v>73</v>
      </c>
      <c r="M304" s="33">
        <f t="shared" si="67"/>
        <v>59.972875901360339</v>
      </c>
      <c r="N304" s="33">
        <f>'J) Plafonnement effort'!G303+'J) Plafonnement effort'!I303-'K) Plafonnement aide'!I303</f>
        <v>13.235671121139664</v>
      </c>
      <c r="O304" s="126">
        <f t="shared" si="59"/>
        <v>73.208547022499999</v>
      </c>
      <c r="P304" s="47">
        <f t="shared" si="60"/>
        <v>0</v>
      </c>
      <c r="Q304" s="55">
        <f t="shared" si="66"/>
        <v>0</v>
      </c>
      <c r="R304" s="146">
        <f t="shared" si="61"/>
        <v>73.208547022499999</v>
      </c>
      <c r="S304" s="126">
        <f t="shared" si="62"/>
        <v>0.20854702249999946</v>
      </c>
      <c r="T304" s="145">
        <f t="shared" si="64"/>
        <v>0</v>
      </c>
      <c r="V304" s="12"/>
    </row>
    <row r="305" spans="1:22" x14ac:dyDescent="0.25">
      <c r="A305" s="49">
        <f>'A) Base RI'!A306</f>
        <v>5929</v>
      </c>
      <c r="B305" s="357" t="str">
        <f>'A) Base RI'!B306</f>
        <v>Suchy</v>
      </c>
      <c r="C305" s="419">
        <v>312903.98814755795</v>
      </c>
      <c r="D305" s="419">
        <v>64299.919993552961</v>
      </c>
      <c r="E305" s="396">
        <v>0</v>
      </c>
      <c r="F305" s="396">
        <v>0</v>
      </c>
      <c r="G305" s="396">
        <v>0</v>
      </c>
      <c r="H305" s="419">
        <f t="shared" si="63"/>
        <v>377203.90814111091</v>
      </c>
      <c r="I305" s="420">
        <v>17021.216382984901</v>
      </c>
      <c r="J305" s="361">
        <f>'B) D RI'!U306</f>
        <v>17123.573212033476</v>
      </c>
      <c r="K305" s="62">
        <f t="shared" si="65"/>
        <v>22.160807997140513</v>
      </c>
      <c r="L305" s="33">
        <f>'B) D RI'!S306</f>
        <v>70</v>
      </c>
      <c r="M305" s="33">
        <f t="shared" si="67"/>
        <v>47.839192002859491</v>
      </c>
      <c r="N305" s="33">
        <f>'J) Plafonnement effort'!G304+'J) Plafonnement effort'!I304-'K) Plafonnement aide'!I304</f>
        <v>22.110576983065172</v>
      </c>
      <c r="O305" s="126">
        <f t="shared" si="59"/>
        <v>69.949768985924663</v>
      </c>
      <c r="P305" s="47">
        <f t="shared" si="60"/>
        <v>0</v>
      </c>
      <c r="Q305" s="55">
        <f t="shared" si="66"/>
        <v>0</v>
      </c>
      <c r="R305" s="146">
        <f t="shared" si="61"/>
        <v>69.949768985924663</v>
      </c>
      <c r="S305" s="126">
        <f t="shared" si="62"/>
        <v>-5.0231014075336589E-2</v>
      </c>
      <c r="T305" s="145">
        <f t="shared" si="64"/>
        <v>0</v>
      </c>
      <c r="V305" s="12"/>
    </row>
    <row r="306" spans="1:22" x14ac:dyDescent="0.25">
      <c r="A306" s="49">
        <f>'A) Base RI'!A307</f>
        <v>5930</v>
      </c>
      <c r="B306" s="357" t="str">
        <f>'A) Base RI'!B307</f>
        <v>Suscévaz</v>
      </c>
      <c r="C306" s="419">
        <v>105378.70932442932</v>
      </c>
      <c r="D306" s="419">
        <v>6695.0531567647995</v>
      </c>
      <c r="E306" s="396">
        <v>0</v>
      </c>
      <c r="F306" s="396">
        <v>0</v>
      </c>
      <c r="G306" s="396">
        <v>0</v>
      </c>
      <c r="H306" s="419">
        <f t="shared" si="63"/>
        <v>112073.76248119412</v>
      </c>
      <c r="I306" s="420">
        <v>5363.6524098848004</v>
      </c>
      <c r="J306" s="361">
        <f>'B) D RI'!U307</f>
        <v>5845.0713540916349</v>
      </c>
      <c r="K306" s="62">
        <f t="shared" si="65"/>
        <v>20.895045748052347</v>
      </c>
      <c r="L306" s="33">
        <f>'B) D RI'!S307</f>
        <v>72</v>
      </c>
      <c r="M306" s="33">
        <f t="shared" si="67"/>
        <v>51.104954251947653</v>
      </c>
      <c r="N306" s="33">
        <f>'J) Plafonnement effort'!G305+'J) Plafonnement effort'!I305-'K) Plafonnement aide'!I305</f>
        <v>18.407622248974761</v>
      </c>
      <c r="O306" s="126">
        <f t="shared" si="59"/>
        <v>69.512576500922421</v>
      </c>
      <c r="P306" s="47">
        <f t="shared" si="60"/>
        <v>0</v>
      </c>
      <c r="Q306" s="55">
        <f t="shared" si="66"/>
        <v>0</v>
      </c>
      <c r="R306" s="146">
        <f t="shared" si="61"/>
        <v>69.512576500922421</v>
      </c>
      <c r="S306" s="126">
        <f t="shared" si="62"/>
        <v>-2.487423499077579</v>
      </c>
      <c r="T306" s="145">
        <f t="shared" si="64"/>
        <v>0</v>
      </c>
      <c r="V306" s="12"/>
    </row>
    <row r="307" spans="1:22" x14ac:dyDescent="0.25">
      <c r="A307" s="49">
        <f>'A) Base RI'!A308</f>
        <v>5931</v>
      </c>
      <c r="B307" s="357" t="str">
        <f>'A) Base RI'!B308</f>
        <v>Treycovagnes</v>
      </c>
      <c r="C307" s="419">
        <v>268138.73755232088</v>
      </c>
      <c r="D307" s="419">
        <v>52010.364366572088</v>
      </c>
      <c r="E307" s="396">
        <v>0</v>
      </c>
      <c r="F307" s="396">
        <v>0</v>
      </c>
      <c r="G307" s="396">
        <v>0</v>
      </c>
      <c r="H307" s="419">
        <f t="shared" si="63"/>
        <v>320149.10191889293</v>
      </c>
      <c r="I307" s="420">
        <v>13443.123228865978</v>
      </c>
      <c r="J307" s="361">
        <f>'B) D RI'!U308</f>
        <v>12973.113986974873</v>
      </c>
      <c r="K307" s="62">
        <f t="shared" si="65"/>
        <v>23.815083479369381</v>
      </c>
      <c r="L307" s="33">
        <f>'B) D RI'!S308</f>
        <v>75</v>
      </c>
      <c r="M307" s="33">
        <f t="shared" si="67"/>
        <v>51.184916520630622</v>
      </c>
      <c r="N307" s="33">
        <f>'J) Plafonnement effort'!G306+'J) Plafonnement effort'!I306-'K) Plafonnement aide'!I306</f>
        <v>18.374469393938583</v>
      </c>
      <c r="O307" s="126">
        <f t="shared" si="59"/>
        <v>69.559385914569205</v>
      </c>
      <c r="P307" s="47">
        <f t="shared" si="60"/>
        <v>0</v>
      </c>
      <c r="Q307" s="55">
        <f t="shared" si="66"/>
        <v>0</v>
      </c>
      <c r="R307" s="146">
        <f t="shared" si="61"/>
        <v>69.559385914569205</v>
      </c>
      <c r="S307" s="126">
        <f t="shared" si="62"/>
        <v>-5.4406140854307949</v>
      </c>
      <c r="T307" s="145">
        <f t="shared" si="64"/>
        <v>0</v>
      </c>
      <c r="V307" s="12"/>
    </row>
    <row r="308" spans="1:22" x14ac:dyDescent="0.25">
      <c r="A308" s="49">
        <f>'A) Base RI'!A309</f>
        <v>5932</v>
      </c>
      <c r="B308" s="357" t="str">
        <f>'A) Base RI'!B309</f>
        <v>Ursins</v>
      </c>
      <c r="C308" s="419">
        <v>121350.37324242896</v>
      </c>
      <c r="D308" s="419">
        <v>37549.518962846923</v>
      </c>
      <c r="E308" s="396">
        <v>0</v>
      </c>
      <c r="F308" s="396">
        <v>0</v>
      </c>
      <c r="G308" s="396">
        <v>0</v>
      </c>
      <c r="H308" s="419">
        <f t="shared" si="63"/>
        <v>158899.89220527589</v>
      </c>
      <c r="I308" s="420">
        <v>6855.3003269100209</v>
      </c>
      <c r="J308" s="361">
        <f>'B) D RI'!U309</f>
        <v>6686.217062317166</v>
      </c>
      <c r="K308" s="62">
        <f t="shared" si="65"/>
        <v>23.179129232533406</v>
      </c>
      <c r="L308" s="33">
        <f>'B) D RI'!S309</f>
        <v>77</v>
      </c>
      <c r="M308" s="33">
        <f t="shared" si="67"/>
        <v>53.820870767466594</v>
      </c>
      <c r="N308" s="33">
        <f>'J) Plafonnement effort'!G307+'J) Plafonnement effort'!I307-'K) Plafonnement aide'!I307</f>
        <v>20.649998851077836</v>
      </c>
      <c r="O308" s="126">
        <f t="shared" si="59"/>
        <v>74.470869618544427</v>
      </c>
      <c r="P308" s="47">
        <f t="shared" si="60"/>
        <v>0</v>
      </c>
      <c r="Q308" s="55">
        <f t="shared" si="66"/>
        <v>0</v>
      </c>
      <c r="R308" s="146">
        <f t="shared" si="61"/>
        <v>74.470869618544427</v>
      </c>
      <c r="S308" s="126">
        <f t="shared" si="62"/>
        <v>-2.5291303814555732</v>
      </c>
      <c r="T308" s="145">
        <f t="shared" si="64"/>
        <v>0</v>
      </c>
      <c r="V308" s="12"/>
    </row>
    <row r="309" spans="1:22" x14ac:dyDescent="0.25">
      <c r="A309" s="49">
        <f>'A) Base RI'!A310</f>
        <v>5933</v>
      </c>
      <c r="B309" s="357" t="str">
        <f>'A) Base RI'!B310</f>
        <v>Valeyres-sous-Montagny</v>
      </c>
      <c r="C309" s="419">
        <v>392645.09313171945</v>
      </c>
      <c r="D309" s="419">
        <v>95241.756883037684</v>
      </c>
      <c r="E309" s="396">
        <v>0</v>
      </c>
      <c r="F309" s="396">
        <v>0</v>
      </c>
      <c r="G309" s="396">
        <v>0</v>
      </c>
      <c r="H309" s="419">
        <f t="shared" si="63"/>
        <v>487886.85001475713</v>
      </c>
      <c r="I309" s="420">
        <v>20669.421262090575</v>
      </c>
      <c r="J309" s="361">
        <f>'B) D RI'!U310</f>
        <v>22631.763146204292</v>
      </c>
      <c r="K309" s="62">
        <f t="shared" si="65"/>
        <v>23.604282085516438</v>
      </c>
      <c r="L309" s="33">
        <f>'B) D RI'!S310</f>
        <v>72</v>
      </c>
      <c r="M309" s="33">
        <f t="shared" si="67"/>
        <v>48.395717914483562</v>
      </c>
      <c r="N309" s="33">
        <f>'J) Plafonnement effort'!G308+'J) Plafonnement effort'!I308-'K) Plafonnement aide'!I308</f>
        <v>19.08539618464771</v>
      </c>
      <c r="O309" s="126">
        <f t="shared" si="59"/>
        <v>67.481114099131275</v>
      </c>
      <c r="P309" s="47">
        <f t="shared" si="60"/>
        <v>0</v>
      </c>
      <c r="Q309" s="55">
        <f t="shared" si="66"/>
        <v>0</v>
      </c>
      <c r="R309" s="146">
        <f t="shared" si="61"/>
        <v>67.481114099131275</v>
      </c>
      <c r="S309" s="126">
        <f t="shared" si="62"/>
        <v>-4.5188859008687245</v>
      </c>
      <c r="T309" s="145">
        <f t="shared" si="64"/>
        <v>0</v>
      </c>
      <c r="V309" s="12"/>
    </row>
    <row r="310" spans="1:22" x14ac:dyDescent="0.25">
      <c r="A310" s="49">
        <f>'A) Base RI'!A311</f>
        <v>5934</v>
      </c>
      <c r="B310" s="357" t="str">
        <f>'A) Base RI'!B311</f>
        <v>Valeyres-sous-Ursins</v>
      </c>
      <c r="C310" s="419">
        <v>107146.62692741159</v>
      </c>
      <c r="D310" s="419">
        <v>7882.0446071382321</v>
      </c>
      <c r="E310" s="396">
        <v>0</v>
      </c>
      <c r="F310" s="396">
        <v>0</v>
      </c>
      <c r="G310" s="396">
        <v>0</v>
      </c>
      <c r="H310" s="419">
        <f t="shared" si="63"/>
        <v>115028.67153454982</v>
      </c>
      <c r="I310" s="420">
        <v>6791.6761133712571</v>
      </c>
      <c r="J310" s="361">
        <f>'B) D RI'!U311</f>
        <v>7641.8509852223033</v>
      </c>
      <c r="K310" s="62">
        <f t="shared" si="65"/>
        <v>16.936713355350481</v>
      </c>
      <c r="L310" s="33">
        <f>'B) D RI'!S311</f>
        <v>79</v>
      </c>
      <c r="M310" s="33">
        <f t="shared" si="67"/>
        <v>62.063286644649523</v>
      </c>
      <c r="N310" s="33">
        <f>'J) Plafonnement effort'!G309+'J) Plafonnement effort'!I309-'K) Plafonnement aide'!I309</f>
        <v>22.240610792251772</v>
      </c>
      <c r="O310" s="126">
        <f t="shared" si="59"/>
        <v>84.303897436901295</v>
      </c>
      <c r="P310" s="47">
        <f t="shared" si="60"/>
        <v>0</v>
      </c>
      <c r="Q310" s="55">
        <f t="shared" si="66"/>
        <v>0</v>
      </c>
      <c r="R310" s="146">
        <f t="shared" si="61"/>
        <v>84.303897436901295</v>
      </c>
      <c r="S310" s="126">
        <f t="shared" si="62"/>
        <v>5.3038974369012948</v>
      </c>
      <c r="T310" s="145">
        <f t="shared" si="64"/>
        <v>0</v>
      </c>
      <c r="V310" s="12"/>
    </row>
    <row r="311" spans="1:22" x14ac:dyDescent="0.25">
      <c r="A311" s="49">
        <f>'A) Base RI'!A312</f>
        <v>5935</v>
      </c>
      <c r="B311" s="357" t="str">
        <f>'A) Base RI'!B312</f>
        <v>Villars-Epeney</v>
      </c>
      <c r="C311" s="419">
        <v>100802.47094133263</v>
      </c>
      <c r="D311" s="419">
        <v>97571.426980017786</v>
      </c>
      <c r="E311" s="396">
        <v>0</v>
      </c>
      <c r="F311" s="396">
        <v>0</v>
      </c>
      <c r="G311" s="396">
        <v>0</v>
      </c>
      <c r="H311" s="419">
        <f t="shared" si="63"/>
        <v>198373.89792135044</v>
      </c>
      <c r="I311" s="420">
        <v>5529.6840523560213</v>
      </c>
      <c r="J311" s="361">
        <f>'B) D RI'!U312</f>
        <v>5591.3819786059366</v>
      </c>
      <c r="K311" s="62">
        <f t="shared" si="65"/>
        <v>35.87436389549773</v>
      </c>
      <c r="L311" s="33">
        <f>'B) D RI'!S312</f>
        <v>60</v>
      </c>
      <c r="M311" s="33">
        <f t="shared" si="67"/>
        <v>24.12563610450227</v>
      </c>
      <c r="N311" s="33">
        <f>'J) Plafonnement effort'!G310+'J) Plafonnement effort'!I310-'K) Plafonnement aide'!I310</f>
        <v>36.046115941580446</v>
      </c>
      <c r="O311" s="126">
        <f t="shared" si="59"/>
        <v>60.171752046082716</v>
      </c>
      <c r="P311" s="47">
        <f t="shared" si="60"/>
        <v>0</v>
      </c>
      <c r="Q311" s="55">
        <f t="shared" si="66"/>
        <v>0</v>
      </c>
      <c r="R311" s="146">
        <f t="shared" si="61"/>
        <v>60.171752046082716</v>
      </c>
      <c r="S311" s="126">
        <f t="shared" si="62"/>
        <v>0.17175204608271599</v>
      </c>
      <c r="T311" s="145">
        <f t="shared" si="64"/>
        <v>0</v>
      </c>
      <c r="V311" s="12"/>
    </row>
    <row r="312" spans="1:22" x14ac:dyDescent="0.25">
      <c r="A312" s="49">
        <f>'A) Base RI'!A313</f>
        <v>5937</v>
      </c>
      <c r="B312" s="357" t="str">
        <f>'A) Base RI'!B313</f>
        <v>Vugelles-La Mothe</v>
      </c>
      <c r="C312" s="419">
        <v>51201.522030865839</v>
      </c>
      <c r="D312" s="419">
        <v>-9421.2492085276826</v>
      </c>
      <c r="E312" s="396">
        <v>0</v>
      </c>
      <c r="F312" s="396">
        <v>0</v>
      </c>
      <c r="G312" s="396">
        <v>0</v>
      </c>
      <c r="H312" s="419">
        <f t="shared" si="63"/>
        <v>41780.272822338156</v>
      </c>
      <c r="I312" s="420">
        <v>2865.8382395608655</v>
      </c>
      <c r="J312" s="361">
        <f>'B) D RI'!U313</f>
        <v>2402.7405651963004</v>
      </c>
      <c r="K312" s="62">
        <f t="shared" si="65"/>
        <v>14.578726826096151</v>
      </c>
      <c r="L312" s="33">
        <f>'B) D RI'!S313</f>
        <v>70</v>
      </c>
      <c r="M312" s="33">
        <f t="shared" si="67"/>
        <v>55.421273173903849</v>
      </c>
      <c r="N312" s="33">
        <f>'J) Plafonnement effort'!G311+'J) Plafonnement effort'!I311-'K) Plafonnement aide'!I311</f>
        <v>-10.756411784474476</v>
      </c>
      <c r="O312" s="126">
        <f t="shared" si="59"/>
        <v>44.664861389429376</v>
      </c>
      <c r="P312" s="47">
        <f t="shared" si="60"/>
        <v>0</v>
      </c>
      <c r="Q312" s="55">
        <f t="shared" si="66"/>
        <v>0</v>
      </c>
      <c r="R312" s="146">
        <f t="shared" si="61"/>
        <v>44.664861389429376</v>
      </c>
      <c r="S312" s="126">
        <f t="shared" si="62"/>
        <v>-25.335138610570624</v>
      </c>
      <c r="T312" s="145">
        <f t="shared" si="64"/>
        <v>0</v>
      </c>
      <c r="V312" s="12"/>
    </row>
    <row r="313" spans="1:22" x14ac:dyDescent="0.25">
      <c r="A313" s="49">
        <f>'A) Base RI'!A314</f>
        <v>5938</v>
      </c>
      <c r="B313" s="357" t="str">
        <f>'A) Base RI'!B314</f>
        <v>Yverdon-les-Bains</v>
      </c>
      <c r="C313" s="419">
        <v>15062215.323136562</v>
      </c>
      <c r="D313" s="419">
        <v>-23722834.322416157</v>
      </c>
      <c r="E313" s="396">
        <v>2466531.2146436805</v>
      </c>
      <c r="F313" s="396">
        <v>0</v>
      </c>
      <c r="G313" s="396">
        <v>0</v>
      </c>
      <c r="H313" s="419">
        <f t="shared" si="63"/>
        <v>-6194087.7846359136</v>
      </c>
      <c r="I313" s="420">
        <v>774260.97307948919</v>
      </c>
      <c r="J313" s="361">
        <f>'B) D RI'!U314</f>
        <v>748845.35601358349</v>
      </c>
      <c r="K313" s="62">
        <f t="shared" si="65"/>
        <v>-8</v>
      </c>
      <c r="L313" s="33">
        <f>'B) D RI'!S314</f>
        <v>76.5</v>
      </c>
      <c r="M313" s="33">
        <f t="shared" si="67"/>
        <v>84.5</v>
      </c>
      <c r="N313" s="33">
        <f>'J) Plafonnement effort'!G312+'J) Plafonnement effort'!I312-'K) Plafonnement aide'!I312</f>
        <v>-19.406124371996434</v>
      </c>
      <c r="O313" s="126">
        <f t="shared" si="59"/>
        <v>65.093875628003559</v>
      </c>
      <c r="P313" s="47">
        <f t="shared" si="60"/>
        <v>0</v>
      </c>
      <c r="Q313" s="55">
        <f t="shared" si="66"/>
        <v>0</v>
      </c>
      <c r="R313" s="146">
        <f t="shared" si="61"/>
        <v>65.093875628003559</v>
      </c>
      <c r="S313" s="126">
        <f t="shared" si="62"/>
        <v>-11.406124371996441</v>
      </c>
      <c r="T313" s="145">
        <f t="shared" si="64"/>
        <v>0</v>
      </c>
      <c r="V313" s="12"/>
    </row>
    <row r="314" spans="1:22" x14ac:dyDescent="0.25">
      <c r="A314" s="50">
        <f>'A) Base RI'!A315</f>
        <v>5939</v>
      </c>
      <c r="B314" s="358" t="str">
        <f>'A) Base RI'!B315</f>
        <v>Yvonand</v>
      </c>
      <c r="C314" s="419">
        <v>2094036.9781664775</v>
      </c>
      <c r="D314" s="419">
        <v>-378739.91454910254</v>
      </c>
      <c r="E314" s="396">
        <v>0</v>
      </c>
      <c r="F314" s="396">
        <v>0</v>
      </c>
      <c r="G314" s="396">
        <v>0</v>
      </c>
      <c r="H314" s="419">
        <f t="shared" si="63"/>
        <v>1715297.063617375</v>
      </c>
      <c r="I314" s="420">
        <v>92761.457314991218</v>
      </c>
      <c r="J314" s="362">
        <f>'B) D RI'!U315</f>
        <v>91997.775281850787</v>
      </c>
      <c r="K314" s="62">
        <f t="shared" si="65"/>
        <v>18.491484645316856</v>
      </c>
      <c r="L314" s="88">
        <f>'B) D RI'!S315</f>
        <v>73</v>
      </c>
      <c r="M314" s="88">
        <f t="shared" si="67"/>
        <v>54.508515354683141</v>
      </c>
      <c r="N314" s="88">
        <f>'J) Plafonnement effort'!G313+'J) Plafonnement effort'!I313-'K) Plafonnement aide'!I313</f>
        <v>11.32994027311875</v>
      </c>
      <c r="O314" s="128">
        <f t="shared" si="59"/>
        <v>65.838455627801892</v>
      </c>
      <c r="P314" s="47">
        <f t="shared" si="60"/>
        <v>0</v>
      </c>
      <c r="Q314" s="55">
        <f t="shared" si="66"/>
        <v>0</v>
      </c>
      <c r="R314" s="147">
        <f t="shared" si="61"/>
        <v>65.838455627801892</v>
      </c>
      <c r="S314" s="128">
        <f t="shared" si="62"/>
        <v>-7.161544372198108</v>
      </c>
      <c r="T314" s="145">
        <f t="shared" si="64"/>
        <v>0</v>
      </c>
      <c r="V314" s="12"/>
    </row>
    <row r="315" spans="1:22" x14ac:dyDescent="0.25">
      <c r="A315" s="30"/>
      <c r="B315" s="119">
        <f>COUNTA(B6:B314)</f>
        <v>309</v>
      </c>
      <c r="C315" s="38">
        <f>SUM(C6:C314)</f>
        <v>817484999.99999976</v>
      </c>
      <c r="D315" s="304">
        <f t="shared" ref="D315:J315" si="68">SUM(D6:D314)</f>
        <v>173097259.42470962</v>
      </c>
      <c r="E315" s="304">
        <f t="shared" si="68"/>
        <v>4575106.25798475</v>
      </c>
      <c r="F315" s="304">
        <f t="shared" si="68"/>
        <v>-25101393.124698054</v>
      </c>
      <c r="G315" s="304">
        <f t="shared" si="68"/>
        <v>-24261.884260726591</v>
      </c>
      <c r="H315" s="150">
        <f t="shared" si="68"/>
        <v>970031710.67373538</v>
      </c>
      <c r="I315" s="414">
        <f t="shared" si="68"/>
        <v>35922747.174706832</v>
      </c>
      <c r="J315" s="96">
        <f t="shared" si="68"/>
        <v>35867536.64913179</v>
      </c>
      <c r="K315" s="59">
        <f>H315/I315</f>
        <v>27.003271936750252</v>
      </c>
      <c r="L315" s="19">
        <f>'B) D RI'!S316</f>
        <v>67.900243919177981</v>
      </c>
      <c r="M315" s="19"/>
      <c r="N315" s="19">
        <f>SUM(N6:N314)</f>
        <v>6858.8229378249334</v>
      </c>
      <c r="O315" s="97"/>
      <c r="P315" s="115"/>
      <c r="Q315" s="37">
        <f>SUM(Q6:Q314)</f>
        <v>-31254.357561127046</v>
      </c>
      <c r="R315" s="118"/>
      <c r="S315" s="97"/>
      <c r="T315" s="149"/>
    </row>
    <row r="316" spans="1:22" x14ac:dyDescent="0.25">
      <c r="T316" s="22"/>
    </row>
    <row r="317" spans="1:22" s="6" customFormat="1" x14ac:dyDescent="0.25">
      <c r="K317" s="282"/>
      <c r="N317" s="15"/>
    </row>
    <row r="320" spans="1:22" s="6" customFormat="1" x14ac:dyDescent="0.25">
      <c r="K320" s="282"/>
      <c r="M320" s="282"/>
      <c r="N320" s="15"/>
      <c r="O320" s="282"/>
      <c r="P320" s="282"/>
    </row>
  </sheetData>
  <mergeCells count="17">
    <mergeCell ref="C3:I3"/>
    <mergeCell ref="C4:C5"/>
    <mergeCell ref="B4:B5"/>
    <mergeCell ref="A4:A5"/>
    <mergeCell ref="K4:K5"/>
    <mergeCell ref="E4:E5"/>
    <mergeCell ref="D4:D5"/>
    <mergeCell ref="S4:S5"/>
    <mergeCell ref="R4:R5"/>
    <mergeCell ref="Q4:Q5"/>
    <mergeCell ref="O4:O5"/>
    <mergeCell ref="N4:N5"/>
    <mergeCell ref="M4:M5"/>
    <mergeCell ref="L4:L5"/>
    <mergeCell ref="H4:H5"/>
    <mergeCell ref="G4:G5"/>
    <mergeCell ref="F4:F5"/>
  </mergeCells>
  <phoneticPr fontId="0" type="noConversion"/>
  <printOptions horizontalCentered="1"/>
  <pageMargins left="0" right="0" top="0" bottom="0" header="0.51181102362204722" footer="0.51181102362204722"/>
  <pageSetup paperSize="9" scale="63" orientation="landscape"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rgb="FF00B050"/>
    <pageSetUpPr fitToPage="1"/>
  </sheetPr>
  <dimension ref="A1:V317"/>
  <sheetViews>
    <sheetView workbookViewId="0">
      <selection activeCell="G333" sqref="G333"/>
    </sheetView>
  </sheetViews>
  <sheetFormatPr baseColWidth="10" defaultColWidth="9.375" defaultRowHeight="15" x14ac:dyDescent="0.25"/>
  <cols>
    <col min="1" max="1" width="8.125" style="214" customWidth="1"/>
    <col min="2" max="2" width="17.875" style="214" bestFit="1" customWidth="1"/>
    <col min="3" max="3" width="9.875" style="214" customWidth="1"/>
    <col min="4" max="4" width="10.5" style="214" customWidth="1"/>
    <col min="5" max="5" width="5.625" style="214" bestFit="1" customWidth="1"/>
    <col min="6" max="6" width="12" style="214" bestFit="1" customWidth="1"/>
    <col min="7" max="7" width="10.875" style="214" bestFit="1" customWidth="1"/>
    <col min="8" max="8" width="12" style="214" bestFit="1" customWidth="1"/>
    <col min="9" max="9" width="13.625" style="214" customWidth="1"/>
    <col min="10" max="10" width="11.375" style="214" bestFit="1" customWidth="1"/>
    <col min="11" max="11" width="11.75" style="214" customWidth="1"/>
    <col min="12" max="12" width="11.375" style="214" bestFit="1" customWidth="1"/>
    <col min="13" max="13" width="9.75" style="214" bestFit="1" customWidth="1"/>
    <col min="14" max="14" width="11.375" style="214" bestFit="1" customWidth="1"/>
    <col min="15" max="15" width="10.75" style="214" bestFit="1" customWidth="1"/>
    <col min="16" max="16" width="13.125" style="216" customWidth="1"/>
    <col min="17" max="17" width="9.375" style="215"/>
    <col min="18" max="18" width="9.875" style="216" customWidth="1"/>
    <col min="19" max="19" width="11.75" style="216" bestFit="1" customWidth="1"/>
    <col min="20" max="22" width="9.375" style="215"/>
    <col min="23" max="249" width="9.375" style="214"/>
    <col min="250" max="250" width="5" style="214" customWidth="1"/>
    <col min="251" max="251" width="17.875" style="214" bestFit="1" customWidth="1"/>
    <col min="252" max="252" width="9.875" style="214" customWidth="1"/>
    <col min="253" max="253" width="8.875" style="214" customWidth="1"/>
    <col min="254" max="254" width="7.375" style="214" bestFit="1" customWidth="1"/>
    <col min="255" max="255" width="10.125" style="214" bestFit="1" customWidth="1"/>
    <col min="256" max="256" width="9.375" style="214"/>
    <col min="257" max="257" width="10.125" style="214" bestFit="1" customWidth="1"/>
    <col min="258" max="258" width="10.75" style="214" customWidth="1"/>
    <col min="259" max="261" width="9.375" style="214"/>
    <col min="262" max="263" width="10.75" style="214" customWidth="1"/>
    <col min="264" max="268" width="9.375" style="214"/>
    <col min="269" max="269" width="1.625" style="214" bestFit="1" customWidth="1"/>
    <col min="270" max="270" width="9.375" style="214"/>
    <col min="271" max="271" width="8.875" style="214" customWidth="1"/>
    <col min="272" max="272" width="13.125" style="214" customWidth="1"/>
    <col min="273" max="273" width="9.375" style="214"/>
    <col min="274" max="274" width="9.875" style="214" customWidth="1"/>
    <col min="275" max="275" width="11.75" style="214" bestFit="1" customWidth="1"/>
    <col min="276" max="505" width="9.375" style="214"/>
    <col min="506" max="506" width="5" style="214" customWidth="1"/>
    <col min="507" max="507" width="17.875" style="214" bestFit="1" customWidth="1"/>
    <col min="508" max="508" width="9.875" style="214" customWidth="1"/>
    <col min="509" max="509" width="8.875" style="214" customWidth="1"/>
    <col min="510" max="510" width="7.375" style="214" bestFit="1" customWidth="1"/>
    <col min="511" max="511" width="10.125" style="214" bestFit="1" customWidth="1"/>
    <col min="512" max="512" width="9.375" style="214"/>
    <col min="513" max="513" width="10.125" style="214" bestFit="1" customWidth="1"/>
    <col min="514" max="514" width="10.75" style="214" customWidth="1"/>
    <col min="515" max="517" width="9.375" style="214"/>
    <col min="518" max="519" width="10.75" style="214" customWidth="1"/>
    <col min="520" max="524" width="9.375" style="214"/>
    <col min="525" max="525" width="1.625" style="214" bestFit="1" customWidth="1"/>
    <col min="526" max="526" width="9.375" style="214"/>
    <col min="527" max="527" width="8.875" style="214" customWidth="1"/>
    <col min="528" max="528" width="13.125" style="214" customWidth="1"/>
    <col min="529" max="529" width="9.375" style="214"/>
    <col min="530" max="530" width="9.875" style="214" customWidth="1"/>
    <col min="531" max="531" width="11.75" style="214" bestFit="1" customWidth="1"/>
    <col min="532" max="761" width="9.375" style="214"/>
    <col min="762" max="762" width="5" style="214" customWidth="1"/>
    <col min="763" max="763" width="17.875" style="214" bestFit="1" customWidth="1"/>
    <col min="764" max="764" width="9.875" style="214" customWidth="1"/>
    <col min="765" max="765" width="8.875" style="214" customWidth="1"/>
    <col min="766" max="766" width="7.375" style="214" bestFit="1" customWidth="1"/>
    <col min="767" max="767" width="10.125" style="214" bestFit="1" customWidth="1"/>
    <col min="768" max="768" width="9.375" style="214"/>
    <col min="769" max="769" width="10.125" style="214" bestFit="1" customWidth="1"/>
    <col min="770" max="770" width="10.75" style="214" customWidth="1"/>
    <col min="771" max="773" width="9.375" style="214"/>
    <col min="774" max="775" width="10.75" style="214" customWidth="1"/>
    <col min="776" max="780" width="9.375" style="214"/>
    <col min="781" max="781" width="1.625" style="214" bestFit="1" customWidth="1"/>
    <col min="782" max="782" width="9.375" style="214"/>
    <col min="783" max="783" width="8.875" style="214" customWidth="1"/>
    <col min="784" max="784" width="13.125" style="214" customWidth="1"/>
    <col min="785" max="785" width="9.375" style="214"/>
    <col min="786" max="786" width="9.875" style="214" customWidth="1"/>
    <col min="787" max="787" width="11.75" style="214" bestFit="1" customWidth="1"/>
    <col min="788" max="1017" width="9.375" style="214"/>
    <col min="1018" max="1018" width="5" style="214" customWidth="1"/>
    <col min="1019" max="1019" width="17.875" style="214" bestFit="1" customWidth="1"/>
    <col min="1020" max="1020" width="9.875" style="214" customWidth="1"/>
    <col min="1021" max="1021" width="8.875" style="214" customWidth="1"/>
    <col min="1022" max="1022" width="7.375" style="214" bestFit="1" customWidth="1"/>
    <col min="1023" max="1023" width="10.125" style="214" bestFit="1" customWidth="1"/>
    <col min="1024" max="1024" width="9.375" style="214"/>
    <col min="1025" max="1025" width="10.125" style="214" bestFit="1" customWidth="1"/>
    <col min="1026" max="1026" width="10.75" style="214" customWidth="1"/>
    <col min="1027" max="1029" width="9.375" style="214"/>
    <col min="1030" max="1031" width="10.75" style="214" customWidth="1"/>
    <col min="1032" max="1036" width="9.375" style="214"/>
    <col min="1037" max="1037" width="1.625" style="214" bestFit="1" customWidth="1"/>
    <col min="1038" max="1038" width="9.375" style="214"/>
    <col min="1039" max="1039" width="8.875" style="214" customWidth="1"/>
    <col min="1040" max="1040" width="13.125" style="214" customWidth="1"/>
    <col min="1041" max="1041" width="9.375" style="214"/>
    <col min="1042" max="1042" width="9.875" style="214" customWidth="1"/>
    <col min="1043" max="1043" width="11.75" style="214" bestFit="1" customWidth="1"/>
    <col min="1044" max="1273" width="9.375" style="214"/>
    <col min="1274" max="1274" width="5" style="214" customWidth="1"/>
    <col min="1275" max="1275" width="17.875" style="214" bestFit="1" customWidth="1"/>
    <col min="1276" max="1276" width="9.875" style="214" customWidth="1"/>
    <col min="1277" max="1277" width="8.875" style="214" customWidth="1"/>
    <col min="1278" max="1278" width="7.375" style="214" bestFit="1" customWidth="1"/>
    <col min="1279" max="1279" width="10.125" style="214" bestFit="1" customWidth="1"/>
    <col min="1280" max="1280" width="9.375" style="214"/>
    <col min="1281" max="1281" width="10.125" style="214" bestFit="1" customWidth="1"/>
    <col min="1282" max="1282" width="10.75" style="214" customWidth="1"/>
    <col min="1283" max="1285" width="9.375" style="214"/>
    <col min="1286" max="1287" width="10.75" style="214" customWidth="1"/>
    <col min="1288" max="1292" width="9.375" style="214"/>
    <col min="1293" max="1293" width="1.625" style="214" bestFit="1" customWidth="1"/>
    <col min="1294" max="1294" width="9.375" style="214"/>
    <col min="1295" max="1295" width="8.875" style="214" customWidth="1"/>
    <col min="1296" max="1296" width="13.125" style="214" customWidth="1"/>
    <col min="1297" max="1297" width="9.375" style="214"/>
    <col min="1298" max="1298" width="9.875" style="214" customWidth="1"/>
    <col min="1299" max="1299" width="11.75" style="214" bestFit="1" customWidth="1"/>
    <col min="1300" max="1529" width="9.375" style="214"/>
    <col min="1530" max="1530" width="5" style="214" customWidth="1"/>
    <col min="1531" max="1531" width="17.875" style="214" bestFit="1" customWidth="1"/>
    <col min="1532" max="1532" width="9.875" style="214" customWidth="1"/>
    <col min="1533" max="1533" width="8.875" style="214" customWidth="1"/>
    <col min="1534" max="1534" width="7.375" style="214" bestFit="1" customWidth="1"/>
    <col min="1535" max="1535" width="10.125" style="214" bestFit="1" customWidth="1"/>
    <col min="1536" max="1536" width="9.375" style="214"/>
    <col min="1537" max="1537" width="10.125" style="214" bestFit="1" customWidth="1"/>
    <col min="1538" max="1538" width="10.75" style="214" customWidth="1"/>
    <col min="1539" max="1541" width="9.375" style="214"/>
    <col min="1542" max="1543" width="10.75" style="214" customWidth="1"/>
    <col min="1544" max="1548" width="9.375" style="214"/>
    <col min="1549" max="1549" width="1.625" style="214" bestFit="1" customWidth="1"/>
    <col min="1550" max="1550" width="9.375" style="214"/>
    <col min="1551" max="1551" width="8.875" style="214" customWidth="1"/>
    <col min="1552" max="1552" width="13.125" style="214" customWidth="1"/>
    <col min="1553" max="1553" width="9.375" style="214"/>
    <col min="1554" max="1554" width="9.875" style="214" customWidth="1"/>
    <col min="1555" max="1555" width="11.75" style="214" bestFit="1" customWidth="1"/>
    <col min="1556" max="1785" width="9.375" style="214"/>
    <col min="1786" max="1786" width="5" style="214" customWidth="1"/>
    <col min="1787" max="1787" width="17.875" style="214" bestFit="1" customWidth="1"/>
    <col min="1788" max="1788" width="9.875" style="214" customWidth="1"/>
    <col min="1789" max="1789" width="8.875" style="214" customWidth="1"/>
    <col min="1790" max="1790" width="7.375" style="214" bestFit="1" customWidth="1"/>
    <col min="1791" max="1791" width="10.125" style="214" bestFit="1" customWidth="1"/>
    <col min="1792" max="1792" width="9.375" style="214"/>
    <col min="1793" max="1793" width="10.125" style="214" bestFit="1" customWidth="1"/>
    <col min="1794" max="1794" width="10.75" style="214" customWidth="1"/>
    <col min="1795" max="1797" width="9.375" style="214"/>
    <col min="1798" max="1799" width="10.75" style="214" customWidth="1"/>
    <col min="1800" max="1804" width="9.375" style="214"/>
    <col min="1805" max="1805" width="1.625" style="214" bestFit="1" customWidth="1"/>
    <col min="1806" max="1806" width="9.375" style="214"/>
    <col min="1807" max="1807" width="8.875" style="214" customWidth="1"/>
    <col min="1808" max="1808" width="13.125" style="214" customWidth="1"/>
    <col min="1809" max="1809" width="9.375" style="214"/>
    <col min="1810" max="1810" width="9.875" style="214" customWidth="1"/>
    <col min="1811" max="1811" width="11.75" style="214" bestFit="1" customWidth="1"/>
    <col min="1812" max="2041" width="9.375" style="214"/>
    <col min="2042" max="2042" width="5" style="214" customWidth="1"/>
    <col min="2043" max="2043" width="17.875" style="214" bestFit="1" customWidth="1"/>
    <col min="2044" max="2044" width="9.875" style="214" customWidth="1"/>
    <col min="2045" max="2045" width="8.875" style="214" customWidth="1"/>
    <col min="2046" max="2046" width="7.375" style="214" bestFit="1" customWidth="1"/>
    <col min="2047" max="2047" width="10.125" style="214" bestFit="1" customWidth="1"/>
    <col min="2048" max="2048" width="9.375" style="214"/>
    <col min="2049" max="2049" width="10.125" style="214" bestFit="1" customWidth="1"/>
    <col min="2050" max="2050" width="10.75" style="214" customWidth="1"/>
    <col min="2051" max="2053" width="9.375" style="214"/>
    <col min="2054" max="2055" width="10.75" style="214" customWidth="1"/>
    <col min="2056" max="2060" width="9.375" style="214"/>
    <col min="2061" max="2061" width="1.625" style="214" bestFit="1" customWidth="1"/>
    <col min="2062" max="2062" width="9.375" style="214"/>
    <col min="2063" max="2063" width="8.875" style="214" customWidth="1"/>
    <col min="2064" max="2064" width="13.125" style="214" customWidth="1"/>
    <col min="2065" max="2065" width="9.375" style="214"/>
    <col min="2066" max="2066" width="9.875" style="214" customWidth="1"/>
    <col min="2067" max="2067" width="11.75" style="214" bestFit="1" customWidth="1"/>
    <col min="2068" max="2297" width="9.375" style="214"/>
    <col min="2298" max="2298" width="5" style="214" customWidth="1"/>
    <col min="2299" max="2299" width="17.875" style="214" bestFit="1" customWidth="1"/>
    <col min="2300" max="2300" width="9.875" style="214" customWidth="1"/>
    <col min="2301" max="2301" width="8.875" style="214" customWidth="1"/>
    <col min="2302" max="2302" width="7.375" style="214" bestFit="1" customWidth="1"/>
    <col min="2303" max="2303" width="10.125" style="214" bestFit="1" customWidth="1"/>
    <col min="2304" max="2304" width="9.375" style="214"/>
    <col min="2305" max="2305" width="10.125" style="214" bestFit="1" customWidth="1"/>
    <col min="2306" max="2306" width="10.75" style="214" customWidth="1"/>
    <col min="2307" max="2309" width="9.375" style="214"/>
    <col min="2310" max="2311" width="10.75" style="214" customWidth="1"/>
    <col min="2312" max="2316" width="9.375" style="214"/>
    <col min="2317" max="2317" width="1.625" style="214" bestFit="1" customWidth="1"/>
    <col min="2318" max="2318" width="9.375" style="214"/>
    <col min="2319" max="2319" width="8.875" style="214" customWidth="1"/>
    <col min="2320" max="2320" width="13.125" style="214" customWidth="1"/>
    <col min="2321" max="2321" width="9.375" style="214"/>
    <col min="2322" max="2322" width="9.875" style="214" customWidth="1"/>
    <col min="2323" max="2323" width="11.75" style="214" bestFit="1" customWidth="1"/>
    <col min="2324" max="2553" width="9.375" style="214"/>
    <col min="2554" max="2554" width="5" style="214" customWidth="1"/>
    <col min="2555" max="2555" width="17.875" style="214" bestFit="1" customWidth="1"/>
    <col min="2556" max="2556" width="9.875" style="214" customWidth="1"/>
    <col min="2557" max="2557" width="8.875" style="214" customWidth="1"/>
    <col min="2558" max="2558" width="7.375" style="214" bestFit="1" customWidth="1"/>
    <col min="2559" max="2559" width="10.125" style="214" bestFit="1" customWidth="1"/>
    <col min="2560" max="2560" width="9.375" style="214"/>
    <col min="2561" max="2561" width="10.125" style="214" bestFit="1" customWidth="1"/>
    <col min="2562" max="2562" width="10.75" style="214" customWidth="1"/>
    <col min="2563" max="2565" width="9.375" style="214"/>
    <col min="2566" max="2567" width="10.75" style="214" customWidth="1"/>
    <col min="2568" max="2572" width="9.375" style="214"/>
    <col min="2573" max="2573" width="1.625" style="214" bestFit="1" customWidth="1"/>
    <col min="2574" max="2574" width="9.375" style="214"/>
    <col min="2575" max="2575" width="8.875" style="214" customWidth="1"/>
    <col min="2576" max="2576" width="13.125" style="214" customWidth="1"/>
    <col min="2577" max="2577" width="9.375" style="214"/>
    <col min="2578" max="2578" width="9.875" style="214" customWidth="1"/>
    <col min="2579" max="2579" width="11.75" style="214" bestFit="1" customWidth="1"/>
    <col min="2580" max="2809" width="9.375" style="214"/>
    <col min="2810" max="2810" width="5" style="214" customWidth="1"/>
    <col min="2811" max="2811" width="17.875" style="214" bestFit="1" customWidth="1"/>
    <col min="2812" max="2812" width="9.875" style="214" customWidth="1"/>
    <col min="2813" max="2813" width="8.875" style="214" customWidth="1"/>
    <col min="2814" max="2814" width="7.375" style="214" bestFit="1" customWidth="1"/>
    <col min="2815" max="2815" width="10.125" style="214" bestFit="1" customWidth="1"/>
    <col min="2816" max="2816" width="9.375" style="214"/>
    <col min="2817" max="2817" width="10.125" style="214" bestFit="1" customWidth="1"/>
    <col min="2818" max="2818" width="10.75" style="214" customWidth="1"/>
    <col min="2819" max="2821" width="9.375" style="214"/>
    <col min="2822" max="2823" width="10.75" style="214" customWidth="1"/>
    <col min="2824" max="2828" width="9.375" style="214"/>
    <col min="2829" max="2829" width="1.625" style="214" bestFit="1" customWidth="1"/>
    <col min="2830" max="2830" width="9.375" style="214"/>
    <col min="2831" max="2831" width="8.875" style="214" customWidth="1"/>
    <col min="2832" max="2832" width="13.125" style="214" customWidth="1"/>
    <col min="2833" max="2833" width="9.375" style="214"/>
    <col min="2834" max="2834" width="9.875" style="214" customWidth="1"/>
    <col min="2835" max="2835" width="11.75" style="214" bestFit="1" customWidth="1"/>
    <col min="2836" max="3065" width="9.375" style="214"/>
    <col min="3066" max="3066" width="5" style="214" customWidth="1"/>
    <col min="3067" max="3067" width="17.875" style="214" bestFit="1" customWidth="1"/>
    <col min="3068" max="3068" width="9.875" style="214" customWidth="1"/>
    <col min="3069" max="3069" width="8.875" style="214" customWidth="1"/>
    <col min="3070" max="3070" width="7.375" style="214" bestFit="1" customWidth="1"/>
    <col min="3071" max="3071" width="10.125" style="214" bestFit="1" customWidth="1"/>
    <col min="3072" max="3072" width="9.375" style="214"/>
    <col min="3073" max="3073" width="10.125" style="214" bestFit="1" customWidth="1"/>
    <col min="3074" max="3074" width="10.75" style="214" customWidth="1"/>
    <col min="3075" max="3077" width="9.375" style="214"/>
    <col min="3078" max="3079" width="10.75" style="214" customWidth="1"/>
    <col min="3080" max="3084" width="9.375" style="214"/>
    <col min="3085" max="3085" width="1.625" style="214" bestFit="1" customWidth="1"/>
    <col min="3086" max="3086" width="9.375" style="214"/>
    <col min="3087" max="3087" width="8.875" style="214" customWidth="1"/>
    <col min="3088" max="3088" width="13.125" style="214" customWidth="1"/>
    <col min="3089" max="3089" width="9.375" style="214"/>
    <col min="3090" max="3090" width="9.875" style="214" customWidth="1"/>
    <col min="3091" max="3091" width="11.75" style="214" bestFit="1" customWidth="1"/>
    <col min="3092" max="3321" width="9.375" style="214"/>
    <col min="3322" max="3322" width="5" style="214" customWidth="1"/>
    <col min="3323" max="3323" width="17.875" style="214" bestFit="1" customWidth="1"/>
    <col min="3324" max="3324" width="9.875" style="214" customWidth="1"/>
    <col min="3325" max="3325" width="8.875" style="214" customWidth="1"/>
    <col min="3326" max="3326" width="7.375" style="214" bestFit="1" customWidth="1"/>
    <col min="3327" max="3327" width="10.125" style="214" bestFit="1" customWidth="1"/>
    <col min="3328" max="3328" width="9.375" style="214"/>
    <col min="3329" max="3329" width="10.125" style="214" bestFit="1" customWidth="1"/>
    <col min="3330" max="3330" width="10.75" style="214" customWidth="1"/>
    <col min="3331" max="3333" width="9.375" style="214"/>
    <col min="3334" max="3335" width="10.75" style="214" customWidth="1"/>
    <col min="3336" max="3340" width="9.375" style="214"/>
    <col min="3341" max="3341" width="1.625" style="214" bestFit="1" customWidth="1"/>
    <col min="3342" max="3342" width="9.375" style="214"/>
    <col min="3343" max="3343" width="8.875" style="214" customWidth="1"/>
    <col min="3344" max="3344" width="13.125" style="214" customWidth="1"/>
    <col min="3345" max="3345" width="9.375" style="214"/>
    <col min="3346" max="3346" width="9.875" style="214" customWidth="1"/>
    <col min="3347" max="3347" width="11.75" style="214" bestFit="1" customWidth="1"/>
    <col min="3348" max="3577" width="9.375" style="214"/>
    <col min="3578" max="3578" width="5" style="214" customWidth="1"/>
    <col min="3579" max="3579" width="17.875" style="214" bestFit="1" customWidth="1"/>
    <col min="3580" max="3580" width="9.875" style="214" customWidth="1"/>
    <col min="3581" max="3581" width="8.875" style="214" customWidth="1"/>
    <col min="3582" max="3582" width="7.375" style="214" bestFit="1" customWidth="1"/>
    <col min="3583" max="3583" width="10.125" style="214" bestFit="1" customWidth="1"/>
    <col min="3584" max="3584" width="9.375" style="214"/>
    <col min="3585" max="3585" width="10.125" style="214" bestFit="1" customWidth="1"/>
    <col min="3586" max="3586" width="10.75" style="214" customWidth="1"/>
    <col min="3587" max="3589" width="9.375" style="214"/>
    <col min="3590" max="3591" width="10.75" style="214" customWidth="1"/>
    <col min="3592" max="3596" width="9.375" style="214"/>
    <col min="3597" max="3597" width="1.625" style="214" bestFit="1" customWidth="1"/>
    <col min="3598" max="3598" width="9.375" style="214"/>
    <col min="3599" max="3599" width="8.875" style="214" customWidth="1"/>
    <col min="3600" max="3600" width="13.125" style="214" customWidth="1"/>
    <col min="3601" max="3601" width="9.375" style="214"/>
    <col min="3602" max="3602" width="9.875" style="214" customWidth="1"/>
    <col min="3603" max="3603" width="11.75" style="214" bestFit="1" customWidth="1"/>
    <col min="3604" max="3833" width="9.375" style="214"/>
    <col min="3834" max="3834" width="5" style="214" customWidth="1"/>
    <col min="3835" max="3835" width="17.875" style="214" bestFit="1" customWidth="1"/>
    <col min="3836" max="3836" width="9.875" style="214" customWidth="1"/>
    <col min="3837" max="3837" width="8.875" style="214" customWidth="1"/>
    <col min="3838" max="3838" width="7.375" style="214" bestFit="1" customWidth="1"/>
    <col min="3839" max="3839" width="10.125" style="214" bestFit="1" customWidth="1"/>
    <col min="3840" max="3840" width="9.375" style="214"/>
    <col min="3841" max="3841" width="10.125" style="214" bestFit="1" customWidth="1"/>
    <col min="3842" max="3842" width="10.75" style="214" customWidth="1"/>
    <col min="3843" max="3845" width="9.375" style="214"/>
    <col min="3846" max="3847" width="10.75" style="214" customWidth="1"/>
    <col min="3848" max="3852" width="9.375" style="214"/>
    <col min="3853" max="3853" width="1.625" style="214" bestFit="1" customWidth="1"/>
    <col min="3854" max="3854" width="9.375" style="214"/>
    <col min="3855" max="3855" width="8.875" style="214" customWidth="1"/>
    <col min="3856" max="3856" width="13.125" style="214" customWidth="1"/>
    <col min="3857" max="3857" width="9.375" style="214"/>
    <col min="3858" max="3858" width="9.875" style="214" customWidth="1"/>
    <col min="3859" max="3859" width="11.75" style="214" bestFit="1" customWidth="1"/>
    <col min="3860" max="4089" width="9.375" style="214"/>
    <col min="4090" max="4090" width="5" style="214" customWidth="1"/>
    <col min="4091" max="4091" width="17.875" style="214" bestFit="1" customWidth="1"/>
    <col min="4092" max="4092" width="9.875" style="214" customWidth="1"/>
    <col min="4093" max="4093" width="8.875" style="214" customWidth="1"/>
    <col min="4094" max="4094" width="7.375" style="214" bestFit="1" customWidth="1"/>
    <col min="4095" max="4095" width="10.125" style="214" bestFit="1" customWidth="1"/>
    <col min="4096" max="4096" width="9.375" style="214"/>
    <col min="4097" max="4097" width="10.125" style="214" bestFit="1" customWidth="1"/>
    <col min="4098" max="4098" width="10.75" style="214" customWidth="1"/>
    <col min="4099" max="4101" width="9.375" style="214"/>
    <col min="4102" max="4103" width="10.75" style="214" customWidth="1"/>
    <col min="4104" max="4108" width="9.375" style="214"/>
    <col min="4109" max="4109" width="1.625" style="214" bestFit="1" customWidth="1"/>
    <col min="4110" max="4110" width="9.375" style="214"/>
    <col min="4111" max="4111" width="8.875" style="214" customWidth="1"/>
    <col min="4112" max="4112" width="13.125" style="214" customWidth="1"/>
    <col min="4113" max="4113" width="9.375" style="214"/>
    <col min="4114" max="4114" width="9.875" style="214" customWidth="1"/>
    <col min="4115" max="4115" width="11.75" style="214" bestFit="1" customWidth="1"/>
    <col min="4116" max="4345" width="9.375" style="214"/>
    <col min="4346" max="4346" width="5" style="214" customWidth="1"/>
    <col min="4347" max="4347" width="17.875" style="214" bestFit="1" customWidth="1"/>
    <col min="4348" max="4348" width="9.875" style="214" customWidth="1"/>
    <col min="4349" max="4349" width="8.875" style="214" customWidth="1"/>
    <col min="4350" max="4350" width="7.375" style="214" bestFit="1" customWidth="1"/>
    <col min="4351" max="4351" width="10.125" style="214" bestFit="1" customWidth="1"/>
    <col min="4352" max="4352" width="9.375" style="214"/>
    <col min="4353" max="4353" width="10.125" style="214" bestFit="1" customWidth="1"/>
    <col min="4354" max="4354" width="10.75" style="214" customWidth="1"/>
    <col min="4355" max="4357" width="9.375" style="214"/>
    <col min="4358" max="4359" width="10.75" style="214" customWidth="1"/>
    <col min="4360" max="4364" width="9.375" style="214"/>
    <col min="4365" max="4365" width="1.625" style="214" bestFit="1" customWidth="1"/>
    <col min="4366" max="4366" width="9.375" style="214"/>
    <col min="4367" max="4367" width="8.875" style="214" customWidth="1"/>
    <col min="4368" max="4368" width="13.125" style="214" customWidth="1"/>
    <col min="4369" max="4369" width="9.375" style="214"/>
    <col min="4370" max="4370" width="9.875" style="214" customWidth="1"/>
    <col min="4371" max="4371" width="11.75" style="214" bestFit="1" customWidth="1"/>
    <col min="4372" max="4601" width="9.375" style="214"/>
    <col min="4602" max="4602" width="5" style="214" customWidth="1"/>
    <col min="4603" max="4603" width="17.875" style="214" bestFit="1" customWidth="1"/>
    <col min="4604" max="4604" width="9.875" style="214" customWidth="1"/>
    <col min="4605" max="4605" width="8.875" style="214" customWidth="1"/>
    <col min="4606" max="4606" width="7.375" style="214" bestFit="1" customWidth="1"/>
    <col min="4607" max="4607" width="10.125" style="214" bestFit="1" customWidth="1"/>
    <col min="4608" max="4608" width="9.375" style="214"/>
    <col min="4609" max="4609" width="10.125" style="214" bestFit="1" customWidth="1"/>
    <col min="4610" max="4610" width="10.75" style="214" customWidth="1"/>
    <col min="4611" max="4613" width="9.375" style="214"/>
    <col min="4614" max="4615" width="10.75" style="214" customWidth="1"/>
    <col min="4616" max="4620" width="9.375" style="214"/>
    <col min="4621" max="4621" width="1.625" style="214" bestFit="1" customWidth="1"/>
    <col min="4622" max="4622" width="9.375" style="214"/>
    <col min="4623" max="4623" width="8.875" style="214" customWidth="1"/>
    <col min="4624" max="4624" width="13.125" style="214" customWidth="1"/>
    <col min="4625" max="4625" width="9.375" style="214"/>
    <col min="4626" max="4626" width="9.875" style="214" customWidth="1"/>
    <col min="4627" max="4627" width="11.75" style="214" bestFit="1" customWidth="1"/>
    <col min="4628" max="4857" width="9.375" style="214"/>
    <col min="4858" max="4858" width="5" style="214" customWidth="1"/>
    <col min="4859" max="4859" width="17.875" style="214" bestFit="1" customWidth="1"/>
    <col min="4860" max="4860" width="9.875" style="214" customWidth="1"/>
    <col min="4861" max="4861" width="8.875" style="214" customWidth="1"/>
    <col min="4862" max="4862" width="7.375" style="214" bestFit="1" customWidth="1"/>
    <col min="4863" max="4863" width="10.125" style="214" bestFit="1" customWidth="1"/>
    <col min="4864" max="4864" width="9.375" style="214"/>
    <col min="4865" max="4865" width="10.125" style="214" bestFit="1" customWidth="1"/>
    <col min="4866" max="4866" width="10.75" style="214" customWidth="1"/>
    <col min="4867" max="4869" width="9.375" style="214"/>
    <col min="4870" max="4871" width="10.75" style="214" customWidth="1"/>
    <col min="4872" max="4876" width="9.375" style="214"/>
    <col min="4877" max="4877" width="1.625" style="214" bestFit="1" customWidth="1"/>
    <col min="4878" max="4878" width="9.375" style="214"/>
    <col min="4879" max="4879" width="8.875" style="214" customWidth="1"/>
    <col min="4880" max="4880" width="13.125" style="214" customWidth="1"/>
    <col min="4881" max="4881" width="9.375" style="214"/>
    <col min="4882" max="4882" width="9.875" style="214" customWidth="1"/>
    <col min="4883" max="4883" width="11.75" style="214" bestFit="1" customWidth="1"/>
    <col min="4884" max="5113" width="9.375" style="214"/>
    <col min="5114" max="5114" width="5" style="214" customWidth="1"/>
    <col min="5115" max="5115" width="17.875" style="214" bestFit="1" customWidth="1"/>
    <col min="5116" max="5116" width="9.875" style="214" customWidth="1"/>
    <col min="5117" max="5117" width="8.875" style="214" customWidth="1"/>
    <col min="5118" max="5118" width="7.375" style="214" bestFit="1" customWidth="1"/>
    <col min="5119" max="5119" width="10.125" style="214" bestFit="1" customWidth="1"/>
    <col min="5120" max="5120" width="9.375" style="214"/>
    <col min="5121" max="5121" width="10.125" style="214" bestFit="1" customWidth="1"/>
    <col min="5122" max="5122" width="10.75" style="214" customWidth="1"/>
    <col min="5123" max="5125" width="9.375" style="214"/>
    <col min="5126" max="5127" width="10.75" style="214" customWidth="1"/>
    <col min="5128" max="5132" width="9.375" style="214"/>
    <col min="5133" max="5133" width="1.625" style="214" bestFit="1" customWidth="1"/>
    <col min="5134" max="5134" width="9.375" style="214"/>
    <col min="5135" max="5135" width="8.875" style="214" customWidth="1"/>
    <col min="5136" max="5136" width="13.125" style="214" customWidth="1"/>
    <col min="5137" max="5137" width="9.375" style="214"/>
    <col min="5138" max="5138" width="9.875" style="214" customWidth="1"/>
    <col min="5139" max="5139" width="11.75" style="214" bestFit="1" customWidth="1"/>
    <col min="5140" max="5369" width="9.375" style="214"/>
    <col min="5370" max="5370" width="5" style="214" customWidth="1"/>
    <col min="5371" max="5371" width="17.875" style="214" bestFit="1" customWidth="1"/>
    <col min="5372" max="5372" width="9.875" style="214" customWidth="1"/>
    <col min="5373" max="5373" width="8.875" style="214" customWidth="1"/>
    <col min="5374" max="5374" width="7.375" style="214" bestFit="1" customWidth="1"/>
    <col min="5375" max="5375" width="10.125" style="214" bestFit="1" customWidth="1"/>
    <col min="5376" max="5376" width="9.375" style="214"/>
    <col min="5377" max="5377" width="10.125" style="214" bestFit="1" customWidth="1"/>
    <col min="5378" max="5378" width="10.75" style="214" customWidth="1"/>
    <col min="5379" max="5381" width="9.375" style="214"/>
    <col min="5382" max="5383" width="10.75" style="214" customWidth="1"/>
    <col min="5384" max="5388" width="9.375" style="214"/>
    <col min="5389" max="5389" width="1.625" style="214" bestFit="1" customWidth="1"/>
    <col min="5390" max="5390" width="9.375" style="214"/>
    <col min="5391" max="5391" width="8.875" style="214" customWidth="1"/>
    <col min="5392" max="5392" width="13.125" style="214" customWidth="1"/>
    <col min="5393" max="5393" width="9.375" style="214"/>
    <col min="5394" max="5394" width="9.875" style="214" customWidth="1"/>
    <col min="5395" max="5395" width="11.75" style="214" bestFit="1" customWidth="1"/>
    <col min="5396" max="5625" width="9.375" style="214"/>
    <col min="5626" max="5626" width="5" style="214" customWidth="1"/>
    <col min="5627" max="5627" width="17.875" style="214" bestFit="1" customWidth="1"/>
    <col min="5628" max="5628" width="9.875" style="214" customWidth="1"/>
    <col min="5629" max="5629" width="8.875" style="214" customWidth="1"/>
    <col min="5630" max="5630" width="7.375" style="214" bestFit="1" customWidth="1"/>
    <col min="5631" max="5631" width="10.125" style="214" bestFit="1" customWidth="1"/>
    <col min="5632" max="5632" width="9.375" style="214"/>
    <col min="5633" max="5633" width="10.125" style="214" bestFit="1" customWidth="1"/>
    <col min="5634" max="5634" width="10.75" style="214" customWidth="1"/>
    <col min="5635" max="5637" width="9.375" style="214"/>
    <col min="5638" max="5639" width="10.75" style="214" customWidth="1"/>
    <col min="5640" max="5644" width="9.375" style="214"/>
    <col min="5645" max="5645" width="1.625" style="214" bestFit="1" customWidth="1"/>
    <col min="5646" max="5646" width="9.375" style="214"/>
    <col min="5647" max="5647" width="8.875" style="214" customWidth="1"/>
    <col min="5648" max="5648" width="13.125" style="214" customWidth="1"/>
    <col min="5649" max="5649" width="9.375" style="214"/>
    <col min="5650" max="5650" width="9.875" style="214" customWidth="1"/>
    <col min="5651" max="5651" width="11.75" style="214" bestFit="1" customWidth="1"/>
    <col min="5652" max="5881" width="9.375" style="214"/>
    <col min="5882" max="5882" width="5" style="214" customWidth="1"/>
    <col min="5883" max="5883" width="17.875" style="214" bestFit="1" customWidth="1"/>
    <col min="5884" max="5884" width="9.875" style="214" customWidth="1"/>
    <col min="5885" max="5885" width="8.875" style="214" customWidth="1"/>
    <col min="5886" max="5886" width="7.375" style="214" bestFit="1" customWidth="1"/>
    <col min="5887" max="5887" width="10.125" style="214" bestFit="1" customWidth="1"/>
    <col min="5888" max="5888" width="9.375" style="214"/>
    <col min="5889" max="5889" width="10.125" style="214" bestFit="1" customWidth="1"/>
    <col min="5890" max="5890" width="10.75" style="214" customWidth="1"/>
    <col min="5891" max="5893" width="9.375" style="214"/>
    <col min="5894" max="5895" width="10.75" style="214" customWidth="1"/>
    <col min="5896" max="5900" width="9.375" style="214"/>
    <col min="5901" max="5901" width="1.625" style="214" bestFit="1" customWidth="1"/>
    <col min="5902" max="5902" width="9.375" style="214"/>
    <col min="5903" max="5903" width="8.875" style="214" customWidth="1"/>
    <col min="5904" max="5904" width="13.125" style="214" customWidth="1"/>
    <col min="5905" max="5905" width="9.375" style="214"/>
    <col min="5906" max="5906" width="9.875" style="214" customWidth="1"/>
    <col min="5907" max="5907" width="11.75" style="214" bestFit="1" customWidth="1"/>
    <col min="5908" max="6137" width="9.375" style="214"/>
    <col min="6138" max="6138" width="5" style="214" customWidth="1"/>
    <col min="6139" max="6139" width="17.875" style="214" bestFit="1" customWidth="1"/>
    <col min="6140" max="6140" width="9.875" style="214" customWidth="1"/>
    <col min="6141" max="6141" width="8.875" style="214" customWidth="1"/>
    <col min="6142" max="6142" width="7.375" style="214" bestFit="1" customWidth="1"/>
    <col min="6143" max="6143" width="10.125" style="214" bestFit="1" customWidth="1"/>
    <col min="6144" max="6144" width="9.375" style="214"/>
    <col min="6145" max="6145" width="10.125" style="214" bestFit="1" customWidth="1"/>
    <col min="6146" max="6146" width="10.75" style="214" customWidth="1"/>
    <col min="6147" max="6149" width="9.375" style="214"/>
    <col min="6150" max="6151" width="10.75" style="214" customWidth="1"/>
    <col min="6152" max="6156" width="9.375" style="214"/>
    <col min="6157" max="6157" width="1.625" style="214" bestFit="1" customWidth="1"/>
    <col min="6158" max="6158" width="9.375" style="214"/>
    <col min="6159" max="6159" width="8.875" style="214" customWidth="1"/>
    <col min="6160" max="6160" width="13.125" style="214" customWidth="1"/>
    <col min="6161" max="6161" width="9.375" style="214"/>
    <col min="6162" max="6162" width="9.875" style="214" customWidth="1"/>
    <col min="6163" max="6163" width="11.75" style="214" bestFit="1" customWidth="1"/>
    <col min="6164" max="6393" width="9.375" style="214"/>
    <col min="6394" max="6394" width="5" style="214" customWidth="1"/>
    <col min="6395" max="6395" width="17.875" style="214" bestFit="1" customWidth="1"/>
    <col min="6396" max="6396" width="9.875" style="214" customWidth="1"/>
    <col min="6397" max="6397" width="8.875" style="214" customWidth="1"/>
    <col min="6398" max="6398" width="7.375" style="214" bestFit="1" customWidth="1"/>
    <col min="6399" max="6399" width="10.125" style="214" bestFit="1" customWidth="1"/>
    <col min="6400" max="6400" width="9.375" style="214"/>
    <col min="6401" max="6401" width="10.125" style="214" bestFit="1" customWidth="1"/>
    <col min="6402" max="6402" width="10.75" style="214" customWidth="1"/>
    <col min="6403" max="6405" width="9.375" style="214"/>
    <col min="6406" max="6407" width="10.75" style="214" customWidth="1"/>
    <col min="6408" max="6412" width="9.375" style="214"/>
    <col min="6413" max="6413" width="1.625" style="214" bestFit="1" customWidth="1"/>
    <col min="6414" max="6414" width="9.375" style="214"/>
    <col min="6415" max="6415" width="8.875" style="214" customWidth="1"/>
    <col min="6416" max="6416" width="13.125" style="214" customWidth="1"/>
    <col min="6417" max="6417" width="9.375" style="214"/>
    <col min="6418" max="6418" width="9.875" style="214" customWidth="1"/>
    <col min="6419" max="6419" width="11.75" style="214" bestFit="1" customWidth="1"/>
    <col min="6420" max="6649" width="9.375" style="214"/>
    <col min="6650" max="6650" width="5" style="214" customWidth="1"/>
    <col min="6651" max="6651" width="17.875" style="214" bestFit="1" customWidth="1"/>
    <col min="6652" max="6652" width="9.875" style="214" customWidth="1"/>
    <col min="6653" max="6653" width="8.875" style="214" customWidth="1"/>
    <col min="6654" max="6654" width="7.375" style="214" bestFit="1" customWidth="1"/>
    <col min="6655" max="6655" width="10.125" style="214" bestFit="1" customWidth="1"/>
    <col min="6656" max="6656" width="9.375" style="214"/>
    <col min="6657" max="6657" width="10.125" style="214" bestFit="1" customWidth="1"/>
    <col min="6658" max="6658" width="10.75" style="214" customWidth="1"/>
    <col min="6659" max="6661" width="9.375" style="214"/>
    <col min="6662" max="6663" width="10.75" style="214" customWidth="1"/>
    <col min="6664" max="6668" width="9.375" style="214"/>
    <col min="6669" max="6669" width="1.625" style="214" bestFit="1" customWidth="1"/>
    <col min="6670" max="6670" width="9.375" style="214"/>
    <col min="6671" max="6671" width="8.875" style="214" customWidth="1"/>
    <col min="6672" max="6672" width="13.125" style="214" customWidth="1"/>
    <col min="6673" max="6673" width="9.375" style="214"/>
    <col min="6674" max="6674" width="9.875" style="214" customWidth="1"/>
    <col min="6675" max="6675" width="11.75" style="214" bestFit="1" customWidth="1"/>
    <col min="6676" max="6905" width="9.375" style="214"/>
    <col min="6906" max="6906" width="5" style="214" customWidth="1"/>
    <col min="6907" max="6907" width="17.875" style="214" bestFit="1" customWidth="1"/>
    <col min="6908" max="6908" width="9.875" style="214" customWidth="1"/>
    <col min="6909" max="6909" width="8.875" style="214" customWidth="1"/>
    <col min="6910" max="6910" width="7.375" style="214" bestFit="1" customWidth="1"/>
    <col min="6911" max="6911" width="10.125" style="214" bestFit="1" customWidth="1"/>
    <col min="6912" max="6912" width="9.375" style="214"/>
    <col min="6913" max="6913" width="10.125" style="214" bestFit="1" customWidth="1"/>
    <col min="6914" max="6914" width="10.75" style="214" customWidth="1"/>
    <col min="6915" max="6917" width="9.375" style="214"/>
    <col min="6918" max="6919" width="10.75" style="214" customWidth="1"/>
    <col min="6920" max="6924" width="9.375" style="214"/>
    <col min="6925" max="6925" width="1.625" style="214" bestFit="1" customWidth="1"/>
    <col min="6926" max="6926" width="9.375" style="214"/>
    <col min="6927" max="6927" width="8.875" style="214" customWidth="1"/>
    <col min="6928" max="6928" width="13.125" style="214" customWidth="1"/>
    <col min="6929" max="6929" width="9.375" style="214"/>
    <col min="6930" max="6930" width="9.875" style="214" customWidth="1"/>
    <col min="6931" max="6931" width="11.75" style="214" bestFit="1" customWidth="1"/>
    <col min="6932" max="7161" width="9.375" style="214"/>
    <col min="7162" max="7162" width="5" style="214" customWidth="1"/>
    <col min="7163" max="7163" width="17.875" style="214" bestFit="1" customWidth="1"/>
    <col min="7164" max="7164" width="9.875" style="214" customWidth="1"/>
    <col min="7165" max="7165" width="8.875" style="214" customWidth="1"/>
    <col min="7166" max="7166" width="7.375" style="214" bestFit="1" customWidth="1"/>
    <col min="7167" max="7167" width="10.125" style="214" bestFit="1" customWidth="1"/>
    <col min="7168" max="7168" width="9.375" style="214"/>
    <col min="7169" max="7169" width="10.125" style="214" bestFit="1" customWidth="1"/>
    <col min="7170" max="7170" width="10.75" style="214" customWidth="1"/>
    <col min="7171" max="7173" width="9.375" style="214"/>
    <col min="7174" max="7175" width="10.75" style="214" customWidth="1"/>
    <col min="7176" max="7180" width="9.375" style="214"/>
    <col min="7181" max="7181" width="1.625" style="214" bestFit="1" customWidth="1"/>
    <col min="7182" max="7182" width="9.375" style="214"/>
    <col min="7183" max="7183" width="8.875" style="214" customWidth="1"/>
    <col min="7184" max="7184" width="13.125" style="214" customWidth="1"/>
    <col min="7185" max="7185" width="9.375" style="214"/>
    <col min="7186" max="7186" width="9.875" style="214" customWidth="1"/>
    <col min="7187" max="7187" width="11.75" style="214" bestFit="1" customWidth="1"/>
    <col min="7188" max="7417" width="9.375" style="214"/>
    <col min="7418" max="7418" width="5" style="214" customWidth="1"/>
    <col min="7419" max="7419" width="17.875" style="214" bestFit="1" customWidth="1"/>
    <col min="7420" max="7420" width="9.875" style="214" customWidth="1"/>
    <col min="7421" max="7421" width="8.875" style="214" customWidth="1"/>
    <col min="7422" max="7422" width="7.375" style="214" bestFit="1" customWidth="1"/>
    <col min="7423" max="7423" width="10.125" style="214" bestFit="1" customWidth="1"/>
    <col min="7424" max="7424" width="9.375" style="214"/>
    <col min="7425" max="7425" width="10.125" style="214" bestFit="1" customWidth="1"/>
    <col min="7426" max="7426" width="10.75" style="214" customWidth="1"/>
    <col min="7427" max="7429" width="9.375" style="214"/>
    <col min="7430" max="7431" width="10.75" style="214" customWidth="1"/>
    <col min="7432" max="7436" width="9.375" style="214"/>
    <col min="7437" max="7437" width="1.625" style="214" bestFit="1" customWidth="1"/>
    <col min="7438" max="7438" width="9.375" style="214"/>
    <col min="7439" max="7439" width="8.875" style="214" customWidth="1"/>
    <col min="7440" max="7440" width="13.125" style="214" customWidth="1"/>
    <col min="7441" max="7441" width="9.375" style="214"/>
    <col min="7442" max="7442" width="9.875" style="214" customWidth="1"/>
    <col min="7443" max="7443" width="11.75" style="214" bestFit="1" customWidth="1"/>
    <col min="7444" max="7673" width="9.375" style="214"/>
    <col min="7674" max="7674" width="5" style="214" customWidth="1"/>
    <col min="7675" max="7675" width="17.875" style="214" bestFit="1" customWidth="1"/>
    <col min="7676" max="7676" width="9.875" style="214" customWidth="1"/>
    <col min="7677" max="7677" width="8.875" style="214" customWidth="1"/>
    <col min="7678" max="7678" width="7.375" style="214" bestFit="1" customWidth="1"/>
    <col min="7679" max="7679" width="10.125" style="214" bestFit="1" customWidth="1"/>
    <col min="7680" max="7680" width="9.375" style="214"/>
    <col min="7681" max="7681" width="10.125" style="214" bestFit="1" customWidth="1"/>
    <col min="7682" max="7682" width="10.75" style="214" customWidth="1"/>
    <col min="7683" max="7685" width="9.375" style="214"/>
    <col min="7686" max="7687" width="10.75" style="214" customWidth="1"/>
    <col min="7688" max="7692" width="9.375" style="214"/>
    <col min="7693" max="7693" width="1.625" style="214" bestFit="1" customWidth="1"/>
    <col min="7694" max="7694" width="9.375" style="214"/>
    <col min="7695" max="7695" width="8.875" style="214" customWidth="1"/>
    <col min="7696" max="7696" width="13.125" style="214" customWidth="1"/>
    <col min="7697" max="7697" width="9.375" style="214"/>
    <col min="7698" max="7698" width="9.875" style="214" customWidth="1"/>
    <col min="7699" max="7699" width="11.75" style="214" bestFit="1" customWidth="1"/>
    <col min="7700" max="7929" width="9.375" style="214"/>
    <col min="7930" max="7930" width="5" style="214" customWidth="1"/>
    <col min="7931" max="7931" width="17.875" style="214" bestFit="1" customWidth="1"/>
    <col min="7932" max="7932" width="9.875" style="214" customWidth="1"/>
    <col min="7933" max="7933" width="8.875" style="214" customWidth="1"/>
    <col min="7934" max="7934" width="7.375" style="214" bestFit="1" customWidth="1"/>
    <col min="7935" max="7935" width="10.125" style="214" bestFit="1" customWidth="1"/>
    <col min="7936" max="7936" width="9.375" style="214"/>
    <col min="7937" max="7937" width="10.125" style="214" bestFit="1" customWidth="1"/>
    <col min="7938" max="7938" width="10.75" style="214" customWidth="1"/>
    <col min="7939" max="7941" width="9.375" style="214"/>
    <col min="7942" max="7943" width="10.75" style="214" customWidth="1"/>
    <col min="7944" max="7948" width="9.375" style="214"/>
    <col min="7949" max="7949" width="1.625" style="214" bestFit="1" customWidth="1"/>
    <col min="7950" max="7950" width="9.375" style="214"/>
    <col min="7951" max="7951" width="8.875" style="214" customWidth="1"/>
    <col min="7952" max="7952" width="13.125" style="214" customWidth="1"/>
    <col min="7953" max="7953" width="9.375" style="214"/>
    <col min="7954" max="7954" width="9.875" style="214" customWidth="1"/>
    <col min="7955" max="7955" width="11.75" style="214" bestFit="1" customWidth="1"/>
    <col min="7956" max="8185" width="9.375" style="214"/>
    <col min="8186" max="8186" width="5" style="214" customWidth="1"/>
    <col min="8187" max="8187" width="17.875" style="214" bestFit="1" customWidth="1"/>
    <col min="8188" max="8188" width="9.875" style="214" customWidth="1"/>
    <col min="8189" max="8189" width="8.875" style="214" customWidth="1"/>
    <col min="8190" max="8190" width="7.375" style="214" bestFit="1" customWidth="1"/>
    <col min="8191" max="8191" width="10.125" style="214" bestFit="1" customWidth="1"/>
    <col min="8192" max="8192" width="9.375" style="214"/>
    <col min="8193" max="8193" width="10.125" style="214" bestFit="1" customWidth="1"/>
    <col min="8194" max="8194" width="10.75" style="214" customWidth="1"/>
    <col min="8195" max="8197" width="9.375" style="214"/>
    <col min="8198" max="8199" width="10.75" style="214" customWidth="1"/>
    <col min="8200" max="8204" width="9.375" style="214"/>
    <col min="8205" max="8205" width="1.625" style="214" bestFit="1" customWidth="1"/>
    <col min="8206" max="8206" width="9.375" style="214"/>
    <col min="8207" max="8207" width="8.875" style="214" customWidth="1"/>
    <col min="8208" max="8208" width="13.125" style="214" customWidth="1"/>
    <col min="8209" max="8209" width="9.375" style="214"/>
    <col min="8210" max="8210" width="9.875" style="214" customWidth="1"/>
    <col min="8211" max="8211" width="11.75" style="214" bestFit="1" customWidth="1"/>
    <col min="8212" max="8441" width="9.375" style="214"/>
    <col min="8442" max="8442" width="5" style="214" customWidth="1"/>
    <col min="8443" max="8443" width="17.875" style="214" bestFit="1" customWidth="1"/>
    <col min="8444" max="8444" width="9.875" style="214" customWidth="1"/>
    <col min="8445" max="8445" width="8.875" style="214" customWidth="1"/>
    <col min="8446" max="8446" width="7.375" style="214" bestFit="1" customWidth="1"/>
    <col min="8447" max="8447" width="10.125" style="214" bestFit="1" customWidth="1"/>
    <col min="8448" max="8448" width="9.375" style="214"/>
    <col min="8449" max="8449" width="10.125" style="214" bestFit="1" customWidth="1"/>
    <col min="8450" max="8450" width="10.75" style="214" customWidth="1"/>
    <col min="8451" max="8453" width="9.375" style="214"/>
    <col min="8454" max="8455" width="10.75" style="214" customWidth="1"/>
    <col min="8456" max="8460" width="9.375" style="214"/>
    <col min="8461" max="8461" width="1.625" style="214" bestFit="1" customWidth="1"/>
    <col min="8462" max="8462" width="9.375" style="214"/>
    <col min="8463" max="8463" width="8.875" style="214" customWidth="1"/>
    <col min="8464" max="8464" width="13.125" style="214" customWidth="1"/>
    <col min="8465" max="8465" width="9.375" style="214"/>
    <col min="8466" max="8466" width="9.875" style="214" customWidth="1"/>
    <col min="8467" max="8467" width="11.75" style="214" bestFit="1" customWidth="1"/>
    <col min="8468" max="8697" width="9.375" style="214"/>
    <col min="8698" max="8698" width="5" style="214" customWidth="1"/>
    <col min="8699" max="8699" width="17.875" style="214" bestFit="1" customWidth="1"/>
    <col min="8700" max="8700" width="9.875" style="214" customWidth="1"/>
    <col min="8701" max="8701" width="8.875" style="214" customWidth="1"/>
    <col min="8702" max="8702" width="7.375" style="214" bestFit="1" customWidth="1"/>
    <col min="8703" max="8703" width="10.125" style="214" bestFit="1" customWidth="1"/>
    <col min="8704" max="8704" width="9.375" style="214"/>
    <col min="8705" max="8705" width="10.125" style="214" bestFit="1" customWidth="1"/>
    <col min="8706" max="8706" width="10.75" style="214" customWidth="1"/>
    <col min="8707" max="8709" width="9.375" style="214"/>
    <col min="8710" max="8711" width="10.75" style="214" customWidth="1"/>
    <col min="8712" max="8716" width="9.375" style="214"/>
    <col min="8717" max="8717" width="1.625" style="214" bestFit="1" customWidth="1"/>
    <col min="8718" max="8718" width="9.375" style="214"/>
    <col min="8719" max="8719" width="8.875" style="214" customWidth="1"/>
    <col min="8720" max="8720" width="13.125" style="214" customWidth="1"/>
    <col min="8721" max="8721" width="9.375" style="214"/>
    <col min="8722" max="8722" width="9.875" style="214" customWidth="1"/>
    <col min="8723" max="8723" width="11.75" style="214" bestFit="1" customWidth="1"/>
    <col min="8724" max="8953" width="9.375" style="214"/>
    <col min="8954" max="8954" width="5" style="214" customWidth="1"/>
    <col min="8955" max="8955" width="17.875" style="214" bestFit="1" customWidth="1"/>
    <col min="8956" max="8956" width="9.875" style="214" customWidth="1"/>
    <col min="8957" max="8957" width="8.875" style="214" customWidth="1"/>
    <col min="8958" max="8958" width="7.375" style="214" bestFit="1" customWidth="1"/>
    <col min="8959" max="8959" width="10.125" style="214" bestFit="1" customWidth="1"/>
    <col min="8960" max="8960" width="9.375" style="214"/>
    <col min="8961" max="8961" width="10.125" style="214" bestFit="1" customWidth="1"/>
    <col min="8962" max="8962" width="10.75" style="214" customWidth="1"/>
    <col min="8963" max="8965" width="9.375" style="214"/>
    <col min="8966" max="8967" width="10.75" style="214" customWidth="1"/>
    <col min="8968" max="8972" width="9.375" style="214"/>
    <col min="8973" max="8973" width="1.625" style="214" bestFit="1" customWidth="1"/>
    <col min="8974" max="8974" width="9.375" style="214"/>
    <col min="8975" max="8975" width="8.875" style="214" customWidth="1"/>
    <col min="8976" max="8976" width="13.125" style="214" customWidth="1"/>
    <col min="8977" max="8977" width="9.375" style="214"/>
    <col min="8978" max="8978" width="9.875" style="214" customWidth="1"/>
    <col min="8979" max="8979" width="11.75" style="214" bestFit="1" customWidth="1"/>
    <col min="8980" max="9209" width="9.375" style="214"/>
    <col min="9210" max="9210" width="5" style="214" customWidth="1"/>
    <col min="9211" max="9211" width="17.875" style="214" bestFit="1" customWidth="1"/>
    <col min="9212" max="9212" width="9.875" style="214" customWidth="1"/>
    <col min="9213" max="9213" width="8.875" style="214" customWidth="1"/>
    <col min="9214" max="9214" width="7.375" style="214" bestFit="1" customWidth="1"/>
    <col min="9215" max="9215" width="10.125" style="214" bestFit="1" customWidth="1"/>
    <col min="9216" max="9216" width="9.375" style="214"/>
    <col min="9217" max="9217" width="10.125" style="214" bestFit="1" customWidth="1"/>
    <col min="9218" max="9218" width="10.75" style="214" customWidth="1"/>
    <col min="9219" max="9221" width="9.375" style="214"/>
    <col min="9222" max="9223" width="10.75" style="214" customWidth="1"/>
    <col min="9224" max="9228" width="9.375" style="214"/>
    <col min="9229" max="9229" width="1.625" style="214" bestFit="1" customWidth="1"/>
    <col min="9230" max="9230" width="9.375" style="214"/>
    <col min="9231" max="9231" width="8.875" style="214" customWidth="1"/>
    <col min="9232" max="9232" width="13.125" style="214" customWidth="1"/>
    <col min="9233" max="9233" width="9.375" style="214"/>
    <col min="9234" max="9234" width="9.875" style="214" customWidth="1"/>
    <col min="9235" max="9235" width="11.75" style="214" bestFit="1" customWidth="1"/>
    <col min="9236" max="9465" width="9.375" style="214"/>
    <col min="9466" max="9466" width="5" style="214" customWidth="1"/>
    <col min="9467" max="9467" width="17.875" style="214" bestFit="1" customWidth="1"/>
    <col min="9468" max="9468" width="9.875" style="214" customWidth="1"/>
    <col min="9469" max="9469" width="8.875" style="214" customWidth="1"/>
    <col min="9470" max="9470" width="7.375" style="214" bestFit="1" customWidth="1"/>
    <col min="9471" max="9471" width="10.125" style="214" bestFit="1" customWidth="1"/>
    <col min="9472" max="9472" width="9.375" style="214"/>
    <col min="9473" max="9473" width="10.125" style="214" bestFit="1" customWidth="1"/>
    <col min="9474" max="9474" width="10.75" style="214" customWidth="1"/>
    <col min="9475" max="9477" width="9.375" style="214"/>
    <col min="9478" max="9479" width="10.75" style="214" customWidth="1"/>
    <col min="9480" max="9484" width="9.375" style="214"/>
    <col min="9485" max="9485" width="1.625" style="214" bestFit="1" customWidth="1"/>
    <col min="9486" max="9486" width="9.375" style="214"/>
    <col min="9487" max="9487" width="8.875" style="214" customWidth="1"/>
    <col min="9488" max="9488" width="13.125" style="214" customWidth="1"/>
    <col min="9489" max="9489" width="9.375" style="214"/>
    <col min="9490" max="9490" width="9.875" style="214" customWidth="1"/>
    <col min="9491" max="9491" width="11.75" style="214" bestFit="1" customWidth="1"/>
    <col min="9492" max="9721" width="9.375" style="214"/>
    <col min="9722" max="9722" width="5" style="214" customWidth="1"/>
    <col min="9723" max="9723" width="17.875" style="214" bestFit="1" customWidth="1"/>
    <col min="9724" max="9724" width="9.875" style="214" customWidth="1"/>
    <col min="9725" max="9725" width="8.875" style="214" customWidth="1"/>
    <col min="9726" max="9726" width="7.375" style="214" bestFit="1" customWidth="1"/>
    <col min="9727" max="9727" width="10.125" style="214" bestFit="1" customWidth="1"/>
    <col min="9728" max="9728" width="9.375" style="214"/>
    <col min="9729" max="9729" width="10.125" style="214" bestFit="1" customWidth="1"/>
    <col min="9730" max="9730" width="10.75" style="214" customWidth="1"/>
    <col min="9731" max="9733" width="9.375" style="214"/>
    <col min="9734" max="9735" width="10.75" style="214" customWidth="1"/>
    <col min="9736" max="9740" width="9.375" style="214"/>
    <col min="9741" max="9741" width="1.625" style="214" bestFit="1" customWidth="1"/>
    <col min="9742" max="9742" width="9.375" style="214"/>
    <col min="9743" max="9743" width="8.875" style="214" customWidth="1"/>
    <col min="9744" max="9744" width="13.125" style="214" customWidth="1"/>
    <col min="9745" max="9745" width="9.375" style="214"/>
    <col min="9746" max="9746" width="9.875" style="214" customWidth="1"/>
    <col min="9747" max="9747" width="11.75" style="214" bestFit="1" customWidth="1"/>
    <col min="9748" max="9977" width="9.375" style="214"/>
    <col min="9978" max="9978" width="5" style="214" customWidth="1"/>
    <col min="9979" max="9979" width="17.875" style="214" bestFit="1" customWidth="1"/>
    <col min="9980" max="9980" width="9.875" style="214" customWidth="1"/>
    <col min="9981" max="9981" width="8.875" style="214" customWidth="1"/>
    <col min="9982" max="9982" width="7.375" style="214" bestFit="1" customWidth="1"/>
    <col min="9983" max="9983" width="10.125" style="214" bestFit="1" customWidth="1"/>
    <col min="9984" max="9984" width="9.375" style="214"/>
    <col min="9985" max="9985" width="10.125" style="214" bestFit="1" customWidth="1"/>
    <col min="9986" max="9986" width="10.75" style="214" customWidth="1"/>
    <col min="9987" max="9989" width="9.375" style="214"/>
    <col min="9990" max="9991" width="10.75" style="214" customWidth="1"/>
    <col min="9992" max="9996" width="9.375" style="214"/>
    <col min="9997" max="9997" width="1.625" style="214" bestFit="1" customWidth="1"/>
    <col min="9998" max="9998" width="9.375" style="214"/>
    <col min="9999" max="9999" width="8.875" style="214" customWidth="1"/>
    <col min="10000" max="10000" width="13.125" style="214" customWidth="1"/>
    <col min="10001" max="10001" width="9.375" style="214"/>
    <col min="10002" max="10002" width="9.875" style="214" customWidth="1"/>
    <col min="10003" max="10003" width="11.75" style="214" bestFit="1" customWidth="1"/>
    <col min="10004" max="10233" width="9.375" style="214"/>
    <col min="10234" max="10234" width="5" style="214" customWidth="1"/>
    <col min="10235" max="10235" width="17.875" style="214" bestFit="1" customWidth="1"/>
    <col min="10236" max="10236" width="9.875" style="214" customWidth="1"/>
    <col min="10237" max="10237" width="8.875" style="214" customWidth="1"/>
    <col min="10238" max="10238" width="7.375" style="214" bestFit="1" customWidth="1"/>
    <col min="10239" max="10239" width="10.125" style="214" bestFit="1" customWidth="1"/>
    <col min="10240" max="10240" width="9.375" style="214"/>
    <col min="10241" max="10241" width="10.125" style="214" bestFit="1" customWidth="1"/>
    <col min="10242" max="10242" width="10.75" style="214" customWidth="1"/>
    <col min="10243" max="10245" width="9.375" style="214"/>
    <col min="10246" max="10247" width="10.75" style="214" customWidth="1"/>
    <col min="10248" max="10252" width="9.375" style="214"/>
    <col min="10253" max="10253" width="1.625" style="214" bestFit="1" customWidth="1"/>
    <col min="10254" max="10254" width="9.375" style="214"/>
    <col min="10255" max="10255" width="8.875" style="214" customWidth="1"/>
    <col min="10256" max="10256" width="13.125" style="214" customWidth="1"/>
    <col min="10257" max="10257" width="9.375" style="214"/>
    <col min="10258" max="10258" width="9.875" style="214" customWidth="1"/>
    <col min="10259" max="10259" width="11.75" style="214" bestFit="1" customWidth="1"/>
    <col min="10260" max="10489" width="9.375" style="214"/>
    <col min="10490" max="10490" width="5" style="214" customWidth="1"/>
    <col min="10491" max="10491" width="17.875" style="214" bestFit="1" customWidth="1"/>
    <col min="10492" max="10492" width="9.875" style="214" customWidth="1"/>
    <col min="10493" max="10493" width="8.875" style="214" customWidth="1"/>
    <col min="10494" max="10494" width="7.375" style="214" bestFit="1" customWidth="1"/>
    <col min="10495" max="10495" width="10.125" style="214" bestFit="1" customWidth="1"/>
    <col min="10496" max="10496" width="9.375" style="214"/>
    <col min="10497" max="10497" width="10.125" style="214" bestFit="1" customWidth="1"/>
    <col min="10498" max="10498" width="10.75" style="214" customWidth="1"/>
    <col min="10499" max="10501" width="9.375" style="214"/>
    <col min="10502" max="10503" width="10.75" style="214" customWidth="1"/>
    <col min="10504" max="10508" width="9.375" style="214"/>
    <col min="10509" max="10509" width="1.625" style="214" bestFit="1" customWidth="1"/>
    <col min="10510" max="10510" width="9.375" style="214"/>
    <col min="10511" max="10511" width="8.875" style="214" customWidth="1"/>
    <col min="10512" max="10512" width="13.125" style="214" customWidth="1"/>
    <col min="10513" max="10513" width="9.375" style="214"/>
    <col min="10514" max="10514" width="9.875" style="214" customWidth="1"/>
    <col min="10515" max="10515" width="11.75" style="214" bestFit="1" customWidth="1"/>
    <col min="10516" max="10745" width="9.375" style="214"/>
    <col min="10746" max="10746" width="5" style="214" customWidth="1"/>
    <col min="10747" max="10747" width="17.875" style="214" bestFit="1" customWidth="1"/>
    <col min="10748" max="10748" width="9.875" style="214" customWidth="1"/>
    <col min="10749" max="10749" width="8.875" style="214" customWidth="1"/>
    <col min="10750" max="10750" width="7.375" style="214" bestFit="1" customWidth="1"/>
    <col min="10751" max="10751" width="10.125" style="214" bestFit="1" customWidth="1"/>
    <col min="10752" max="10752" width="9.375" style="214"/>
    <col min="10753" max="10753" width="10.125" style="214" bestFit="1" customWidth="1"/>
    <col min="10754" max="10754" width="10.75" style="214" customWidth="1"/>
    <col min="10755" max="10757" width="9.375" style="214"/>
    <col min="10758" max="10759" width="10.75" style="214" customWidth="1"/>
    <col min="10760" max="10764" width="9.375" style="214"/>
    <col min="10765" max="10765" width="1.625" style="214" bestFit="1" customWidth="1"/>
    <col min="10766" max="10766" width="9.375" style="214"/>
    <col min="10767" max="10767" width="8.875" style="214" customWidth="1"/>
    <col min="10768" max="10768" width="13.125" style="214" customWidth="1"/>
    <col min="10769" max="10769" width="9.375" style="214"/>
    <col min="10770" max="10770" width="9.875" style="214" customWidth="1"/>
    <col min="10771" max="10771" width="11.75" style="214" bestFit="1" customWidth="1"/>
    <col min="10772" max="11001" width="9.375" style="214"/>
    <col min="11002" max="11002" width="5" style="214" customWidth="1"/>
    <col min="11003" max="11003" width="17.875" style="214" bestFit="1" customWidth="1"/>
    <col min="11004" max="11004" width="9.875" style="214" customWidth="1"/>
    <col min="11005" max="11005" width="8.875" style="214" customWidth="1"/>
    <col min="11006" max="11006" width="7.375" style="214" bestFit="1" customWidth="1"/>
    <col min="11007" max="11007" width="10.125" style="214" bestFit="1" customWidth="1"/>
    <col min="11008" max="11008" width="9.375" style="214"/>
    <col min="11009" max="11009" width="10.125" style="214" bestFit="1" customWidth="1"/>
    <col min="11010" max="11010" width="10.75" style="214" customWidth="1"/>
    <col min="11011" max="11013" width="9.375" style="214"/>
    <col min="11014" max="11015" width="10.75" style="214" customWidth="1"/>
    <col min="11016" max="11020" width="9.375" style="214"/>
    <col min="11021" max="11021" width="1.625" style="214" bestFit="1" customWidth="1"/>
    <col min="11022" max="11022" width="9.375" style="214"/>
    <col min="11023" max="11023" width="8.875" style="214" customWidth="1"/>
    <col min="11024" max="11024" width="13.125" style="214" customWidth="1"/>
    <col min="11025" max="11025" width="9.375" style="214"/>
    <col min="11026" max="11026" width="9.875" style="214" customWidth="1"/>
    <col min="11027" max="11027" width="11.75" style="214" bestFit="1" customWidth="1"/>
    <col min="11028" max="11257" width="9.375" style="214"/>
    <col min="11258" max="11258" width="5" style="214" customWidth="1"/>
    <col min="11259" max="11259" width="17.875" style="214" bestFit="1" customWidth="1"/>
    <col min="11260" max="11260" width="9.875" style="214" customWidth="1"/>
    <col min="11261" max="11261" width="8.875" style="214" customWidth="1"/>
    <col min="11262" max="11262" width="7.375" style="214" bestFit="1" customWidth="1"/>
    <col min="11263" max="11263" width="10.125" style="214" bestFit="1" customWidth="1"/>
    <col min="11264" max="11264" width="9.375" style="214"/>
    <col min="11265" max="11265" width="10.125" style="214" bestFit="1" customWidth="1"/>
    <col min="11266" max="11266" width="10.75" style="214" customWidth="1"/>
    <col min="11267" max="11269" width="9.375" style="214"/>
    <col min="11270" max="11271" width="10.75" style="214" customWidth="1"/>
    <col min="11272" max="11276" width="9.375" style="214"/>
    <col min="11277" max="11277" width="1.625" style="214" bestFit="1" customWidth="1"/>
    <col min="11278" max="11278" width="9.375" style="214"/>
    <col min="11279" max="11279" width="8.875" style="214" customWidth="1"/>
    <col min="11280" max="11280" width="13.125" style="214" customWidth="1"/>
    <col min="11281" max="11281" width="9.375" style="214"/>
    <col min="11282" max="11282" width="9.875" style="214" customWidth="1"/>
    <col min="11283" max="11283" width="11.75" style="214" bestFit="1" customWidth="1"/>
    <col min="11284" max="11513" width="9.375" style="214"/>
    <col min="11514" max="11514" width="5" style="214" customWidth="1"/>
    <col min="11515" max="11515" width="17.875" style="214" bestFit="1" customWidth="1"/>
    <col min="11516" max="11516" width="9.875" style="214" customWidth="1"/>
    <col min="11517" max="11517" width="8.875" style="214" customWidth="1"/>
    <col min="11518" max="11518" width="7.375" style="214" bestFit="1" customWidth="1"/>
    <col min="11519" max="11519" width="10.125" style="214" bestFit="1" customWidth="1"/>
    <col min="11520" max="11520" width="9.375" style="214"/>
    <col min="11521" max="11521" width="10.125" style="214" bestFit="1" customWidth="1"/>
    <col min="11522" max="11522" width="10.75" style="214" customWidth="1"/>
    <col min="11523" max="11525" width="9.375" style="214"/>
    <col min="11526" max="11527" width="10.75" style="214" customWidth="1"/>
    <col min="11528" max="11532" width="9.375" style="214"/>
    <col min="11533" max="11533" width="1.625" style="214" bestFit="1" customWidth="1"/>
    <col min="11534" max="11534" width="9.375" style="214"/>
    <col min="11535" max="11535" width="8.875" style="214" customWidth="1"/>
    <col min="11536" max="11536" width="13.125" style="214" customWidth="1"/>
    <col min="11537" max="11537" width="9.375" style="214"/>
    <col min="11538" max="11538" width="9.875" style="214" customWidth="1"/>
    <col min="11539" max="11539" width="11.75" style="214" bestFit="1" customWidth="1"/>
    <col min="11540" max="11769" width="9.375" style="214"/>
    <col min="11770" max="11770" width="5" style="214" customWidth="1"/>
    <col min="11771" max="11771" width="17.875" style="214" bestFit="1" customWidth="1"/>
    <col min="11772" max="11772" width="9.875" style="214" customWidth="1"/>
    <col min="11773" max="11773" width="8.875" style="214" customWidth="1"/>
    <col min="11774" max="11774" width="7.375" style="214" bestFit="1" customWidth="1"/>
    <col min="11775" max="11775" width="10.125" style="214" bestFit="1" customWidth="1"/>
    <col min="11776" max="11776" width="9.375" style="214"/>
    <col min="11777" max="11777" width="10.125" style="214" bestFit="1" customWidth="1"/>
    <col min="11778" max="11778" width="10.75" style="214" customWidth="1"/>
    <col min="11779" max="11781" width="9.375" style="214"/>
    <col min="11782" max="11783" width="10.75" style="214" customWidth="1"/>
    <col min="11784" max="11788" width="9.375" style="214"/>
    <col min="11789" max="11789" width="1.625" style="214" bestFit="1" customWidth="1"/>
    <col min="11790" max="11790" width="9.375" style="214"/>
    <col min="11791" max="11791" width="8.875" style="214" customWidth="1"/>
    <col min="11792" max="11792" width="13.125" style="214" customWidth="1"/>
    <col min="11793" max="11793" width="9.375" style="214"/>
    <col min="11794" max="11794" width="9.875" style="214" customWidth="1"/>
    <col min="11795" max="11795" width="11.75" style="214" bestFit="1" customWidth="1"/>
    <col min="11796" max="12025" width="9.375" style="214"/>
    <col min="12026" max="12026" width="5" style="214" customWidth="1"/>
    <col min="12027" max="12027" width="17.875" style="214" bestFit="1" customWidth="1"/>
    <col min="12028" max="12028" width="9.875" style="214" customWidth="1"/>
    <col min="12029" max="12029" width="8.875" style="214" customWidth="1"/>
    <col min="12030" max="12030" width="7.375" style="214" bestFit="1" customWidth="1"/>
    <col min="12031" max="12031" width="10.125" style="214" bestFit="1" customWidth="1"/>
    <col min="12032" max="12032" width="9.375" style="214"/>
    <col min="12033" max="12033" width="10.125" style="214" bestFit="1" customWidth="1"/>
    <col min="12034" max="12034" width="10.75" style="214" customWidth="1"/>
    <col min="12035" max="12037" width="9.375" style="214"/>
    <col min="12038" max="12039" width="10.75" style="214" customWidth="1"/>
    <col min="12040" max="12044" width="9.375" style="214"/>
    <col min="12045" max="12045" width="1.625" style="214" bestFit="1" customWidth="1"/>
    <col min="12046" max="12046" width="9.375" style="214"/>
    <col min="12047" max="12047" width="8.875" style="214" customWidth="1"/>
    <col min="12048" max="12048" width="13.125" style="214" customWidth="1"/>
    <col min="12049" max="12049" width="9.375" style="214"/>
    <col min="12050" max="12050" width="9.875" style="214" customWidth="1"/>
    <col min="12051" max="12051" width="11.75" style="214" bestFit="1" customWidth="1"/>
    <col min="12052" max="12281" width="9.375" style="214"/>
    <col min="12282" max="12282" width="5" style="214" customWidth="1"/>
    <col min="12283" max="12283" width="17.875" style="214" bestFit="1" customWidth="1"/>
    <col min="12284" max="12284" width="9.875" style="214" customWidth="1"/>
    <col min="12285" max="12285" width="8.875" style="214" customWidth="1"/>
    <col min="12286" max="12286" width="7.375" style="214" bestFit="1" customWidth="1"/>
    <col min="12287" max="12287" width="10.125" style="214" bestFit="1" customWidth="1"/>
    <col min="12288" max="12288" width="9.375" style="214"/>
    <col min="12289" max="12289" width="10.125" style="214" bestFit="1" customWidth="1"/>
    <col min="12290" max="12290" width="10.75" style="214" customWidth="1"/>
    <col min="12291" max="12293" width="9.375" style="214"/>
    <col min="12294" max="12295" width="10.75" style="214" customWidth="1"/>
    <col min="12296" max="12300" width="9.375" style="214"/>
    <col min="12301" max="12301" width="1.625" style="214" bestFit="1" customWidth="1"/>
    <col min="12302" max="12302" width="9.375" style="214"/>
    <col min="12303" max="12303" width="8.875" style="214" customWidth="1"/>
    <col min="12304" max="12304" width="13.125" style="214" customWidth="1"/>
    <col min="12305" max="12305" width="9.375" style="214"/>
    <col min="12306" max="12306" width="9.875" style="214" customWidth="1"/>
    <col min="12307" max="12307" width="11.75" style="214" bestFit="1" customWidth="1"/>
    <col min="12308" max="12537" width="9.375" style="214"/>
    <col min="12538" max="12538" width="5" style="214" customWidth="1"/>
    <col min="12539" max="12539" width="17.875" style="214" bestFit="1" customWidth="1"/>
    <col min="12540" max="12540" width="9.875" style="214" customWidth="1"/>
    <col min="12541" max="12541" width="8.875" style="214" customWidth="1"/>
    <col min="12542" max="12542" width="7.375" style="214" bestFit="1" customWidth="1"/>
    <col min="12543" max="12543" width="10.125" style="214" bestFit="1" customWidth="1"/>
    <col min="12544" max="12544" width="9.375" style="214"/>
    <col min="12545" max="12545" width="10.125" style="214" bestFit="1" customWidth="1"/>
    <col min="12546" max="12546" width="10.75" style="214" customWidth="1"/>
    <col min="12547" max="12549" width="9.375" style="214"/>
    <col min="12550" max="12551" width="10.75" style="214" customWidth="1"/>
    <col min="12552" max="12556" width="9.375" style="214"/>
    <col min="12557" max="12557" width="1.625" style="214" bestFit="1" customWidth="1"/>
    <col min="12558" max="12558" width="9.375" style="214"/>
    <col min="12559" max="12559" width="8.875" style="214" customWidth="1"/>
    <col min="12560" max="12560" width="13.125" style="214" customWidth="1"/>
    <col min="12561" max="12561" width="9.375" style="214"/>
    <col min="12562" max="12562" width="9.875" style="214" customWidth="1"/>
    <col min="12563" max="12563" width="11.75" style="214" bestFit="1" customWidth="1"/>
    <col min="12564" max="12793" width="9.375" style="214"/>
    <col min="12794" max="12794" width="5" style="214" customWidth="1"/>
    <col min="12795" max="12795" width="17.875" style="214" bestFit="1" customWidth="1"/>
    <col min="12796" max="12796" width="9.875" style="214" customWidth="1"/>
    <col min="12797" max="12797" width="8.875" style="214" customWidth="1"/>
    <col min="12798" max="12798" width="7.375" style="214" bestFit="1" customWidth="1"/>
    <col min="12799" max="12799" width="10.125" style="214" bestFit="1" customWidth="1"/>
    <col min="12800" max="12800" width="9.375" style="214"/>
    <col min="12801" max="12801" width="10.125" style="214" bestFit="1" customWidth="1"/>
    <col min="12802" max="12802" width="10.75" style="214" customWidth="1"/>
    <col min="12803" max="12805" width="9.375" style="214"/>
    <col min="12806" max="12807" width="10.75" style="214" customWidth="1"/>
    <col min="12808" max="12812" width="9.375" style="214"/>
    <col min="12813" max="12813" width="1.625" style="214" bestFit="1" customWidth="1"/>
    <col min="12814" max="12814" width="9.375" style="214"/>
    <col min="12815" max="12815" width="8.875" style="214" customWidth="1"/>
    <col min="12816" max="12816" width="13.125" style="214" customWidth="1"/>
    <col min="12817" max="12817" width="9.375" style="214"/>
    <col min="12818" max="12818" width="9.875" style="214" customWidth="1"/>
    <col min="12819" max="12819" width="11.75" style="214" bestFit="1" customWidth="1"/>
    <col min="12820" max="13049" width="9.375" style="214"/>
    <col min="13050" max="13050" width="5" style="214" customWidth="1"/>
    <col min="13051" max="13051" width="17.875" style="214" bestFit="1" customWidth="1"/>
    <col min="13052" max="13052" width="9.875" style="214" customWidth="1"/>
    <col min="13053" max="13053" width="8.875" style="214" customWidth="1"/>
    <col min="13054" max="13054" width="7.375" style="214" bestFit="1" customWidth="1"/>
    <col min="13055" max="13055" width="10.125" style="214" bestFit="1" customWidth="1"/>
    <col min="13056" max="13056" width="9.375" style="214"/>
    <col min="13057" max="13057" width="10.125" style="214" bestFit="1" customWidth="1"/>
    <col min="13058" max="13058" width="10.75" style="214" customWidth="1"/>
    <col min="13059" max="13061" width="9.375" style="214"/>
    <col min="13062" max="13063" width="10.75" style="214" customWidth="1"/>
    <col min="13064" max="13068" width="9.375" style="214"/>
    <col min="13069" max="13069" width="1.625" style="214" bestFit="1" customWidth="1"/>
    <col min="13070" max="13070" width="9.375" style="214"/>
    <col min="13071" max="13071" width="8.875" style="214" customWidth="1"/>
    <col min="13072" max="13072" width="13.125" style="214" customWidth="1"/>
    <col min="13073" max="13073" width="9.375" style="214"/>
    <col min="13074" max="13074" width="9.875" style="214" customWidth="1"/>
    <col min="13075" max="13075" width="11.75" style="214" bestFit="1" customWidth="1"/>
    <col min="13076" max="13305" width="9.375" style="214"/>
    <col min="13306" max="13306" width="5" style="214" customWidth="1"/>
    <col min="13307" max="13307" width="17.875" style="214" bestFit="1" customWidth="1"/>
    <col min="13308" max="13308" width="9.875" style="214" customWidth="1"/>
    <col min="13309" max="13309" width="8.875" style="214" customWidth="1"/>
    <col min="13310" max="13310" width="7.375" style="214" bestFit="1" customWidth="1"/>
    <col min="13311" max="13311" width="10.125" style="214" bestFit="1" customWidth="1"/>
    <col min="13312" max="13312" width="9.375" style="214"/>
    <col min="13313" max="13313" width="10.125" style="214" bestFit="1" customWidth="1"/>
    <col min="13314" max="13314" width="10.75" style="214" customWidth="1"/>
    <col min="13315" max="13317" width="9.375" style="214"/>
    <col min="13318" max="13319" width="10.75" style="214" customWidth="1"/>
    <col min="13320" max="13324" width="9.375" style="214"/>
    <col min="13325" max="13325" width="1.625" style="214" bestFit="1" customWidth="1"/>
    <col min="13326" max="13326" width="9.375" style="214"/>
    <col min="13327" max="13327" width="8.875" style="214" customWidth="1"/>
    <col min="13328" max="13328" width="13.125" style="214" customWidth="1"/>
    <col min="13329" max="13329" width="9.375" style="214"/>
    <col min="13330" max="13330" width="9.875" style="214" customWidth="1"/>
    <col min="13331" max="13331" width="11.75" style="214" bestFit="1" customWidth="1"/>
    <col min="13332" max="13561" width="9.375" style="214"/>
    <col min="13562" max="13562" width="5" style="214" customWidth="1"/>
    <col min="13563" max="13563" width="17.875" style="214" bestFit="1" customWidth="1"/>
    <col min="13564" max="13564" width="9.875" style="214" customWidth="1"/>
    <col min="13565" max="13565" width="8.875" style="214" customWidth="1"/>
    <col min="13566" max="13566" width="7.375" style="214" bestFit="1" customWidth="1"/>
    <col min="13567" max="13567" width="10.125" style="214" bestFit="1" customWidth="1"/>
    <col min="13568" max="13568" width="9.375" style="214"/>
    <col min="13569" max="13569" width="10.125" style="214" bestFit="1" customWidth="1"/>
    <col min="13570" max="13570" width="10.75" style="214" customWidth="1"/>
    <col min="13571" max="13573" width="9.375" style="214"/>
    <col min="13574" max="13575" width="10.75" style="214" customWidth="1"/>
    <col min="13576" max="13580" width="9.375" style="214"/>
    <col min="13581" max="13581" width="1.625" style="214" bestFit="1" customWidth="1"/>
    <col min="13582" max="13582" width="9.375" style="214"/>
    <col min="13583" max="13583" width="8.875" style="214" customWidth="1"/>
    <col min="13584" max="13584" width="13.125" style="214" customWidth="1"/>
    <col min="13585" max="13585" width="9.375" style="214"/>
    <col min="13586" max="13586" width="9.875" style="214" customWidth="1"/>
    <col min="13587" max="13587" width="11.75" style="214" bestFit="1" customWidth="1"/>
    <col min="13588" max="13817" width="9.375" style="214"/>
    <col min="13818" max="13818" width="5" style="214" customWidth="1"/>
    <col min="13819" max="13819" width="17.875" style="214" bestFit="1" customWidth="1"/>
    <col min="13820" max="13820" width="9.875" style="214" customWidth="1"/>
    <col min="13821" max="13821" width="8.875" style="214" customWidth="1"/>
    <col min="13822" max="13822" width="7.375" style="214" bestFit="1" customWidth="1"/>
    <col min="13823" max="13823" width="10.125" style="214" bestFit="1" customWidth="1"/>
    <col min="13824" max="13824" width="9.375" style="214"/>
    <col min="13825" max="13825" width="10.125" style="214" bestFit="1" customWidth="1"/>
    <col min="13826" max="13826" width="10.75" style="214" customWidth="1"/>
    <col min="13827" max="13829" width="9.375" style="214"/>
    <col min="13830" max="13831" width="10.75" style="214" customWidth="1"/>
    <col min="13832" max="13836" width="9.375" style="214"/>
    <col min="13837" max="13837" width="1.625" style="214" bestFit="1" customWidth="1"/>
    <col min="13838" max="13838" width="9.375" style="214"/>
    <col min="13839" max="13839" width="8.875" style="214" customWidth="1"/>
    <col min="13840" max="13840" width="13.125" style="214" customWidth="1"/>
    <col min="13841" max="13841" width="9.375" style="214"/>
    <col min="13842" max="13842" width="9.875" style="214" customWidth="1"/>
    <col min="13843" max="13843" width="11.75" style="214" bestFit="1" customWidth="1"/>
    <col min="13844" max="14073" width="9.375" style="214"/>
    <col min="14074" max="14074" width="5" style="214" customWidth="1"/>
    <col min="14075" max="14075" width="17.875" style="214" bestFit="1" customWidth="1"/>
    <col min="14076" max="14076" width="9.875" style="214" customWidth="1"/>
    <col min="14077" max="14077" width="8.875" style="214" customWidth="1"/>
    <col min="14078" max="14078" width="7.375" style="214" bestFit="1" customWidth="1"/>
    <col min="14079" max="14079" width="10.125" style="214" bestFit="1" customWidth="1"/>
    <col min="14080" max="14080" width="9.375" style="214"/>
    <col min="14081" max="14081" width="10.125" style="214" bestFit="1" customWidth="1"/>
    <col min="14082" max="14082" width="10.75" style="214" customWidth="1"/>
    <col min="14083" max="14085" width="9.375" style="214"/>
    <col min="14086" max="14087" width="10.75" style="214" customWidth="1"/>
    <col min="14088" max="14092" width="9.375" style="214"/>
    <col min="14093" max="14093" width="1.625" style="214" bestFit="1" customWidth="1"/>
    <col min="14094" max="14094" width="9.375" style="214"/>
    <col min="14095" max="14095" width="8.875" style="214" customWidth="1"/>
    <col min="14096" max="14096" width="13.125" style="214" customWidth="1"/>
    <col min="14097" max="14097" width="9.375" style="214"/>
    <col min="14098" max="14098" width="9.875" style="214" customWidth="1"/>
    <col min="14099" max="14099" width="11.75" style="214" bestFit="1" customWidth="1"/>
    <col min="14100" max="14329" width="9.375" style="214"/>
    <col min="14330" max="14330" width="5" style="214" customWidth="1"/>
    <col min="14331" max="14331" width="17.875" style="214" bestFit="1" customWidth="1"/>
    <col min="14332" max="14332" width="9.875" style="214" customWidth="1"/>
    <col min="14333" max="14333" width="8.875" style="214" customWidth="1"/>
    <col min="14334" max="14334" width="7.375" style="214" bestFit="1" customWidth="1"/>
    <col min="14335" max="14335" width="10.125" style="214" bestFit="1" customWidth="1"/>
    <col min="14336" max="14336" width="9.375" style="214"/>
    <col min="14337" max="14337" width="10.125" style="214" bestFit="1" customWidth="1"/>
    <col min="14338" max="14338" width="10.75" style="214" customWidth="1"/>
    <col min="14339" max="14341" width="9.375" style="214"/>
    <col min="14342" max="14343" width="10.75" style="214" customWidth="1"/>
    <col min="14344" max="14348" width="9.375" style="214"/>
    <col min="14349" max="14349" width="1.625" style="214" bestFit="1" customWidth="1"/>
    <col min="14350" max="14350" width="9.375" style="214"/>
    <col min="14351" max="14351" width="8.875" style="214" customWidth="1"/>
    <col min="14352" max="14352" width="13.125" style="214" customWidth="1"/>
    <col min="14353" max="14353" width="9.375" style="214"/>
    <col min="14354" max="14354" width="9.875" style="214" customWidth="1"/>
    <col min="14355" max="14355" width="11.75" style="214" bestFit="1" customWidth="1"/>
    <col min="14356" max="14585" width="9.375" style="214"/>
    <col min="14586" max="14586" width="5" style="214" customWidth="1"/>
    <col min="14587" max="14587" width="17.875" style="214" bestFit="1" customWidth="1"/>
    <col min="14588" max="14588" width="9.875" style="214" customWidth="1"/>
    <col min="14589" max="14589" width="8.875" style="214" customWidth="1"/>
    <col min="14590" max="14590" width="7.375" style="214" bestFit="1" customWidth="1"/>
    <col min="14591" max="14591" width="10.125" style="214" bestFit="1" customWidth="1"/>
    <col min="14592" max="14592" width="9.375" style="214"/>
    <col min="14593" max="14593" width="10.125" style="214" bestFit="1" customWidth="1"/>
    <col min="14594" max="14594" width="10.75" style="214" customWidth="1"/>
    <col min="14595" max="14597" width="9.375" style="214"/>
    <col min="14598" max="14599" width="10.75" style="214" customWidth="1"/>
    <col min="14600" max="14604" width="9.375" style="214"/>
    <col min="14605" max="14605" width="1.625" style="214" bestFit="1" customWidth="1"/>
    <col min="14606" max="14606" width="9.375" style="214"/>
    <col min="14607" max="14607" width="8.875" style="214" customWidth="1"/>
    <col min="14608" max="14608" width="13.125" style="214" customWidth="1"/>
    <col min="14609" max="14609" width="9.375" style="214"/>
    <col min="14610" max="14610" width="9.875" style="214" customWidth="1"/>
    <col min="14611" max="14611" width="11.75" style="214" bestFit="1" customWidth="1"/>
    <col min="14612" max="14841" width="9.375" style="214"/>
    <col min="14842" max="14842" width="5" style="214" customWidth="1"/>
    <col min="14843" max="14843" width="17.875" style="214" bestFit="1" customWidth="1"/>
    <col min="14844" max="14844" width="9.875" style="214" customWidth="1"/>
    <col min="14845" max="14845" width="8.875" style="214" customWidth="1"/>
    <col min="14846" max="14846" width="7.375" style="214" bestFit="1" customWidth="1"/>
    <col min="14847" max="14847" width="10.125" style="214" bestFit="1" customWidth="1"/>
    <col min="14848" max="14848" width="9.375" style="214"/>
    <col min="14849" max="14849" width="10.125" style="214" bestFit="1" customWidth="1"/>
    <col min="14850" max="14850" width="10.75" style="214" customWidth="1"/>
    <col min="14851" max="14853" width="9.375" style="214"/>
    <col min="14854" max="14855" width="10.75" style="214" customWidth="1"/>
    <col min="14856" max="14860" width="9.375" style="214"/>
    <col min="14861" max="14861" width="1.625" style="214" bestFit="1" customWidth="1"/>
    <col min="14862" max="14862" width="9.375" style="214"/>
    <col min="14863" max="14863" width="8.875" style="214" customWidth="1"/>
    <col min="14864" max="14864" width="13.125" style="214" customWidth="1"/>
    <col min="14865" max="14865" width="9.375" style="214"/>
    <col min="14866" max="14866" width="9.875" style="214" customWidth="1"/>
    <col min="14867" max="14867" width="11.75" style="214" bestFit="1" customWidth="1"/>
    <col min="14868" max="15097" width="9.375" style="214"/>
    <col min="15098" max="15098" width="5" style="214" customWidth="1"/>
    <col min="15099" max="15099" width="17.875" style="214" bestFit="1" customWidth="1"/>
    <col min="15100" max="15100" width="9.875" style="214" customWidth="1"/>
    <col min="15101" max="15101" width="8.875" style="214" customWidth="1"/>
    <col min="15102" max="15102" width="7.375" style="214" bestFit="1" customWidth="1"/>
    <col min="15103" max="15103" width="10.125" style="214" bestFit="1" customWidth="1"/>
    <col min="15104" max="15104" width="9.375" style="214"/>
    <col min="15105" max="15105" width="10.125" style="214" bestFit="1" customWidth="1"/>
    <col min="15106" max="15106" width="10.75" style="214" customWidth="1"/>
    <col min="15107" max="15109" width="9.375" style="214"/>
    <col min="15110" max="15111" width="10.75" style="214" customWidth="1"/>
    <col min="15112" max="15116" width="9.375" style="214"/>
    <col min="15117" max="15117" width="1.625" style="214" bestFit="1" customWidth="1"/>
    <col min="15118" max="15118" width="9.375" style="214"/>
    <col min="15119" max="15119" width="8.875" style="214" customWidth="1"/>
    <col min="15120" max="15120" width="13.125" style="214" customWidth="1"/>
    <col min="15121" max="15121" width="9.375" style="214"/>
    <col min="15122" max="15122" width="9.875" style="214" customWidth="1"/>
    <col min="15123" max="15123" width="11.75" style="214" bestFit="1" customWidth="1"/>
    <col min="15124" max="15353" width="9.375" style="214"/>
    <col min="15354" max="15354" width="5" style="214" customWidth="1"/>
    <col min="15355" max="15355" width="17.875" style="214" bestFit="1" customWidth="1"/>
    <col min="15356" max="15356" width="9.875" style="214" customWidth="1"/>
    <col min="15357" max="15357" width="8.875" style="214" customWidth="1"/>
    <col min="15358" max="15358" width="7.375" style="214" bestFit="1" customWidth="1"/>
    <col min="15359" max="15359" width="10.125" style="214" bestFit="1" customWidth="1"/>
    <col min="15360" max="15360" width="9.375" style="214"/>
    <col min="15361" max="15361" width="10.125" style="214" bestFit="1" customWidth="1"/>
    <col min="15362" max="15362" width="10.75" style="214" customWidth="1"/>
    <col min="15363" max="15365" width="9.375" style="214"/>
    <col min="15366" max="15367" width="10.75" style="214" customWidth="1"/>
    <col min="15368" max="15372" width="9.375" style="214"/>
    <col min="15373" max="15373" width="1.625" style="214" bestFit="1" customWidth="1"/>
    <col min="15374" max="15374" width="9.375" style="214"/>
    <col min="15375" max="15375" width="8.875" style="214" customWidth="1"/>
    <col min="15376" max="15376" width="13.125" style="214" customWidth="1"/>
    <col min="15377" max="15377" width="9.375" style="214"/>
    <col min="15378" max="15378" width="9.875" style="214" customWidth="1"/>
    <col min="15379" max="15379" width="11.75" style="214" bestFit="1" customWidth="1"/>
    <col min="15380" max="15609" width="9.375" style="214"/>
    <col min="15610" max="15610" width="5" style="214" customWidth="1"/>
    <col min="15611" max="15611" width="17.875" style="214" bestFit="1" customWidth="1"/>
    <col min="15612" max="15612" width="9.875" style="214" customWidth="1"/>
    <col min="15613" max="15613" width="8.875" style="214" customWidth="1"/>
    <col min="15614" max="15614" width="7.375" style="214" bestFit="1" customWidth="1"/>
    <col min="15615" max="15615" width="10.125" style="214" bestFit="1" customWidth="1"/>
    <col min="15616" max="15616" width="9.375" style="214"/>
    <col min="15617" max="15617" width="10.125" style="214" bestFit="1" customWidth="1"/>
    <col min="15618" max="15618" width="10.75" style="214" customWidth="1"/>
    <col min="15619" max="15621" width="9.375" style="214"/>
    <col min="15622" max="15623" width="10.75" style="214" customWidth="1"/>
    <col min="15624" max="15628" width="9.375" style="214"/>
    <col min="15629" max="15629" width="1.625" style="214" bestFit="1" customWidth="1"/>
    <col min="15630" max="15630" width="9.375" style="214"/>
    <col min="15631" max="15631" width="8.875" style="214" customWidth="1"/>
    <col min="15632" max="15632" width="13.125" style="214" customWidth="1"/>
    <col min="15633" max="15633" width="9.375" style="214"/>
    <col min="15634" max="15634" width="9.875" style="214" customWidth="1"/>
    <col min="15635" max="15635" width="11.75" style="214" bestFit="1" customWidth="1"/>
    <col min="15636" max="15865" width="9.375" style="214"/>
    <col min="15866" max="15866" width="5" style="214" customWidth="1"/>
    <col min="15867" max="15867" width="17.875" style="214" bestFit="1" customWidth="1"/>
    <col min="15868" max="15868" width="9.875" style="214" customWidth="1"/>
    <col min="15869" max="15869" width="8.875" style="214" customWidth="1"/>
    <col min="15870" max="15870" width="7.375" style="214" bestFit="1" customWidth="1"/>
    <col min="15871" max="15871" width="10.125" style="214" bestFit="1" customWidth="1"/>
    <col min="15872" max="15872" width="9.375" style="214"/>
    <col min="15873" max="15873" width="10.125" style="214" bestFit="1" customWidth="1"/>
    <col min="15874" max="15874" width="10.75" style="214" customWidth="1"/>
    <col min="15875" max="15877" width="9.375" style="214"/>
    <col min="15878" max="15879" width="10.75" style="214" customWidth="1"/>
    <col min="15880" max="15884" width="9.375" style="214"/>
    <col min="15885" max="15885" width="1.625" style="214" bestFit="1" customWidth="1"/>
    <col min="15886" max="15886" width="9.375" style="214"/>
    <col min="15887" max="15887" width="8.875" style="214" customWidth="1"/>
    <col min="15888" max="15888" width="13.125" style="214" customWidth="1"/>
    <col min="15889" max="15889" width="9.375" style="214"/>
    <col min="15890" max="15890" width="9.875" style="214" customWidth="1"/>
    <col min="15891" max="15891" width="11.75" style="214" bestFit="1" customWidth="1"/>
    <col min="15892" max="16121" width="9.375" style="214"/>
    <col min="16122" max="16122" width="5" style="214" customWidth="1"/>
    <col min="16123" max="16123" width="17.875" style="214" bestFit="1" customWidth="1"/>
    <col min="16124" max="16124" width="9.875" style="214" customWidth="1"/>
    <col min="16125" max="16125" width="8.875" style="214" customWidth="1"/>
    <col min="16126" max="16126" width="7.375" style="214" bestFit="1" customWidth="1"/>
    <col min="16127" max="16127" width="10.125" style="214" bestFit="1" customWidth="1"/>
    <col min="16128" max="16128" width="9.375" style="214"/>
    <col min="16129" max="16129" width="10.125" style="214" bestFit="1" customWidth="1"/>
    <col min="16130" max="16130" width="10.75" style="214" customWidth="1"/>
    <col min="16131" max="16133" width="9.375" style="214"/>
    <col min="16134" max="16135" width="10.75" style="214" customWidth="1"/>
    <col min="16136" max="16140" width="9.375" style="214"/>
    <col min="16141" max="16141" width="1.625" style="214" bestFit="1" customWidth="1"/>
    <col min="16142" max="16142" width="9.375" style="214"/>
    <col min="16143" max="16143" width="8.875" style="214" customWidth="1"/>
    <col min="16144" max="16144" width="13.125" style="214" customWidth="1"/>
    <col min="16145" max="16145" width="9.375" style="214"/>
    <col min="16146" max="16146" width="9.875" style="214" customWidth="1"/>
    <col min="16147" max="16147" width="11.75" style="214" bestFit="1" customWidth="1"/>
    <col min="16148" max="16384" width="9.375" style="214"/>
  </cols>
  <sheetData>
    <row r="1" spans="1:22" s="43" customFormat="1" ht="21" x14ac:dyDescent="0.2">
      <c r="A1" s="203" t="s">
        <v>492</v>
      </c>
      <c r="B1" s="42"/>
      <c r="C1" s="42"/>
      <c r="D1" s="209"/>
      <c r="E1" s="209"/>
      <c r="F1" s="209"/>
      <c r="G1" s="209"/>
      <c r="H1" s="210"/>
      <c r="I1" s="210"/>
      <c r="J1" s="210"/>
      <c r="K1" s="210"/>
      <c r="L1" s="210"/>
      <c r="M1" s="210"/>
      <c r="O1" s="210"/>
      <c r="P1" s="211"/>
      <c r="Q1" s="56"/>
      <c r="R1" s="211"/>
      <c r="S1" s="211"/>
      <c r="T1" s="56"/>
      <c r="U1" s="56"/>
      <c r="V1" s="56"/>
    </row>
    <row r="2" spans="1:22" s="53" customFormat="1" ht="21" x14ac:dyDescent="0.35">
      <c r="A2" s="25" t="str">
        <f>Paramètres!B5</f>
        <v>Acomptes 2020</v>
      </c>
      <c r="P2" s="213"/>
      <c r="Q2" s="212"/>
      <c r="R2" s="213"/>
      <c r="S2" s="213"/>
      <c r="T2" s="212"/>
      <c r="U2" s="212"/>
      <c r="V2" s="212"/>
    </row>
    <row r="4" spans="1:22" s="226" customFormat="1" ht="120" x14ac:dyDescent="0.2">
      <c r="A4" s="533" t="s">
        <v>46</v>
      </c>
      <c r="B4" s="533" t="s">
        <v>96</v>
      </c>
      <c r="C4" s="533" t="s">
        <v>487</v>
      </c>
      <c r="D4" s="533" t="s">
        <v>304</v>
      </c>
      <c r="E4" s="533" t="s">
        <v>483</v>
      </c>
      <c r="F4" s="533" t="s">
        <v>488</v>
      </c>
      <c r="G4" s="533" t="s">
        <v>452</v>
      </c>
      <c r="H4" s="535" t="s">
        <v>341</v>
      </c>
      <c r="I4" s="229" t="s">
        <v>493</v>
      </c>
      <c r="J4" s="533" t="s">
        <v>537</v>
      </c>
      <c r="K4" s="533" t="s">
        <v>489</v>
      </c>
      <c r="L4" s="533" t="s">
        <v>490</v>
      </c>
      <c r="M4" s="533" t="s">
        <v>551</v>
      </c>
      <c r="N4" s="229" t="s">
        <v>550</v>
      </c>
      <c r="O4" s="533" t="s">
        <v>491</v>
      </c>
      <c r="P4" s="224"/>
      <c r="Q4" s="223"/>
      <c r="R4" s="224"/>
      <c r="S4" s="225"/>
      <c r="T4" s="223"/>
      <c r="U4" s="223"/>
      <c r="V4" s="223"/>
    </row>
    <row r="5" spans="1:22" s="226" customFormat="1" x14ac:dyDescent="0.2">
      <c r="A5" s="534"/>
      <c r="B5" s="534"/>
      <c r="C5" s="534"/>
      <c r="D5" s="534"/>
      <c r="E5" s="534"/>
      <c r="F5" s="534"/>
      <c r="G5" s="534"/>
      <c r="H5" s="536"/>
      <c r="I5" s="456">
        <f>Paramètres!B66</f>
        <v>2</v>
      </c>
      <c r="J5" s="534"/>
      <c r="K5" s="534"/>
      <c r="L5" s="534"/>
      <c r="M5" s="534"/>
      <c r="N5" s="455">
        <f>+N315/M315</f>
        <v>1.3253824378647487</v>
      </c>
      <c r="O5" s="534"/>
      <c r="P5" s="225"/>
      <c r="Q5" s="223"/>
      <c r="R5" s="225"/>
      <c r="S5" s="225"/>
      <c r="T5" s="223"/>
      <c r="U5" s="223"/>
      <c r="V5" s="223"/>
    </row>
    <row r="6" spans="1:22" x14ac:dyDescent="0.25">
      <c r="A6" s="309">
        <f>'A) Base RI'!A7</f>
        <v>5401</v>
      </c>
      <c r="B6" s="227" t="str">
        <f>'A) Base RI'!B7</f>
        <v>Aigle</v>
      </c>
      <c r="C6" s="243">
        <v>1</v>
      </c>
      <c r="D6" s="217">
        <f>'B) D RI'!AA7</f>
        <v>10134</v>
      </c>
      <c r="E6" s="218">
        <f>'B) D RI'!S7</f>
        <v>67.5</v>
      </c>
      <c r="F6" s="10">
        <f>'B) D RI'!R7</f>
        <v>17887301.988245256</v>
      </c>
      <c r="G6" s="10">
        <f>'B) D RI'!U7</f>
        <v>264997.06649252231</v>
      </c>
      <c r="H6" s="41">
        <f>'B) D RI'!T7</f>
        <v>15936563.971578589</v>
      </c>
      <c r="I6" s="54">
        <f>+H6/E6*$I$5</f>
        <v>472194.48804677301</v>
      </c>
      <c r="J6" s="86">
        <f>+$I$315/$D$315*D6</f>
        <v>839542.76886005141</v>
      </c>
      <c r="K6" s="54">
        <f t="shared" ref="K6:K69" si="0">IF(C6=1,0,IF(J6&gt;I6,I6,J6))</f>
        <v>0</v>
      </c>
      <c r="L6" s="54">
        <f>+J6-K6</f>
        <v>839542.76886005141</v>
      </c>
      <c r="M6" s="54">
        <f>'D) Ecrêtage'!C5</f>
        <v>264997.06649252231</v>
      </c>
      <c r="N6" s="54">
        <f t="shared" ref="N6:N37" si="1">+$N$5*M6</f>
        <v>351222.45801486616</v>
      </c>
      <c r="O6" s="100">
        <f>+N6+K6</f>
        <v>351222.45801486616</v>
      </c>
      <c r="P6" s="444"/>
      <c r="Q6" s="220"/>
      <c r="T6" s="221"/>
    </row>
    <row r="7" spans="1:22" x14ac:dyDescent="0.25">
      <c r="A7" s="310">
        <f>'A) Base RI'!A8</f>
        <v>5402</v>
      </c>
      <c r="B7" s="228" t="str">
        <f>'A) Base RI'!B8</f>
        <v>Bex</v>
      </c>
      <c r="C7" s="244">
        <v>1</v>
      </c>
      <c r="D7" s="217">
        <f>'B) D RI'!AA8</f>
        <v>7757</v>
      </c>
      <c r="E7" s="218">
        <f>'B) D RI'!S8</f>
        <v>71</v>
      </c>
      <c r="F7" s="10">
        <f>'B) D RI'!R8</f>
        <v>11897910.764899943</v>
      </c>
      <c r="G7" s="10">
        <f>'B) D RI'!U8</f>
        <v>167576.20795633722</v>
      </c>
      <c r="H7" s="41">
        <f>'B) D RI'!T8</f>
        <v>10551429.924899943</v>
      </c>
      <c r="I7" s="10">
        <f t="shared" ref="I7:I70" si="2">+H7/E7*$I$5</f>
        <v>297223.37816619559</v>
      </c>
      <c r="J7" s="31">
        <f t="shared" ref="J7:J37" si="3">+$I$315/$D$315*D7</f>
        <v>642622.18847912166</v>
      </c>
      <c r="K7" s="10">
        <f t="shared" si="0"/>
        <v>0</v>
      </c>
      <c r="L7" s="10">
        <f t="shared" ref="L7:L70" si="4">+J7-K7</f>
        <v>642622.18847912166</v>
      </c>
      <c r="M7" s="10">
        <f>'D) Ecrêtage'!C6</f>
        <v>167576.20795633722</v>
      </c>
      <c r="N7" s="10">
        <f t="shared" si="1"/>
        <v>222102.56302930033</v>
      </c>
      <c r="O7" s="55">
        <f t="shared" ref="O7:O69" si="5">+N7+K7</f>
        <v>222102.56302930033</v>
      </c>
      <c r="P7" s="219"/>
      <c r="Q7" s="220"/>
      <c r="T7" s="221"/>
    </row>
    <row r="8" spans="1:22" x14ac:dyDescent="0.25">
      <c r="A8" s="310">
        <f>'A) Base RI'!A9</f>
        <v>5403</v>
      </c>
      <c r="B8" s="228" t="str">
        <f>'A) Base RI'!B9</f>
        <v>Chessel</v>
      </c>
      <c r="C8" s="244">
        <v>0</v>
      </c>
      <c r="D8" s="217">
        <f>'B) D RI'!AA9</f>
        <v>426</v>
      </c>
      <c r="E8" s="218">
        <f>'B) D RI'!S9</f>
        <v>74</v>
      </c>
      <c r="F8" s="10">
        <f>'B) D RI'!R9</f>
        <v>746264.54618624109</v>
      </c>
      <c r="G8" s="10">
        <f>'B) D RI'!U9</f>
        <v>10084.656029543799</v>
      </c>
      <c r="H8" s="41">
        <f>'B) D RI'!T9</f>
        <v>686171.99618624104</v>
      </c>
      <c r="I8" s="10">
        <f t="shared" si="2"/>
        <v>18545.189086114624</v>
      </c>
      <c r="J8" s="31">
        <f t="shared" si="3"/>
        <v>35291.614321529691</v>
      </c>
      <c r="K8" s="10">
        <f t="shared" si="0"/>
        <v>18545.189086114624</v>
      </c>
      <c r="L8" s="10">
        <f t="shared" si="4"/>
        <v>16746.425235415067</v>
      </c>
      <c r="M8" s="10">
        <f>'D) Ecrêtage'!C7</f>
        <v>10084.656029543799</v>
      </c>
      <c r="N8" s="10">
        <f t="shared" si="1"/>
        <v>13366.025993464198</v>
      </c>
      <c r="O8" s="55">
        <f t="shared" si="5"/>
        <v>31911.215079578822</v>
      </c>
      <c r="P8" s="445"/>
      <c r="Q8" s="220"/>
      <c r="T8" s="221"/>
    </row>
    <row r="9" spans="1:22" x14ac:dyDescent="0.25">
      <c r="A9" s="310">
        <f>'A) Base RI'!A10</f>
        <v>5404</v>
      </c>
      <c r="B9" s="228" t="str">
        <f>'A) Base RI'!B10</f>
        <v>Corbeyrier</v>
      </c>
      <c r="C9" s="244">
        <v>0</v>
      </c>
      <c r="D9" s="217">
        <f>'B) D RI'!AA10</f>
        <v>438</v>
      </c>
      <c r="E9" s="218">
        <f>'B) D RI'!S10</f>
        <v>70</v>
      </c>
      <c r="F9" s="10">
        <f>'B) D RI'!R10</f>
        <v>832023.89085192955</v>
      </c>
      <c r="G9" s="10">
        <f>'B) D RI'!U10</f>
        <v>11886.055583598994</v>
      </c>
      <c r="H9" s="41">
        <f>'B) D RI'!T10</f>
        <v>752120.5741852629</v>
      </c>
      <c r="I9" s="10">
        <f t="shared" si="2"/>
        <v>21489.159262436082</v>
      </c>
      <c r="J9" s="31">
        <f t="shared" si="3"/>
        <v>36285.74430241785</v>
      </c>
      <c r="K9" s="10">
        <f t="shared" si="0"/>
        <v>21489.159262436082</v>
      </c>
      <c r="L9" s="10">
        <f t="shared" si="4"/>
        <v>14796.585039981768</v>
      </c>
      <c r="M9" s="10">
        <f>'D) Ecrêtage'!C8</f>
        <v>11886.055583598994</v>
      </c>
      <c r="N9" s="10">
        <f t="shared" si="1"/>
        <v>15753.569325986344</v>
      </c>
      <c r="O9" s="55">
        <f t="shared" si="5"/>
        <v>37242.728588422426</v>
      </c>
      <c r="P9" s="219"/>
      <c r="Q9" s="220"/>
      <c r="T9" s="221"/>
    </row>
    <row r="10" spans="1:22" x14ac:dyDescent="0.25">
      <c r="A10" s="310">
        <f>'A) Base RI'!A11</f>
        <v>5405</v>
      </c>
      <c r="B10" s="228" t="str">
        <f>'A) Base RI'!B11</f>
        <v>Gryon</v>
      </c>
      <c r="C10" s="244">
        <v>0</v>
      </c>
      <c r="D10" s="217">
        <f>'B) D RI'!AA11</f>
        <v>1332</v>
      </c>
      <c r="E10" s="218">
        <f>'B) D RI'!S11</f>
        <v>75</v>
      </c>
      <c r="F10" s="10">
        <f>'B) D RI'!R11</f>
        <v>5028299.8752701692</v>
      </c>
      <c r="G10" s="10">
        <f>'B) D RI'!U11</f>
        <v>67043.99833693559</v>
      </c>
      <c r="H10" s="41">
        <f>'B) D RI'!T11</f>
        <v>4510211.6586035024</v>
      </c>
      <c r="I10" s="10">
        <f t="shared" si="2"/>
        <v>120272.3108960934</v>
      </c>
      <c r="J10" s="31">
        <f t="shared" si="3"/>
        <v>110348.4278785858</v>
      </c>
      <c r="K10" s="10">
        <f t="shared" si="0"/>
        <v>110348.4278785858</v>
      </c>
      <c r="L10" s="10">
        <f t="shared" si="4"/>
        <v>0</v>
      </c>
      <c r="M10" s="10">
        <f>'D) Ecrêtage'!C9</f>
        <v>67043.99833693559</v>
      </c>
      <c r="N10" s="10">
        <f t="shared" si="1"/>
        <v>88858.937960007854</v>
      </c>
      <c r="O10" s="55">
        <f t="shared" si="5"/>
        <v>199207.36583859366</v>
      </c>
      <c r="P10" s="219"/>
      <c r="Q10" s="220"/>
      <c r="T10" s="221"/>
    </row>
    <row r="11" spans="1:22" x14ac:dyDescent="0.25">
      <c r="A11" s="310">
        <f>'A) Base RI'!A12</f>
        <v>5406</v>
      </c>
      <c r="B11" s="228" t="str">
        <f>'A) Base RI'!B12</f>
        <v>Lavey-Morcles</v>
      </c>
      <c r="C11" s="244">
        <v>0</v>
      </c>
      <c r="D11" s="217">
        <f>'B) D RI'!AA12</f>
        <v>946</v>
      </c>
      <c r="E11" s="218">
        <f>'B) D RI'!S12</f>
        <v>71</v>
      </c>
      <c r="F11" s="10">
        <f>'B) D RI'!R12</f>
        <v>1503952.6314543553</v>
      </c>
      <c r="G11" s="10">
        <f>'B) D RI'!U12</f>
        <v>21182.431428934582</v>
      </c>
      <c r="H11" s="41">
        <f>'B) D RI'!T12</f>
        <v>1349188.9737620475</v>
      </c>
      <c r="I11" s="10">
        <f t="shared" si="2"/>
        <v>38005.323204564716</v>
      </c>
      <c r="J11" s="31">
        <f t="shared" si="3"/>
        <v>78370.580160016645</v>
      </c>
      <c r="K11" s="10">
        <f t="shared" si="0"/>
        <v>38005.323204564716</v>
      </c>
      <c r="L11" s="10">
        <f t="shared" si="4"/>
        <v>40365.256955451929</v>
      </c>
      <c r="M11" s="10">
        <f>'D) Ecrêtage'!C10</f>
        <v>21182.431428934582</v>
      </c>
      <c r="N11" s="10">
        <f t="shared" si="1"/>
        <v>28074.822607184189</v>
      </c>
      <c r="O11" s="55">
        <f t="shared" si="5"/>
        <v>66080.145811748909</v>
      </c>
      <c r="P11" s="219"/>
      <c r="Q11" s="220"/>
      <c r="T11" s="221"/>
    </row>
    <row r="12" spans="1:22" x14ac:dyDescent="0.25">
      <c r="A12" s="310">
        <f>'A) Base RI'!A13</f>
        <v>5407</v>
      </c>
      <c r="B12" s="228" t="str">
        <f>'A) Base RI'!B13</f>
        <v>Leysin</v>
      </c>
      <c r="C12" s="244">
        <v>0</v>
      </c>
      <c r="D12" s="217">
        <f>'B) D RI'!AA13</f>
        <v>3939</v>
      </c>
      <c r="E12" s="218">
        <f>'B) D RI'!S13</f>
        <v>78</v>
      </c>
      <c r="F12" s="10">
        <f>'B) D RI'!R13</f>
        <v>6848404.106407973</v>
      </c>
      <c r="G12" s="10">
        <f>'B) D RI'!U13</f>
        <v>87800.052646256067</v>
      </c>
      <c r="H12" s="41">
        <f>'B) D RI'!T13</f>
        <v>5983103.9730746401</v>
      </c>
      <c r="I12" s="10">
        <f t="shared" si="2"/>
        <v>153412.92238652924</v>
      </c>
      <c r="J12" s="31">
        <f t="shared" si="3"/>
        <v>326323.16622653865</v>
      </c>
      <c r="K12" s="10">
        <f t="shared" si="0"/>
        <v>153412.92238652924</v>
      </c>
      <c r="L12" s="10">
        <f t="shared" si="4"/>
        <v>172910.24384000941</v>
      </c>
      <c r="M12" s="10">
        <f>'D) Ecrêtage'!C11</f>
        <v>87800.052646256067</v>
      </c>
      <c r="N12" s="10">
        <f t="shared" si="1"/>
        <v>116368.64782094814</v>
      </c>
      <c r="O12" s="55">
        <f t="shared" si="5"/>
        <v>269781.57020747737</v>
      </c>
      <c r="P12" s="219"/>
      <c r="Q12" s="220"/>
      <c r="T12" s="221"/>
    </row>
    <row r="13" spans="1:22" x14ac:dyDescent="0.25">
      <c r="A13" s="310">
        <f>'A) Base RI'!A14</f>
        <v>5408</v>
      </c>
      <c r="B13" s="228" t="str">
        <f>'A) Base RI'!B14</f>
        <v>Noville</v>
      </c>
      <c r="C13" s="244">
        <v>0</v>
      </c>
      <c r="D13" s="217">
        <f>'B) D RI'!AA14</f>
        <v>1113</v>
      </c>
      <c r="E13" s="218">
        <f>'B) D RI'!S14</f>
        <v>78.5</v>
      </c>
      <c r="F13" s="10">
        <f>'B) D RI'!R14</f>
        <v>2707079.5177057795</v>
      </c>
      <c r="G13" s="10">
        <f>'B) D RI'!U14</f>
        <v>34485.089397525851</v>
      </c>
      <c r="H13" s="41">
        <f>'B) D RI'!T14</f>
        <v>2503138.7010391126</v>
      </c>
      <c r="I13" s="10">
        <f t="shared" si="2"/>
        <v>63774.234421378664</v>
      </c>
      <c r="J13" s="31">
        <f t="shared" si="3"/>
        <v>92205.555727376865</v>
      </c>
      <c r="K13" s="10">
        <f t="shared" si="0"/>
        <v>63774.234421378664</v>
      </c>
      <c r="L13" s="10">
        <f t="shared" si="4"/>
        <v>28431.321305998201</v>
      </c>
      <c r="M13" s="10">
        <f>'D) Ecrêtage'!C12</f>
        <v>34485.089397525851</v>
      </c>
      <c r="N13" s="10">
        <f t="shared" si="1"/>
        <v>45705.931855676616</v>
      </c>
      <c r="O13" s="55">
        <f t="shared" si="5"/>
        <v>109480.16627705528</v>
      </c>
      <c r="P13" s="219"/>
      <c r="Q13" s="220"/>
      <c r="T13" s="221"/>
    </row>
    <row r="14" spans="1:22" x14ac:dyDescent="0.25">
      <c r="A14" s="310">
        <f>'A) Base RI'!A15</f>
        <v>5409</v>
      </c>
      <c r="B14" s="228" t="str">
        <f>'A) Base RI'!B15</f>
        <v>Ollon</v>
      </c>
      <c r="C14" s="244">
        <v>1</v>
      </c>
      <c r="D14" s="217">
        <f>'B) D RI'!AA15</f>
        <v>7461</v>
      </c>
      <c r="E14" s="218">
        <f>'B) D RI'!S15</f>
        <v>68</v>
      </c>
      <c r="F14" s="10">
        <f>'B) D RI'!R15</f>
        <v>24768313.365007352</v>
      </c>
      <c r="G14" s="10">
        <f>'B) D RI'!U15</f>
        <v>364239.90242657869</v>
      </c>
      <c r="H14" s="41">
        <f>'B) D RI'!T15</f>
        <v>21495540.141930427</v>
      </c>
      <c r="I14" s="10">
        <f t="shared" si="2"/>
        <v>632221.76888030674</v>
      </c>
      <c r="J14" s="31">
        <f t="shared" si="3"/>
        <v>618100.31561721372</v>
      </c>
      <c r="K14" s="10">
        <f t="shared" si="0"/>
        <v>0</v>
      </c>
      <c r="L14" s="10">
        <f t="shared" si="4"/>
        <v>618100.31561721372</v>
      </c>
      <c r="M14" s="10">
        <f>'D) Ecrêtage'!C13</f>
        <v>364239.90242657869</v>
      </c>
      <c r="N14" s="10">
        <f t="shared" si="1"/>
        <v>482757.16984575707</v>
      </c>
      <c r="O14" s="55">
        <f t="shared" si="5"/>
        <v>482757.16984575707</v>
      </c>
      <c r="P14" s="219"/>
      <c r="Q14" s="220"/>
      <c r="T14" s="221"/>
    </row>
    <row r="15" spans="1:22" x14ac:dyDescent="0.25">
      <c r="A15" s="310">
        <f>'A) Base RI'!A16</f>
        <v>5410</v>
      </c>
      <c r="B15" s="228" t="str">
        <f>'A) Base RI'!B16</f>
        <v>Ormont-Dessous</v>
      </c>
      <c r="C15" s="244">
        <v>0</v>
      </c>
      <c r="D15" s="217">
        <f>'B) D RI'!AA16</f>
        <v>1121</v>
      </c>
      <c r="E15" s="218">
        <f>'B) D RI'!S16</f>
        <v>78.5</v>
      </c>
      <c r="F15" s="10">
        <f>'B) D RI'!R16</f>
        <v>3391506.7569526401</v>
      </c>
      <c r="G15" s="10">
        <f>'B) D RI'!U16</f>
        <v>43203.907731880769</v>
      </c>
      <c r="H15" s="41">
        <f>'B) D RI'!T16</f>
        <v>3013800.90695264</v>
      </c>
      <c r="I15" s="10">
        <f t="shared" si="2"/>
        <v>76784.736482869805</v>
      </c>
      <c r="J15" s="31">
        <f t="shared" si="3"/>
        <v>92868.309047968971</v>
      </c>
      <c r="K15" s="10">
        <f t="shared" si="0"/>
        <v>76784.736482869805</v>
      </c>
      <c r="L15" s="10">
        <f t="shared" si="4"/>
        <v>16083.572565099166</v>
      </c>
      <c r="M15" s="10">
        <f>'D) Ecrêtage'!C14</f>
        <v>43203.907731880769</v>
      </c>
      <c r="N15" s="10">
        <f t="shared" si="1"/>
        <v>57261.700554963798</v>
      </c>
      <c r="O15" s="55">
        <f t="shared" si="5"/>
        <v>134046.43703783362</v>
      </c>
      <c r="P15" s="219"/>
      <c r="Q15" s="220"/>
      <c r="T15" s="221"/>
    </row>
    <row r="16" spans="1:22" s="215" customFormat="1" x14ac:dyDescent="0.25">
      <c r="A16" s="310">
        <f>'A) Base RI'!A17</f>
        <v>5411</v>
      </c>
      <c r="B16" s="228" t="str">
        <f>'A) Base RI'!B17</f>
        <v>Ormont-Dessus</v>
      </c>
      <c r="C16" s="244">
        <v>0</v>
      </c>
      <c r="D16" s="217">
        <f>'B) D RI'!AA17</f>
        <v>1446</v>
      </c>
      <c r="E16" s="218">
        <f>'B) D RI'!S17</f>
        <v>76</v>
      </c>
      <c r="F16" s="10">
        <f>'B) D RI'!R17</f>
        <v>5518420.6737532793</v>
      </c>
      <c r="G16" s="10">
        <f>'B) D RI'!U17</f>
        <v>72610.798338858935</v>
      </c>
      <c r="H16" s="41">
        <f>'B) D RI'!T17</f>
        <v>4709496.4237532793</v>
      </c>
      <c r="I16" s="10">
        <f t="shared" si="2"/>
        <v>123934.11641455998</v>
      </c>
      <c r="J16" s="31">
        <f t="shared" si="3"/>
        <v>119792.66269702332</v>
      </c>
      <c r="K16" s="10">
        <f t="shared" si="0"/>
        <v>119792.66269702332</v>
      </c>
      <c r="L16" s="10">
        <f t="shared" si="4"/>
        <v>0</v>
      </c>
      <c r="M16" s="10">
        <f>'D) Ecrêtage'!C15</f>
        <v>72610.798338858935</v>
      </c>
      <c r="N16" s="10">
        <f t="shared" si="1"/>
        <v>96237.076917662504</v>
      </c>
      <c r="O16" s="55">
        <f t="shared" si="5"/>
        <v>216029.73961468582</v>
      </c>
      <c r="P16" s="219"/>
      <c r="Q16" s="220"/>
      <c r="R16" s="216"/>
      <c r="S16" s="216"/>
      <c r="T16" s="221"/>
    </row>
    <row r="17" spans="1:20" s="215" customFormat="1" x14ac:dyDescent="0.25">
      <c r="A17" s="310">
        <f>'A) Base RI'!A18</f>
        <v>5412</v>
      </c>
      <c r="B17" s="228" t="str">
        <f>'A) Base RI'!B18</f>
        <v>Rennaz</v>
      </c>
      <c r="C17" s="244">
        <v>0</v>
      </c>
      <c r="D17" s="217">
        <f>'B) D RI'!AA18</f>
        <v>826</v>
      </c>
      <c r="E17" s="218">
        <f>'B) D RI'!S18</f>
        <v>67.5</v>
      </c>
      <c r="F17" s="10">
        <f>'B) D RI'!R18</f>
        <v>1786465.6519068354</v>
      </c>
      <c r="G17" s="10">
        <f>'B) D RI'!U18</f>
        <v>26466.15780602719</v>
      </c>
      <c r="H17" s="41">
        <f>'B) D RI'!T18</f>
        <v>1520152.0519068355</v>
      </c>
      <c r="I17" s="10">
        <f t="shared" si="2"/>
        <v>45041.542278721055</v>
      </c>
      <c r="J17" s="31">
        <f t="shared" si="3"/>
        <v>68429.280351135036</v>
      </c>
      <c r="K17" s="10">
        <f t="shared" si="0"/>
        <v>45041.542278721055</v>
      </c>
      <c r="L17" s="10">
        <f t="shared" si="4"/>
        <v>23387.73807241398</v>
      </c>
      <c r="M17" s="10">
        <f>'D) Ecrêtage'!C16</f>
        <v>26466.15780602719</v>
      </c>
      <c r="N17" s="10">
        <f t="shared" si="1"/>
        <v>35077.780753865467</v>
      </c>
      <c r="O17" s="55">
        <f t="shared" si="5"/>
        <v>80119.323032586515</v>
      </c>
      <c r="P17" s="219"/>
      <c r="Q17" s="220"/>
      <c r="R17" s="216"/>
      <c r="S17" s="216"/>
      <c r="T17" s="221"/>
    </row>
    <row r="18" spans="1:20" s="215" customFormat="1" x14ac:dyDescent="0.25">
      <c r="A18" s="310">
        <f>'A) Base RI'!A19</f>
        <v>5413</v>
      </c>
      <c r="B18" s="228" t="str">
        <f>'A) Base RI'!B19</f>
        <v>Roche</v>
      </c>
      <c r="C18" s="244">
        <v>0</v>
      </c>
      <c r="D18" s="217">
        <f>'B) D RI'!AA19</f>
        <v>1775</v>
      </c>
      <c r="E18" s="218">
        <f>'B) D RI'!S19</f>
        <v>68</v>
      </c>
      <c r="F18" s="10">
        <f>'B) D RI'!R19</f>
        <v>2583346.214656807</v>
      </c>
      <c r="G18" s="10">
        <f>'B) D RI'!U19</f>
        <v>37990.385509658925</v>
      </c>
      <c r="H18" s="41">
        <f>'B) D RI'!T19</f>
        <v>2304716.8646568074</v>
      </c>
      <c r="I18" s="10">
        <f t="shared" si="2"/>
        <v>67785.790136964919</v>
      </c>
      <c r="J18" s="31">
        <f t="shared" si="3"/>
        <v>147048.39300637372</v>
      </c>
      <c r="K18" s="10">
        <f t="shared" si="0"/>
        <v>67785.790136964919</v>
      </c>
      <c r="L18" s="10">
        <f t="shared" si="4"/>
        <v>79262.602869408802</v>
      </c>
      <c r="M18" s="10">
        <f>'D) Ecrêtage'!C17</f>
        <v>37990.385509658925</v>
      </c>
      <c r="N18" s="10">
        <f t="shared" si="1"/>
        <v>50351.789762213368</v>
      </c>
      <c r="O18" s="55">
        <f t="shared" si="5"/>
        <v>118137.57989917829</v>
      </c>
      <c r="P18" s="219"/>
      <c r="Q18" s="220"/>
      <c r="R18" s="216"/>
      <c r="S18" s="216"/>
      <c r="T18" s="221"/>
    </row>
    <row r="19" spans="1:20" s="215" customFormat="1" x14ac:dyDescent="0.25">
      <c r="A19" s="310">
        <f>'A) Base RI'!A20</f>
        <v>5414</v>
      </c>
      <c r="B19" s="228" t="str">
        <f>'A) Base RI'!B20</f>
        <v>Villeneuve</v>
      </c>
      <c r="C19" s="244">
        <v>0</v>
      </c>
      <c r="D19" s="217">
        <f>'B) D RI'!AA20</f>
        <v>5771</v>
      </c>
      <c r="E19" s="218">
        <f>'B) D RI'!S20</f>
        <v>69</v>
      </c>
      <c r="F19" s="10">
        <f>'B) D RI'!R20</f>
        <v>11422630.40298561</v>
      </c>
      <c r="G19" s="10">
        <f>'B) D RI'!U20</f>
        <v>165545.36815921174</v>
      </c>
      <c r="H19" s="41">
        <f>'B) D RI'!T20</f>
        <v>10071538.352985611</v>
      </c>
      <c r="I19" s="10">
        <f t="shared" si="2"/>
        <v>291928.64791262639</v>
      </c>
      <c r="J19" s="31">
        <f t="shared" si="3"/>
        <v>478093.67664213112</v>
      </c>
      <c r="K19" s="10">
        <f t="shared" si="0"/>
        <v>291928.64791262639</v>
      </c>
      <c r="L19" s="10">
        <f t="shared" si="4"/>
        <v>186165.02872950473</v>
      </c>
      <c r="M19" s="10">
        <f>'D) Ecrêtage'!C18</f>
        <v>165545.36815921174</v>
      </c>
      <c r="N19" s="10">
        <f t="shared" si="1"/>
        <v>219410.92362807339</v>
      </c>
      <c r="O19" s="55">
        <f t="shared" si="5"/>
        <v>511339.57154069981</v>
      </c>
      <c r="P19" s="219"/>
      <c r="Q19" s="220"/>
      <c r="R19" s="216"/>
      <c r="S19" s="216"/>
      <c r="T19" s="221"/>
    </row>
    <row r="20" spans="1:20" s="215" customFormat="1" x14ac:dyDescent="0.25">
      <c r="A20" s="310">
        <f>'A) Base RI'!A21</f>
        <v>5415</v>
      </c>
      <c r="B20" s="228" t="str">
        <f>'A) Base RI'!B21</f>
        <v>Yvorne</v>
      </c>
      <c r="C20" s="244">
        <v>0</v>
      </c>
      <c r="D20" s="217">
        <f>'B) D RI'!AA21</f>
        <v>1066</v>
      </c>
      <c r="E20" s="218">
        <f>'B) D RI'!S21</f>
        <v>71.5</v>
      </c>
      <c r="F20" s="10">
        <f>'B) D RI'!R21</f>
        <v>2385564.4383572345</v>
      </c>
      <c r="G20" s="10">
        <f>'B) D RI'!U21</f>
        <v>33364.537599401883</v>
      </c>
      <c r="H20" s="41">
        <f>'B) D RI'!T21</f>
        <v>2170712.4883572343</v>
      </c>
      <c r="I20" s="10">
        <f t="shared" si="2"/>
        <v>60719.230443558998</v>
      </c>
      <c r="J20" s="31">
        <f t="shared" si="3"/>
        <v>88311.87996889824</v>
      </c>
      <c r="K20" s="10">
        <f t="shared" si="0"/>
        <v>60719.230443558998</v>
      </c>
      <c r="L20" s="10">
        <f t="shared" si="4"/>
        <v>27592.649525339242</v>
      </c>
      <c r="M20" s="10">
        <f>'D) Ecrêtage'!C19</f>
        <v>33364.537599401883</v>
      </c>
      <c r="N20" s="10">
        <f t="shared" si="1"/>
        <v>44220.77218172534</v>
      </c>
      <c r="O20" s="55">
        <f t="shared" si="5"/>
        <v>104940.00262528434</v>
      </c>
      <c r="P20" s="219"/>
      <c r="Q20" s="220"/>
      <c r="R20" s="216"/>
      <c r="S20" s="216"/>
      <c r="T20" s="221"/>
    </row>
    <row r="21" spans="1:20" s="215" customFormat="1" x14ac:dyDescent="0.25">
      <c r="A21" s="310">
        <f>'A) Base RI'!A22</f>
        <v>5421</v>
      </c>
      <c r="B21" s="228" t="str">
        <f>'A) Base RI'!B22</f>
        <v>Apples</v>
      </c>
      <c r="C21" s="244">
        <v>0</v>
      </c>
      <c r="D21" s="217">
        <f>'B) D RI'!AA22</f>
        <v>1469</v>
      </c>
      <c r="E21" s="218">
        <f>'B) D RI'!S22</f>
        <v>76</v>
      </c>
      <c r="F21" s="10">
        <f>'B) D RI'!R22</f>
        <v>5090121.6197948521</v>
      </c>
      <c r="G21" s="10">
        <f>'B) D RI'!U22</f>
        <v>66975.284470984901</v>
      </c>
      <c r="H21" s="41">
        <f>'B) D RI'!T22</f>
        <v>4787938.1197948521</v>
      </c>
      <c r="I21" s="10">
        <f t="shared" si="2"/>
        <v>125998.37157354873</v>
      </c>
      <c r="J21" s="31">
        <f t="shared" si="3"/>
        <v>121698.07849372562</v>
      </c>
      <c r="K21" s="10">
        <f t="shared" si="0"/>
        <v>121698.07849372562</v>
      </c>
      <c r="L21" s="10">
        <f t="shared" si="4"/>
        <v>0</v>
      </c>
      <c r="M21" s="10">
        <f>'D) Ecrêtage'!C20</f>
        <v>66975.284470984901</v>
      </c>
      <c r="N21" s="10">
        <f t="shared" si="1"/>
        <v>88767.865808839022</v>
      </c>
      <c r="O21" s="55">
        <f t="shared" si="5"/>
        <v>210465.94430256466</v>
      </c>
      <c r="P21" s="219"/>
      <c r="Q21" s="220"/>
      <c r="R21" s="216"/>
      <c r="S21" s="216"/>
      <c r="T21" s="221"/>
    </row>
    <row r="22" spans="1:20" s="215" customFormat="1" x14ac:dyDescent="0.25">
      <c r="A22" s="310">
        <f>'A) Base RI'!A23</f>
        <v>5422</v>
      </c>
      <c r="B22" s="228" t="str">
        <f>'A) Base RI'!B23</f>
        <v>Aubonne</v>
      </c>
      <c r="C22" s="244">
        <v>0</v>
      </c>
      <c r="D22" s="217">
        <f>'B) D RI'!AA23</f>
        <v>3242</v>
      </c>
      <c r="E22" s="218">
        <f>'B) D RI'!S23</f>
        <v>68</v>
      </c>
      <c r="F22" s="10">
        <f>'B) D RI'!R23</f>
        <v>15338529.974117873</v>
      </c>
      <c r="G22" s="10">
        <f>'B) D RI'!U23</f>
        <v>225566.61726643931</v>
      </c>
      <c r="H22" s="41">
        <f>'B) D RI'!T23</f>
        <v>14208675.514117874</v>
      </c>
      <c r="I22" s="10">
        <f t="shared" si="2"/>
        <v>417902.22100346687</v>
      </c>
      <c r="J22" s="31">
        <f t="shared" si="3"/>
        <v>268580.78316995129</v>
      </c>
      <c r="K22" s="10">
        <f t="shared" si="0"/>
        <v>268580.78316995129</v>
      </c>
      <c r="L22" s="10">
        <f t="shared" si="4"/>
        <v>0</v>
      </c>
      <c r="M22" s="10">
        <f>'D) Ecrêtage'!C21</f>
        <v>225566.61726643931</v>
      </c>
      <c r="N22" s="10">
        <f t="shared" si="1"/>
        <v>298962.03309349803</v>
      </c>
      <c r="O22" s="55">
        <f t="shared" si="5"/>
        <v>567542.81626344938</v>
      </c>
      <c r="P22" s="219"/>
      <c r="Q22" s="220"/>
      <c r="R22" s="216"/>
      <c r="S22" s="216"/>
      <c r="T22" s="221"/>
    </row>
    <row r="23" spans="1:20" s="215" customFormat="1" x14ac:dyDescent="0.25">
      <c r="A23" s="310">
        <f>'A) Base RI'!A24</f>
        <v>5423</v>
      </c>
      <c r="B23" s="228" t="str">
        <f>'A) Base RI'!B24</f>
        <v>Ballens</v>
      </c>
      <c r="C23" s="244">
        <v>0</v>
      </c>
      <c r="D23" s="217">
        <f>'B) D RI'!AA24</f>
        <v>536</v>
      </c>
      <c r="E23" s="218">
        <f>'B) D RI'!S24</f>
        <v>73</v>
      </c>
      <c r="F23" s="10">
        <f>'B) D RI'!R24</f>
        <v>988918.91059761471</v>
      </c>
      <c r="G23" s="10">
        <f>'B) D RI'!U24</f>
        <v>13546.834391748147</v>
      </c>
      <c r="H23" s="41">
        <f>'B) D RI'!T24</f>
        <v>908498.86059761466</v>
      </c>
      <c r="I23" s="10">
        <f t="shared" si="2"/>
        <v>24890.379742400401</v>
      </c>
      <c r="J23" s="31">
        <f t="shared" si="3"/>
        <v>44404.47247967116</v>
      </c>
      <c r="K23" s="10">
        <f t="shared" si="0"/>
        <v>24890.379742400401</v>
      </c>
      <c r="L23" s="10">
        <f t="shared" si="4"/>
        <v>19514.092737270759</v>
      </c>
      <c r="M23" s="10">
        <f>'D) Ecrêtage'!C22</f>
        <v>13546.834391748147</v>
      </c>
      <c r="N23" s="10">
        <f t="shared" si="1"/>
        <v>17954.736391485181</v>
      </c>
      <c r="O23" s="55">
        <f t="shared" si="5"/>
        <v>42845.116133885582</v>
      </c>
      <c r="P23" s="219"/>
      <c r="Q23" s="220"/>
      <c r="R23" s="216"/>
      <c r="S23" s="216"/>
      <c r="T23" s="221"/>
    </row>
    <row r="24" spans="1:20" s="215" customFormat="1" x14ac:dyDescent="0.25">
      <c r="A24" s="310">
        <f>'A) Base RI'!A25</f>
        <v>5424</v>
      </c>
      <c r="B24" s="228" t="str">
        <f>'A) Base RI'!B25</f>
        <v>Berolle</v>
      </c>
      <c r="C24" s="244">
        <v>0</v>
      </c>
      <c r="D24" s="217">
        <f>'B) D RI'!AA25</f>
        <v>307</v>
      </c>
      <c r="E24" s="218">
        <f>'B) D RI'!S25</f>
        <v>77</v>
      </c>
      <c r="F24" s="10">
        <f>'B) D RI'!R25</f>
        <v>716684.66784485558</v>
      </c>
      <c r="G24" s="10">
        <f>'B) D RI'!U25</f>
        <v>9307.5930888942275</v>
      </c>
      <c r="H24" s="41">
        <f>'B) D RI'!T25</f>
        <v>666577.66784485558</v>
      </c>
      <c r="I24" s="10">
        <f t="shared" si="2"/>
        <v>17313.705658307936</v>
      </c>
      <c r="J24" s="31">
        <f t="shared" si="3"/>
        <v>25433.158677722102</v>
      </c>
      <c r="K24" s="10">
        <f t="shared" si="0"/>
        <v>17313.705658307936</v>
      </c>
      <c r="L24" s="10">
        <f t="shared" si="4"/>
        <v>8119.4530194141662</v>
      </c>
      <c r="M24" s="10">
        <f>'D) Ecrêtage'!C23</f>
        <v>9307.5930888942275</v>
      </c>
      <c r="N24" s="10">
        <f t="shared" si="1"/>
        <v>12336.120418811719</v>
      </c>
      <c r="O24" s="55">
        <f t="shared" si="5"/>
        <v>29649.826077119655</v>
      </c>
      <c r="P24" s="219"/>
      <c r="Q24" s="220"/>
      <c r="R24" s="216"/>
      <c r="S24" s="216"/>
      <c r="T24" s="221"/>
    </row>
    <row r="25" spans="1:20" s="215" customFormat="1" x14ac:dyDescent="0.25">
      <c r="A25" s="310">
        <f>'A) Base RI'!A26</f>
        <v>5425</v>
      </c>
      <c r="B25" s="228" t="str">
        <f>'A) Base RI'!B26</f>
        <v>Bière</v>
      </c>
      <c r="C25" s="244">
        <v>0</v>
      </c>
      <c r="D25" s="217">
        <f>'B) D RI'!AA26</f>
        <v>1595</v>
      </c>
      <c r="E25" s="218">
        <f>'B) D RI'!S26</f>
        <v>70</v>
      </c>
      <c r="F25" s="10">
        <f>'B) D RI'!R26</f>
        <v>2695474.3046425912</v>
      </c>
      <c r="G25" s="10">
        <f>'B) D RI'!U26</f>
        <v>38506.775780608448</v>
      </c>
      <c r="H25" s="41">
        <f>'B) D RI'!T26</f>
        <v>2482241.1460219016</v>
      </c>
      <c r="I25" s="10">
        <f t="shared" si="2"/>
        <v>70921.175600625764</v>
      </c>
      <c r="J25" s="31">
        <f t="shared" si="3"/>
        <v>132136.4432930513</v>
      </c>
      <c r="K25" s="10">
        <f t="shared" si="0"/>
        <v>70921.175600625764</v>
      </c>
      <c r="L25" s="10">
        <f t="shared" si="4"/>
        <v>61215.267692425536</v>
      </c>
      <c r="M25" s="10">
        <f>'D) Ecrêtage'!C24</f>
        <v>38506.775780608448</v>
      </c>
      <c r="N25" s="10">
        <f t="shared" si="1"/>
        <v>51036.204358414092</v>
      </c>
      <c r="O25" s="55">
        <f t="shared" si="5"/>
        <v>121957.37995903986</v>
      </c>
      <c r="P25" s="219"/>
      <c r="Q25" s="220"/>
      <c r="R25" s="216"/>
      <c r="S25" s="216"/>
      <c r="T25" s="221"/>
    </row>
    <row r="26" spans="1:20" s="215" customFormat="1" x14ac:dyDescent="0.25">
      <c r="A26" s="310">
        <f>'A) Base RI'!A27</f>
        <v>5426</v>
      </c>
      <c r="B26" s="228" t="str">
        <f>'A) Base RI'!B27</f>
        <v>Bougy-Villars</v>
      </c>
      <c r="C26" s="244">
        <v>0</v>
      </c>
      <c r="D26" s="217">
        <f>'B) D RI'!AA27</f>
        <v>490</v>
      </c>
      <c r="E26" s="218">
        <f>'B) D RI'!S27</f>
        <v>66</v>
      </c>
      <c r="F26" s="10">
        <f>'B) D RI'!R27</f>
        <v>3343334.7560617584</v>
      </c>
      <c r="G26" s="10">
        <f>'B) D RI'!U27</f>
        <v>50656.587213056948</v>
      </c>
      <c r="H26" s="41">
        <f>'B) D RI'!T27</f>
        <v>3093463.6643950921</v>
      </c>
      <c r="I26" s="10">
        <f t="shared" si="2"/>
        <v>93741.323163487643</v>
      </c>
      <c r="J26" s="31">
        <f t="shared" si="3"/>
        <v>40593.640886266548</v>
      </c>
      <c r="K26" s="10">
        <f t="shared" si="0"/>
        <v>40593.640886266548</v>
      </c>
      <c r="L26" s="10">
        <f t="shared" si="4"/>
        <v>0</v>
      </c>
      <c r="M26" s="10">
        <f>'D) Ecrêtage'!C25</f>
        <v>50656.587213056948</v>
      </c>
      <c r="N26" s="10">
        <f t="shared" si="1"/>
        <v>67139.351054349681</v>
      </c>
      <c r="O26" s="55">
        <f t="shared" si="5"/>
        <v>107732.99194061622</v>
      </c>
      <c r="P26" s="219"/>
      <c r="Q26" s="220"/>
      <c r="R26" s="216"/>
      <c r="S26" s="216"/>
      <c r="T26" s="221"/>
    </row>
    <row r="27" spans="1:20" s="215" customFormat="1" x14ac:dyDescent="0.25">
      <c r="A27" s="310">
        <f>'A) Base RI'!A28</f>
        <v>5427</v>
      </c>
      <c r="B27" s="228" t="str">
        <f>'A) Base RI'!B28</f>
        <v>Féchy</v>
      </c>
      <c r="C27" s="244">
        <v>0</v>
      </c>
      <c r="D27" s="217">
        <f>'B) D RI'!AA28</f>
        <v>860</v>
      </c>
      <c r="E27" s="218">
        <f>'B) D RI'!S28</f>
        <v>64</v>
      </c>
      <c r="F27" s="10">
        <f>'B) D RI'!R28</f>
        <v>4658264.7722514002</v>
      </c>
      <c r="G27" s="10">
        <f>'B) D RI'!U28</f>
        <v>72785.387066428128</v>
      </c>
      <c r="H27" s="41">
        <f>'B) D RI'!T28</f>
        <v>4309732.995328323</v>
      </c>
      <c r="I27" s="10">
        <f t="shared" si="2"/>
        <v>134679.15610401009</v>
      </c>
      <c r="J27" s="31">
        <f t="shared" si="3"/>
        <v>71245.981963651488</v>
      </c>
      <c r="K27" s="10">
        <f t="shared" si="0"/>
        <v>71245.981963651488</v>
      </c>
      <c r="L27" s="10">
        <f t="shared" si="4"/>
        <v>0</v>
      </c>
      <c r="M27" s="10">
        <f>'D) Ecrêtage'!C26</f>
        <v>72785.387066428128</v>
      </c>
      <c r="N27" s="10">
        <f t="shared" si="1"/>
        <v>96468.473751031866</v>
      </c>
      <c r="O27" s="55">
        <f t="shared" si="5"/>
        <v>167714.45571468334</v>
      </c>
      <c r="P27" s="219"/>
      <c r="Q27" s="220"/>
      <c r="R27" s="216"/>
      <c r="S27" s="216"/>
      <c r="T27" s="221"/>
    </row>
    <row r="28" spans="1:20" s="215" customFormat="1" x14ac:dyDescent="0.25">
      <c r="A28" s="310">
        <f>'A) Base RI'!A29</f>
        <v>5428</v>
      </c>
      <c r="B28" s="228" t="str">
        <f>'A) Base RI'!B29</f>
        <v>Gimel</v>
      </c>
      <c r="C28" s="244">
        <v>0</v>
      </c>
      <c r="D28" s="217">
        <f>'B) D RI'!AA29</f>
        <v>2186</v>
      </c>
      <c r="E28" s="218">
        <f>'B) D RI'!S29</f>
        <v>71.5</v>
      </c>
      <c r="F28" s="10">
        <f>'B) D RI'!R29</f>
        <v>4212074.6653713025</v>
      </c>
      <c r="G28" s="10">
        <f>'B) D RI'!U29</f>
        <v>58910.135180018216</v>
      </c>
      <c r="H28" s="41">
        <f>'B) D RI'!T29</f>
        <v>3864716.9653713028</v>
      </c>
      <c r="I28" s="10">
        <f t="shared" si="2"/>
        <v>108103.97105933714</v>
      </c>
      <c r="J28" s="31">
        <f t="shared" si="3"/>
        <v>181097.3448517932</v>
      </c>
      <c r="K28" s="10">
        <f t="shared" si="0"/>
        <v>108103.97105933714</v>
      </c>
      <c r="L28" s="10">
        <f t="shared" si="4"/>
        <v>72993.373792456056</v>
      </c>
      <c r="M28" s="10">
        <f>'D) Ecrêtage'!C27</f>
        <v>58910.135180018216</v>
      </c>
      <c r="N28" s="10">
        <f t="shared" si="1"/>
        <v>78078.458579834449</v>
      </c>
      <c r="O28" s="55">
        <f t="shared" si="5"/>
        <v>186182.42963917158</v>
      </c>
      <c r="P28" s="219"/>
      <c r="Q28" s="220"/>
      <c r="R28" s="216"/>
      <c r="S28" s="216"/>
      <c r="T28" s="221"/>
    </row>
    <row r="29" spans="1:20" s="215" customFormat="1" x14ac:dyDescent="0.25">
      <c r="A29" s="310">
        <f>'A) Base RI'!A30</f>
        <v>5429</v>
      </c>
      <c r="B29" s="228" t="str">
        <f>'A) Base RI'!B30</f>
        <v>Longirod</v>
      </c>
      <c r="C29" s="244">
        <v>0</v>
      </c>
      <c r="D29" s="217">
        <f>'B) D RI'!AA30</f>
        <v>478</v>
      </c>
      <c r="E29" s="218">
        <f>'B) D RI'!S30</f>
        <v>81</v>
      </c>
      <c r="F29" s="10">
        <f>'B) D RI'!R30</f>
        <v>1115109.5247413465</v>
      </c>
      <c r="G29" s="10">
        <f>'B) D RI'!U30</f>
        <v>13766.784256066006</v>
      </c>
      <c r="H29" s="41">
        <f>'B) D RI'!T30</f>
        <v>1017556.3247413465</v>
      </c>
      <c r="I29" s="10">
        <f t="shared" si="2"/>
        <v>25124.847524477693</v>
      </c>
      <c r="J29" s="31">
        <f t="shared" si="3"/>
        <v>39599.510905378389</v>
      </c>
      <c r="K29" s="10">
        <f t="shared" si="0"/>
        <v>25124.847524477693</v>
      </c>
      <c r="L29" s="10">
        <f t="shared" si="4"/>
        <v>14474.663380900696</v>
      </c>
      <c r="M29" s="10">
        <f>'D) Ecrêtage'!C28</f>
        <v>13766.784256066006</v>
      </c>
      <c r="N29" s="10">
        <f t="shared" si="1"/>
        <v>18246.254078862807</v>
      </c>
      <c r="O29" s="55">
        <f t="shared" si="5"/>
        <v>43371.101603340503</v>
      </c>
      <c r="P29" s="219"/>
      <c r="Q29" s="220"/>
      <c r="R29" s="216"/>
      <c r="S29" s="216"/>
      <c r="T29" s="221"/>
    </row>
    <row r="30" spans="1:20" s="215" customFormat="1" x14ac:dyDescent="0.25">
      <c r="A30" s="310">
        <f>'A) Base RI'!A31</f>
        <v>5430</v>
      </c>
      <c r="B30" s="228" t="str">
        <f>'A) Base RI'!B31</f>
        <v>Marchissy</v>
      </c>
      <c r="C30" s="244">
        <v>0</v>
      </c>
      <c r="D30" s="217">
        <f>'B) D RI'!AA31</f>
        <v>463</v>
      </c>
      <c r="E30" s="218">
        <f>'B) D RI'!S31</f>
        <v>79</v>
      </c>
      <c r="F30" s="10">
        <f>'B) D RI'!R31</f>
        <v>1081189.7393033912</v>
      </c>
      <c r="G30" s="10">
        <f>'B) D RI'!U31</f>
        <v>13685.946067131534</v>
      </c>
      <c r="H30" s="41">
        <f>'B) D RI'!T31</f>
        <v>995306.93930339126</v>
      </c>
      <c r="I30" s="10">
        <f t="shared" si="2"/>
        <v>25197.644032997247</v>
      </c>
      <c r="J30" s="31">
        <f t="shared" si="3"/>
        <v>38356.84842926819</v>
      </c>
      <c r="K30" s="10">
        <f t="shared" si="0"/>
        <v>25197.644032997247</v>
      </c>
      <c r="L30" s="10">
        <f t="shared" si="4"/>
        <v>13159.204396270943</v>
      </c>
      <c r="M30" s="10">
        <f>'D) Ecrêtage'!C29</f>
        <v>13685.946067131534</v>
      </c>
      <c r="N30" s="10">
        <f t="shared" si="1"/>
        <v>18139.112562940263</v>
      </c>
      <c r="O30" s="55">
        <f t="shared" si="5"/>
        <v>43336.756595937506</v>
      </c>
      <c r="P30" s="219"/>
      <c r="Q30" s="220"/>
      <c r="R30" s="216"/>
      <c r="S30" s="216"/>
      <c r="T30" s="221"/>
    </row>
    <row r="31" spans="1:20" s="215" customFormat="1" x14ac:dyDescent="0.25">
      <c r="A31" s="310">
        <f>'A) Base RI'!A32</f>
        <v>5431</v>
      </c>
      <c r="B31" s="228" t="str">
        <f>'A) Base RI'!B32</f>
        <v>Mollens</v>
      </c>
      <c r="C31" s="244">
        <v>0</v>
      </c>
      <c r="D31" s="217">
        <f>'B) D RI'!AA32</f>
        <v>283</v>
      </c>
      <c r="E31" s="218">
        <f>'B) D RI'!S32</f>
        <v>74</v>
      </c>
      <c r="F31" s="10">
        <f>'B) D RI'!R32</f>
        <v>638696.93226819264</v>
      </c>
      <c r="G31" s="10">
        <f>'B) D RI'!U32</f>
        <v>8631.0396252458468</v>
      </c>
      <c r="H31" s="41">
        <f>'B) D RI'!T32</f>
        <v>590183.28226819262</v>
      </c>
      <c r="I31" s="10">
        <f t="shared" si="2"/>
        <v>15950.899520761963</v>
      </c>
      <c r="J31" s="31">
        <f t="shared" si="3"/>
        <v>23444.898715945783</v>
      </c>
      <c r="K31" s="10">
        <f t="shared" si="0"/>
        <v>15950.899520761963</v>
      </c>
      <c r="L31" s="10">
        <f t="shared" si="4"/>
        <v>7493.9991951838201</v>
      </c>
      <c r="M31" s="10">
        <f>'D) Ecrêtage'!C30</f>
        <v>8631.0396252458468</v>
      </c>
      <c r="N31" s="10">
        <f t="shared" si="1"/>
        <v>11439.428339815588</v>
      </c>
      <c r="O31" s="55">
        <f t="shared" si="5"/>
        <v>27390.327860577549</v>
      </c>
      <c r="P31" s="219"/>
      <c r="Q31" s="220"/>
      <c r="R31" s="216"/>
      <c r="S31" s="216"/>
      <c r="T31" s="221"/>
    </row>
    <row r="32" spans="1:20" s="215" customFormat="1" x14ac:dyDescent="0.25">
      <c r="A32" s="310">
        <f>'A) Base RI'!A33</f>
        <v>5432</v>
      </c>
      <c r="B32" s="228" t="str">
        <f>'A) Base RI'!B33</f>
        <v>Montherod</v>
      </c>
      <c r="C32" s="244">
        <v>0</v>
      </c>
      <c r="D32" s="217">
        <f>'B) D RI'!AA33</f>
        <v>536</v>
      </c>
      <c r="E32" s="218">
        <f>'B) D RI'!S33</f>
        <v>78</v>
      </c>
      <c r="F32" s="10">
        <f>'B) D RI'!R33</f>
        <v>1413343.1618032299</v>
      </c>
      <c r="G32" s="10">
        <f>'B) D RI'!U33</f>
        <v>18119.784125682436</v>
      </c>
      <c r="H32" s="41">
        <f>'B) D RI'!T33</f>
        <v>1313782.7618032298</v>
      </c>
      <c r="I32" s="10">
        <f t="shared" si="2"/>
        <v>33686.7374821341</v>
      </c>
      <c r="J32" s="31">
        <f t="shared" si="3"/>
        <v>44404.47247967116</v>
      </c>
      <c r="K32" s="10">
        <f t="shared" si="0"/>
        <v>33686.7374821341</v>
      </c>
      <c r="L32" s="10">
        <f t="shared" si="4"/>
        <v>10717.73499753706</v>
      </c>
      <c r="M32" s="10">
        <f>'D) Ecrêtage'!C31</f>
        <v>18119.784125682436</v>
      </c>
      <c r="N32" s="10">
        <f t="shared" si="1"/>
        <v>24015.64365807996</v>
      </c>
      <c r="O32" s="55">
        <f t="shared" si="5"/>
        <v>57702.381140214056</v>
      </c>
      <c r="P32" s="219"/>
      <c r="Q32" s="220"/>
      <c r="R32" s="216"/>
      <c r="S32" s="216"/>
      <c r="T32" s="221"/>
    </row>
    <row r="33" spans="1:20" s="215" customFormat="1" x14ac:dyDescent="0.25">
      <c r="A33" s="310">
        <f>'A) Base RI'!A34</f>
        <v>5434</v>
      </c>
      <c r="B33" s="228" t="str">
        <f>'A) Base RI'!B34</f>
        <v>Saint-George</v>
      </c>
      <c r="C33" s="244">
        <v>0</v>
      </c>
      <c r="D33" s="217">
        <f>'B) D RI'!AA34</f>
        <v>1031</v>
      </c>
      <c r="E33" s="218">
        <f>'B) D RI'!S34</f>
        <v>71</v>
      </c>
      <c r="F33" s="10">
        <f>'B) D RI'!R34</f>
        <v>2603849.8198651867</v>
      </c>
      <c r="G33" s="10">
        <f>'B) D RI'!U34</f>
        <v>36673.941124861783</v>
      </c>
      <c r="H33" s="41">
        <f>'B) D RI'!T34</f>
        <v>2377966.3198651867</v>
      </c>
      <c r="I33" s="10">
        <f t="shared" si="2"/>
        <v>66984.966756765818</v>
      </c>
      <c r="J33" s="31">
        <f t="shared" si="3"/>
        <v>85412.334191307775</v>
      </c>
      <c r="K33" s="10">
        <f t="shared" si="0"/>
        <v>66984.966756765818</v>
      </c>
      <c r="L33" s="10">
        <f t="shared" si="4"/>
        <v>18427.367434541957</v>
      </c>
      <c r="M33" s="10">
        <f>'D) Ecrêtage'!C32</f>
        <v>36673.941124861783</v>
      </c>
      <c r="N33" s="10">
        <f t="shared" si="1"/>
        <v>48606.997494177573</v>
      </c>
      <c r="O33" s="55">
        <f t="shared" si="5"/>
        <v>115591.96425094339</v>
      </c>
      <c r="P33" s="219"/>
      <c r="Q33" s="220"/>
      <c r="R33" s="216"/>
      <c r="S33" s="216"/>
      <c r="T33" s="221"/>
    </row>
    <row r="34" spans="1:20" s="215" customFormat="1" x14ac:dyDescent="0.25">
      <c r="A34" s="310">
        <f>'A) Base RI'!A35</f>
        <v>5435</v>
      </c>
      <c r="B34" s="228" t="str">
        <f>'A) Base RI'!B35</f>
        <v>Saint-Livres</v>
      </c>
      <c r="C34" s="244">
        <v>0</v>
      </c>
      <c r="D34" s="217">
        <f>'B) D RI'!AA35</f>
        <v>690</v>
      </c>
      <c r="E34" s="218">
        <f>'B) D RI'!S35</f>
        <v>69</v>
      </c>
      <c r="F34" s="10">
        <f>'B) D RI'!R35</f>
        <v>1665267.9111555836</v>
      </c>
      <c r="G34" s="10">
        <f>'B) D RI'!U35</f>
        <v>24134.317552979472</v>
      </c>
      <c r="H34" s="41">
        <f>'B) D RI'!T35</f>
        <v>1542708.9111555836</v>
      </c>
      <c r="I34" s="10">
        <f t="shared" si="2"/>
        <v>44716.200323350247</v>
      </c>
      <c r="J34" s="31">
        <f t="shared" si="3"/>
        <v>57162.473901069221</v>
      </c>
      <c r="K34" s="10">
        <f t="shared" si="0"/>
        <v>44716.200323350247</v>
      </c>
      <c r="L34" s="10">
        <f t="shared" si="4"/>
        <v>12446.273577718974</v>
      </c>
      <c r="M34" s="10">
        <f>'D) Ecrêtage'!C33</f>
        <v>24134.317552979472</v>
      </c>
      <c r="N34" s="10">
        <f t="shared" si="1"/>
        <v>31987.20063456993</v>
      </c>
      <c r="O34" s="55">
        <f t="shared" si="5"/>
        <v>76703.400957920181</v>
      </c>
      <c r="P34" s="219"/>
      <c r="Q34" s="220"/>
      <c r="R34" s="216"/>
      <c r="S34" s="216"/>
      <c r="T34" s="221"/>
    </row>
    <row r="35" spans="1:20" s="215" customFormat="1" x14ac:dyDescent="0.25">
      <c r="A35" s="310">
        <f>'A) Base RI'!A36</f>
        <v>5436</v>
      </c>
      <c r="B35" s="228" t="str">
        <f>'A) Base RI'!B36</f>
        <v>Saint-Oyens</v>
      </c>
      <c r="C35" s="244">
        <v>0</v>
      </c>
      <c r="D35" s="217">
        <f>'B) D RI'!AA36</f>
        <v>448</v>
      </c>
      <c r="E35" s="218">
        <f>'B) D RI'!S36</f>
        <v>81</v>
      </c>
      <c r="F35" s="10">
        <f>'B) D RI'!R36</f>
        <v>1221586.7039421992</v>
      </c>
      <c r="G35" s="10">
        <f>'B) D RI'!U36</f>
        <v>15081.317332619743</v>
      </c>
      <c r="H35" s="41">
        <f>'B) D RI'!T36</f>
        <v>1153597.8914421992</v>
      </c>
      <c r="I35" s="10">
        <f t="shared" si="2"/>
        <v>28483.898554128376</v>
      </c>
      <c r="J35" s="31">
        <f t="shared" si="3"/>
        <v>37114.185953157983</v>
      </c>
      <c r="K35" s="10">
        <f t="shared" si="0"/>
        <v>28483.898554128376</v>
      </c>
      <c r="L35" s="10">
        <f t="shared" si="4"/>
        <v>8630.2873990296066</v>
      </c>
      <c r="M35" s="10">
        <f>'D) Ecrêtage'!C34</f>
        <v>15081.317332619743</v>
      </c>
      <c r="N35" s="10">
        <f t="shared" si="1"/>
        <v>19988.513132519445</v>
      </c>
      <c r="O35" s="55">
        <f t="shared" si="5"/>
        <v>48472.411686647822</v>
      </c>
      <c r="P35" s="219"/>
      <c r="Q35" s="220"/>
      <c r="R35" s="216"/>
      <c r="S35" s="216"/>
      <c r="T35" s="221"/>
    </row>
    <row r="36" spans="1:20" s="215" customFormat="1" x14ac:dyDescent="0.25">
      <c r="A36" s="310">
        <f>'A) Base RI'!A37</f>
        <v>5437</v>
      </c>
      <c r="B36" s="228" t="str">
        <f>'A) Base RI'!B37</f>
        <v>Saubraz</v>
      </c>
      <c r="C36" s="244">
        <v>0</v>
      </c>
      <c r="D36" s="217">
        <f>'B) D RI'!AA37</f>
        <v>418</v>
      </c>
      <c r="E36" s="218">
        <f>'B) D RI'!S37</f>
        <v>80</v>
      </c>
      <c r="F36" s="10">
        <f>'B) D RI'!R37</f>
        <v>909403.15549929254</v>
      </c>
      <c r="G36" s="10">
        <f>'B) D RI'!U37</f>
        <v>11367.539443741156</v>
      </c>
      <c r="H36" s="41">
        <f>'B) D RI'!T37</f>
        <v>844127.55549929256</v>
      </c>
      <c r="I36" s="10">
        <f t="shared" si="2"/>
        <v>21103.188887482313</v>
      </c>
      <c r="J36" s="31">
        <f t="shared" si="3"/>
        <v>34628.861000937584</v>
      </c>
      <c r="K36" s="10">
        <f t="shared" si="0"/>
        <v>21103.188887482313</v>
      </c>
      <c r="L36" s="10">
        <f t="shared" si="4"/>
        <v>13525.672113455272</v>
      </c>
      <c r="M36" s="10">
        <f>'D) Ecrêtage'!C35</f>
        <v>11367.539443741156</v>
      </c>
      <c r="N36" s="10">
        <f t="shared" si="1"/>
        <v>15066.337140469343</v>
      </c>
      <c r="O36" s="55">
        <f t="shared" si="5"/>
        <v>36169.526027951651</v>
      </c>
      <c r="P36" s="219"/>
      <c r="Q36" s="220"/>
      <c r="R36" s="216"/>
      <c r="S36" s="216"/>
      <c r="T36" s="221"/>
    </row>
    <row r="37" spans="1:20" s="215" customFormat="1" x14ac:dyDescent="0.25">
      <c r="A37" s="310">
        <f>'A) Base RI'!A38</f>
        <v>5451</v>
      </c>
      <c r="B37" s="228" t="str">
        <f>'A) Base RI'!B38</f>
        <v>Avenches</v>
      </c>
      <c r="C37" s="244">
        <v>0</v>
      </c>
      <c r="D37" s="217">
        <f>'B) D RI'!AA38</f>
        <v>4282</v>
      </c>
      <c r="E37" s="218">
        <f>'B) D RI'!S38</f>
        <v>68</v>
      </c>
      <c r="F37" s="10">
        <f>'B) D RI'!R38</f>
        <v>8803963.8787059151</v>
      </c>
      <c r="G37" s="10">
        <f>'B) D RI'!U38</f>
        <v>129470.05703979287</v>
      </c>
      <c r="H37" s="41">
        <f>'B) D RI'!T38</f>
        <v>7774643.9620392481</v>
      </c>
      <c r="I37" s="10">
        <f t="shared" si="2"/>
        <v>228665.9988835073</v>
      </c>
      <c r="J37" s="31">
        <f t="shared" si="3"/>
        <v>354738.71484692523</v>
      </c>
      <c r="K37" s="10">
        <f t="shared" si="0"/>
        <v>228665.9988835073</v>
      </c>
      <c r="L37" s="10">
        <f t="shared" si="4"/>
        <v>126072.71596341793</v>
      </c>
      <c r="M37" s="10">
        <f>'D) Ecrêtage'!C36</f>
        <v>129470.05703979287</v>
      </c>
      <c r="N37" s="10">
        <f t="shared" si="1"/>
        <v>171597.33982988875</v>
      </c>
      <c r="O37" s="55">
        <f t="shared" si="5"/>
        <v>400263.33871339605</v>
      </c>
      <c r="P37" s="219"/>
      <c r="Q37" s="220"/>
      <c r="R37" s="216"/>
      <c r="S37" s="216"/>
      <c r="T37" s="221"/>
    </row>
    <row r="38" spans="1:20" s="215" customFormat="1" x14ac:dyDescent="0.25">
      <c r="A38" s="310">
        <f>'A) Base RI'!A39</f>
        <v>5456</v>
      </c>
      <c r="B38" s="228" t="str">
        <f>'A) Base RI'!B39</f>
        <v>Cudrefin</v>
      </c>
      <c r="C38" s="244">
        <v>0</v>
      </c>
      <c r="D38" s="217">
        <f>'B) D RI'!AA39</f>
        <v>1633</v>
      </c>
      <c r="E38" s="218">
        <f>'B) D RI'!S39</f>
        <v>59</v>
      </c>
      <c r="F38" s="10">
        <f>'B) D RI'!R39</f>
        <v>3408749.1875146939</v>
      </c>
      <c r="G38" s="10">
        <f>'B) D RI'!U39</f>
        <v>57775.409957876167</v>
      </c>
      <c r="H38" s="41">
        <f>'B) D RI'!T39</f>
        <v>3090243.1375146941</v>
      </c>
      <c r="I38" s="10">
        <f t="shared" si="2"/>
        <v>104754.00466151505</v>
      </c>
      <c r="J38" s="31">
        <f t="shared" ref="J38:J69" si="6">+$I$315/$D$315*D38</f>
        <v>135284.5215658638</v>
      </c>
      <c r="K38" s="10">
        <f t="shared" si="0"/>
        <v>104754.00466151505</v>
      </c>
      <c r="L38" s="10">
        <f t="shared" si="4"/>
        <v>30530.516904348755</v>
      </c>
      <c r="M38" s="10">
        <f>'D) Ecrêtage'!C37</f>
        <v>57775.409957876167</v>
      </c>
      <c r="N38" s="10">
        <f t="shared" ref="N38:N69" si="7">+$N$5*M38</f>
        <v>76574.513698605195</v>
      </c>
      <c r="O38" s="55">
        <f t="shared" si="5"/>
        <v>181328.51836012024</v>
      </c>
      <c r="P38" s="219"/>
      <c r="Q38" s="220"/>
      <c r="R38" s="216"/>
      <c r="S38" s="216"/>
      <c r="T38" s="221"/>
    </row>
    <row r="39" spans="1:20" s="215" customFormat="1" x14ac:dyDescent="0.25">
      <c r="A39" s="310">
        <f>'A) Base RI'!A40</f>
        <v>5458</v>
      </c>
      <c r="B39" s="228" t="str">
        <f>'A) Base RI'!B40</f>
        <v>Faoug</v>
      </c>
      <c r="C39" s="244">
        <v>0</v>
      </c>
      <c r="D39" s="217">
        <f>'B) D RI'!AA40</f>
        <v>904</v>
      </c>
      <c r="E39" s="218">
        <f>'B) D RI'!S40</f>
        <v>64</v>
      </c>
      <c r="F39" s="10">
        <f>'B) D RI'!R40</f>
        <v>1921730.459970138</v>
      </c>
      <c r="G39" s="10">
        <f>'B) D RI'!U40</f>
        <v>30027.038437033407</v>
      </c>
      <c r="H39" s="41">
        <f>'B) D RI'!T40</f>
        <v>1741284.159970138</v>
      </c>
      <c r="I39" s="10">
        <f t="shared" si="2"/>
        <v>54415.129999066812</v>
      </c>
      <c r="J39" s="31">
        <f t="shared" si="6"/>
        <v>74891.125226908072</v>
      </c>
      <c r="K39" s="10">
        <f t="shared" si="0"/>
        <v>54415.129999066812</v>
      </c>
      <c r="L39" s="10">
        <f t="shared" si="4"/>
        <v>20475.99522784126</v>
      </c>
      <c r="M39" s="10">
        <f>'D) Ecrêtage'!C38</f>
        <v>30027.038437033407</v>
      </c>
      <c r="N39" s="10">
        <f t="shared" si="7"/>
        <v>39797.309405533852</v>
      </c>
      <c r="O39" s="55">
        <f t="shared" si="5"/>
        <v>94212.439404600664</v>
      </c>
      <c r="P39" s="219"/>
      <c r="Q39" s="220"/>
      <c r="R39" s="216"/>
      <c r="S39" s="216"/>
      <c r="T39" s="221"/>
    </row>
    <row r="40" spans="1:20" s="215" customFormat="1" x14ac:dyDescent="0.25">
      <c r="A40" s="310">
        <f>'A) Base RI'!A41</f>
        <v>5464</v>
      </c>
      <c r="B40" s="228" t="str">
        <f>'A) Base RI'!B41</f>
        <v>Vully-les-Lacs</v>
      </c>
      <c r="C40" s="244">
        <v>0</v>
      </c>
      <c r="D40" s="217">
        <f>'B) D RI'!AA41</f>
        <v>3163</v>
      </c>
      <c r="E40" s="218">
        <f>'B) D RI'!S41</f>
        <v>67</v>
      </c>
      <c r="F40" s="10">
        <f>'B) D RI'!R41</f>
        <v>6947720.9189847242</v>
      </c>
      <c r="G40" s="10">
        <f>'B) D RI'!U41</f>
        <v>103697.32714902573</v>
      </c>
      <c r="H40" s="41">
        <f>'B) D RI'!T41</f>
        <v>6298362.2689847238</v>
      </c>
      <c r="I40" s="10">
        <f t="shared" si="2"/>
        <v>188010.81399954399</v>
      </c>
      <c r="J40" s="31">
        <f t="shared" si="6"/>
        <v>262036.09412910425</v>
      </c>
      <c r="K40" s="10">
        <f t="shared" si="0"/>
        <v>188010.81399954399</v>
      </c>
      <c r="L40" s="10">
        <f t="shared" si="4"/>
        <v>74025.280129560269</v>
      </c>
      <c r="M40" s="10">
        <f>'D) Ecrêtage'!C39</f>
        <v>103697.32714902573</v>
      </c>
      <c r="N40" s="10">
        <f t="shared" si="7"/>
        <v>137438.61625683412</v>
      </c>
      <c r="O40" s="55">
        <f t="shared" si="5"/>
        <v>325449.43025637814</v>
      </c>
      <c r="P40" s="219"/>
      <c r="Q40" s="220"/>
      <c r="R40" s="216"/>
      <c r="S40" s="216"/>
      <c r="T40" s="221"/>
    </row>
    <row r="41" spans="1:20" s="215" customFormat="1" x14ac:dyDescent="0.25">
      <c r="A41" s="310">
        <f>'A) Base RI'!A42</f>
        <v>5471</v>
      </c>
      <c r="B41" s="228" t="str">
        <f>'A) Base RI'!B42</f>
        <v>Bettens</v>
      </c>
      <c r="C41" s="244">
        <v>0</v>
      </c>
      <c r="D41" s="217">
        <f>'B) D RI'!AA42</f>
        <v>592</v>
      </c>
      <c r="E41" s="218">
        <f>'B) D RI'!S42</f>
        <v>70</v>
      </c>
      <c r="F41" s="10">
        <f>'B) D RI'!R42</f>
        <v>1277975.5858229361</v>
      </c>
      <c r="G41" s="10">
        <f>'B) D RI'!U42</f>
        <v>18256.794083184803</v>
      </c>
      <c r="H41" s="41">
        <f>'B) D RI'!T42</f>
        <v>1157084.3080451584</v>
      </c>
      <c r="I41" s="10">
        <f t="shared" si="2"/>
        <v>33059.551658433098</v>
      </c>
      <c r="J41" s="31">
        <f t="shared" si="6"/>
        <v>49043.745723815911</v>
      </c>
      <c r="K41" s="10">
        <f t="shared" si="0"/>
        <v>33059.551658433098</v>
      </c>
      <c r="L41" s="10">
        <f t="shared" si="4"/>
        <v>15984.194065382813</v>
      </c>
      <c r="M41" s="10">
        <f>'D) Ecrêtage'!C40</f>
        <v>18256.794083184803</v>
      </c>
      <c r="N41" s="10">
        <f t="shared" si="7"/>
        <v>24197.234249566194</v>
      </c>
      <c r="O41" s="55">
        <f t="shared" si="5"/>
        <v>57256.785907999292</v>
      </c>
      <c r="P41" s="219"/>
      <c r="Q41" s="220"/>
      <c r="R41" s="216"/>
      <c r="S41" s="216"/>
      <c r="T41" s="221"/>
    </row>
    <row r="42" spans="1:20" s="215" customFormat="1" x14ac:dyDescent="0.25">
      <c r="A42" s="310">
        <f>'A) Base RI'!A43</f>
        <v>5472</v>
      </c>
      <c r="B42" s="228" t="str">
        <f>'A) Base RI'!B43</f>
        <v>Bournens</v>
      </c>
      <c r="C42" s="244">
        <v>0</v>
      </c>
      <c r="D42" s="217">
        <f>'B) D RI'!AA43</f>
        <v>404</v>
      </c>
      <c r="E42" s="218">
        <f>'B) D RI'!S43</f>
        <v>76</v>
      </c>
      <c r="F42" s="10">
        <f>'B) D RI'!R43</f>
        <v>1249900.3739200097</v>
      </c>
      <c r="G42" s="10">
        <f>'B) D RI'!U43</f>
        <v>16446.057551579073</v>
      </c>
      <c r="H42" s="41">
        <f>'B) D RI'!T43</f>
        <v>1160109.2239200098</v>
      </c>
      <c r="I42" s="10">
        <f t="shared" si="2"/>
        <v>30529.190103158151</v>
      </c>
      <c r="J42" s="31">
        <f t="shared" si="6"/>
        <v>33469.042689901398</v>
      </c>
      <c r="K42" s="10">
        <f t="shared" si="0"/>
        <v>30529.190103158151</v>
      </c>
      <c r="L42" s="10">
        <f t="shared" si="4"/>
        <v>2939.8525867432472</v>
      </c>
      <c r="M42" s="10">
        <f>'D) Ecrêtage'!C41</f>
        <v>16446.057551579073</v>
      </c>
      <c r="N42" s="10">
        <f t="shared" si="7"/>
        <v>21797.315850975832</v>
      </c>
      <c r="O42" s="55">
        <f t="shared" si="5"/>
        <v>52326.505954133987</v>
      </c>
      <c r="P42" s="219"/>
      <c r="Q42" s="220"/>
      <c r="R42" s="216"/>
      <c r="S42" s="216"/>
      <c r="T42" s="221"/>
    </row>
    <row r="43" spans="1:20" s="215" customFormat="1" x14ac:dyDescent="0.25">
      <c r="A43" s="310">
        <f>'A) Base RI'!A44</f>
        <v>5473</v>
      </c>
      <c r="B43" s="228" t="str">
        <f>'A) Base RI'!B44</f>
        <v>Boussens</v>
      </c>
      <c r="C43" s="244">
        <v>0</v>
      </c>
      <c r="D43" s="217">
        <f>'B) D RI'!AA44</f>
        <v>968</v>
      </c>
      <c r="E43" s="218">
        <f>'B) D RI'!S44</f>
        <v>69</v>
      </c>
      <c r="F43" s="10">
        <f>'B) D RI'!R44</f>
        <v>2467836.8918690309</v>
      </c>
      <c r="G43" s="10">
        <f>'B) D RI'!U44</f>
        <v>35765.75205607291</v>
      </c>
      <c r="H43" s="41">
        <f>'B) D RI'!T44</f>
        <v>2287521.5918690306</v>
      </c>
      <c r="I43" s="10">
        <f t="shared" si="2"/>
        <v>66304.973677363203</v>
      </c>
      <c r="J43" s="31">
        <f t="shared" si="6"/>
        <v>80193.151791644937</v>
      </c>
      <c r="K43" s="10">
        <f t="shared" si="0"/>
        <v>66304.973677363203</v>
      </c>
      <c r="L43" s="10">
        <f t="shared" si="4"/>
        <v>13888.178114281734</v>
      </c>
      <c r="M43" s="10">
        <f>'D) Ecrêtage'!C42</f>
        <v>35765.75205607291</v>
      </c>
      <c r="N43" s="10">
        <f t="shared" si="7"/>
        <v>47403.299652144065</v>
      </c>
      <c r="O43" s="55">
        <f t="shared" si="5"/>
        <v>113708.27332950727</v>
      </c>
      <c r="P43" s="219"/>
      <c r="Q43" s="220"/>
      <c r="R43" s="216"/>
      <c r="S43" s="216"/>
      <c r="T43" s="221"/>
    </row>
    <row r="44" spans="1:20" s="215" customFormat="1" x14ac:dyDescent="0.25">
      <c r="A44" s="310">
        <f>'A) Base RI'!A45</f>
        <v>5474</v>
      </c>
      <c r="B44" s="228" t="str">
        <f>'A) Base RI'!B45</f>
        <v>La Chaux (Cossonay)</v>
      </c>
      <c r="C44" s="244">
        <v>0</v>
      </c>
      <c r="D44" s="217">
        <f>'B) D RI'!AA45</f>
        <v>410</v>
      </c>
      <c r="E44" s="218">
        <f>'B) D RI'!S45</f>
        <v>77</v>
      </c>
      <c r="F44" s="10">
        <f>'B) D RI'!R45</f>
        <v>998865.91985810513</v>
      </c>
      <c r="G44" s="10">
        <f>'B) D RI'!U45</f>
        <v>12972.284673481885</v>
      </c>
      <c r="H44" s="41">
        <f>'B) D RI'!T45</f>
        <v>927280.83652477176</v>
      </c>
      <c r="I44" s="10">
        <f t="shared" si="2"/>
        <v>24085.216533110954</v>
      </c>
      <c r="J44" s="31">
        <f t="shared" si="6"/>
        <v>33966.107680345478</v>
      </c>
      <c r="K44" s="10">
        <f t="shared" si="0"/>
        <v>24085.216533110954</v>
      </c>
      <c r="L44" s="10">
        <f t="shared" si="4"/>
        <v>9880.8911472345244</v>
      </c>
      <c r="M44" s="10">
        <f>'D) Ecrêtage'!C43</f>
        <v>12972.284673481885</v>
      </c>
      <c r="N44" s="10">
        <f t="shared" si="7"/>
        <v>17193.238285214939</v>
      </c>
      <c r="O44" s="55">
        <f t="shared" si="5"/>
        <v>41278.454818325888</v>
      </c>
      <c r="P44" s="219"/>
      <c r="Q44" s="220"/>
      <c r="R44" s="216"/>
      <c r="S44" s="216"/>
      <c r="T44" s="221"/>
    </row>
    <row r="45" spans="1:20" s="215" customFormat="1" x14ac:dyDescent="0.25">
      <c r="A45" s="310">
        <f>'A) Base RI'!A46</f>
        <v>5475</v>
      </c>
      <c r="B45" s="228" t="str">
        <f>'A) Base RI'!B46</f>
        <v>Chavannes-le-Veyron</v>
      </c>
      <c r="C45" s="244">
        <v>0</v>
      </c>
      <c r="D45" s="217">
        <f>'B) D RI'!AA46</f>
        <v>142</v>
      </c>
      <c r="E45" s="218">
        <f>'B) D RI'!S46</f>
        <v>77</v>
      </c>
      <c r="F45" s="10">
        <f>'B) D RI'!R46</f>
        <v>377466.0081984346</v>
      </c>
      <c r="G45" s="10">
        <f>'B) D RI'!U46</f>
        <v>4902.1559506290205</v>
      </c>
      <c r="H45" s="41">
        <f>'B) D RI'!T46</f>
        <v>355228.70819843462</v>
      </c>
      <c r="I45" s="10">
        <f t="shared" si="2"/>
        <v>9226.719693465835</v>
      </c>
      <c r="J45" s="31">
        <f t="shared" si="6"/>
        <v>11763.871440509898</v>
      </c>
      <c r="K45" s="10">
        <f t="shared" si="0"/>
        <v>9226.719693465835</v>
      </c>
      <c r="L45" s="10">
        <f t="shared" si="4"/>
        <v>2537.1517470440631</v>
      </c>
      <c r="M45" s="10">
        <f>'D) Ecrêtage'!C44</f>
        <v>4902.1559506290205</v>
      </c>
      <c r="N45" s="10">
        <f t="shared" si="7"/>
        <v>6497.231404637876</v>
      </c>
      <c r="O45" s="55">
        <f t="shared" si="5"/>
        <v>15723.951098103711</v>
      </c>
      <c r="P45" s="219"/>
      <c r="Q45" s="220"/>
      <c r="R45" s="216"/>
      <c r="S45" s="216"/>
      <c r="T45" s="221"/>
    </row>
    <row r="46" spans="1:20" s="215" customFormat="1" x14ac:dyDescent="0.25">
      <c r="A46" s="310">
        <f>'A) Base RI'!A47</f>
        <v>5476</v>
      </c>
      <c r="B46" s="228" t="str">
        <f>'A) Base RI'!B47</f>
        <v>Chevilly</v>
      </c>
      <c r="C46" s="244">
        <v>0</v>
      </c>
      <c r="D46" s="217">
        <f>'B) D RI'!AA47</f>
        <v>314</v>
      </c>
      <c r="E46" s="218">
        <f>'B) D RI'!S47</f>
        <v>74</v>
      </c>
      <c r="F46" s="10">
        <f>'B) D RI'!R47</f>
        <v>790840.28039041394</v>
      </c>
      <c r="G46" s="10">
        <f>'B) D RI'!U47</f>
        <v>10687.030816086675</v>
      </c>
      <c r="H46" s="41">
        <f>'B) D RI'!T47</f>
        <v>734437.43039041397</v>
      </c>
      <c r="I46" s="10">
        <f t="shared" si="2"/>
        <v>19849.660280821998</v>
      </c>
      <c r="J46" s="31">
        <f t="shared" si="6"/>
        <v>26013.067833240195</v>
      </c>
      <c r="K46" s="10">
        <f t="shared" si="0"/>
        <v>19849.660280821998</v>
      </c>
      <c r="L46" s="10">
        <f t="shared" si="4"/>
        <v>6163.4075524181972</v>
      </c>
      <c r="M46" s="10">
        <f>'D) Ecrêtage'!C45</f>
        <v>10687.030816086675</v>
      </c>
      <c r="N46" s="10">
        <f t="shared" si="7"/>
        <v>14164.402956560652</v>
      </c>
      <c r="O46" s="55">
        <f t="shared" si="5"/>
        <v>34014.063237382652</v>
      </c>
      <c r="P46" s="219"/>
      <c r="Q46" s="220"/>
      <c r="R46" s="216"/>
      <c r="S46" s="216"/>
      <c r="T46" s="221"/>
    </row>
    <row r="47" spans="1:20" s="215" customFormat="1" x14ac:dyDescent="0.25">
      <c r="A47" s="310">
        <f>'A) Base RI'!A48</f>
        <v>5477</v>
      </c>
      <c r="B47" s="228" t="str">
        <f>'A) Base RI'!B48</f>
        <v>Cossonay</v>
      </c>
      <c r="C47" s="244">
        <v>0</v>
      </c>
      <c r="D47" s="217">
        <f>'B) D RI'!AA48</f>
        <v>3871</v>
      </c>
      <c r="E47" s="218">
        <f>'B) D RI'!S48</f>
        <v>71</v>
      </c>
      <c r="F47" s="10">
        <f>'B) D RI'!R48</f>
        <v>9200742.8155900706</v>
      </c>
      <c r="G47" s="10">
        <f>'B) D RI'!U48</f>
        <v>129587.92698014184</v>
      </c>
      <c r="H47" s="41">
        <f>'B) D RI'!T48</f>
        <v>8562778.8155900706</v>
      </c>
      <c r="I47" s="10">
        <f t="shared" si="2"/>
        <v>241205.03705887523</v>
      </c>
      <c r="J47" s="31">
        <f t="shared" si="6"/>
        <v>320689.76300150569</v>
      </c>
      <c r="K47" s="10">
        <f t="shared" si="0"/>
        <v>241205.03705887523</v>
      </c>
      <c r="L47" s="10">
        <f t="shared" si="4"/>
        <v>79484.725942630466</v>
      </c>
      <c r="M47" s="10">
        <f>'D) Ecrêtage'!C46</f>
        <v>129587.92698014184</v>
      </c>
      <c r="N47" s="10">
        <f t="shared" si="7"/>
        <v>171753.56257877944</v>
      </c>
      <c r="O47" s="55">
        <f t="shared" si="5"/>
        <v>412958.59963765467</v>
      </c>
      <c r="P47" s="219"/>
      <c r="Q47" s="220"/>
      <c r="R47" s="216"/>
      <c r="S47" s="216"/>
      <c r="T47" s="221"/>
    </row>
    <row r="48" spans="1:20" s="215" customFormat="1" x14ac:dyDescent="0.25">
      <c r="A48" s="310">
        <f>'A) Base RI'!A49</f>
        <v>5478</v>
      </c>
      <c r="B48" s="228" t="str">
        <f>'A) Base RI'!B49</f>
        <v>Cottens</v>
      </c>
      <c r="C48" s="244">
        <v>0</v>
      </c>
      <c r="D48" s="217">
        <f>'B) D RI'!AA49</f>
        <v>486</v>
      </c>
      <c r="E48" s="218">
        <f>'B) D RI'!S49</f>
        <v>74</v>
      </c>
      <c r="F48" s="10">
        <f>'B) D RI'!R49</f>
        <v>1051444.5499169435</v>
      </c>
      <c r="G48" s="10">
        <f>'B) D RI'!U49</f>
        <v>14208.71013401275</v>
      </c>
      <c r="H48" s="41">
        <f>'B) D RI'!T49</f>
        <v>972040.29991694365</v>
      </c>
      <c r="I48" s="10">
        <f t="shared" si="2"/>
        <v>26271.359457214694</v>
      </c>
      <c r="J48" s="31">
        <f t="shared" si="6"/>
        <v>40262.264225970495</v>
      </c>
      <c r="K48" s="10">
        <f t="shared" si="0"/>
        <v>26271.359457214694</v>
      </c>
      <c r="L48" s="10">
        <f t="shared" si="4"/>
        <v>13990.904768755801</v>
      </c>
      <c r="M48" s="10">
        <f>'D) Ecrêtage'!C47</f>
        <v>14208.71013401275</v>
      </c>
      <c r="N48" s="10">
        <f t="shared" si="7"/>
        <v>18831.97487633138</v>
      </c>
      <c r="O48" s="55">
        <f t="shared" si="5"/>
        <v>45103.334333546074</v>
      </c>
      <c r="P48" s="219"/>
      <c r="Q48" s="220"/>
      <c r="R48" s="216"/>
      <c r="S48" s="216"/>
      <c r="T48" s="221"/>
    </row>
    <row r="49" spans="1:20" s="215" customFormat="1" x14ac:dyDescent="0.25">
      <c r="A49" s="310">
        <f>'A) Base RI'!A50</f>
        <v>5479</v>
      </c>
      <c r="B49" s="228" t="str">
        <f>'A) Base RI'!B50</f>
        <v>Cuarnens</v>
      </c>
      <c r="C49" s="244">
        <v>0</v>
      </c>
      <c r="D49" s="217">
        <f>'B) D RI'!AA50</f>
        <v>479</v>
      </c>
      <c r="E49" s="218">
        <f>'B) D RI'!S50</f>
        <v>77</v>
      </c>
      <c r="F49" s="10">
        <f>'B) D RI'!R50</f>
        <v>1264434.6168572211</v>
      </c>
      <c r="G49" s="10">
        <f>'B) D RI'!U50</f>
        <v>16421.228790353522</v>
      </c>
      <c r="H49" s="41">
        <f>'B) D RI'!T50</f>
        <v>1185035.8668572211</v>
      </c>
      <c r="I49" s="10">
        <f t="shared" si="2"/>
        <v>30780.152385901849</v>
      </c>
      <c r="J49" s="31">
        <f t="shared" si="6"/>
        <v>39682.355070452402</v>
      </c>
      <c r="K49" s="10">
        <f t="shared" si="0"/>
        <v>30780.152385901849</v>
      </c>
      <c r="L49" s="10">
        <f t="shared" si="4"/>
        <v>8902.2026845505534</v>
      </c>
      <c r="M49" s="10">
        <f>'D) Ecrêtage'!C48</f>
        <v>16421.228790353522</v>
      </c>
      <c r="N49" s="10">
        <f t="shared" si="7"/>
        <v>21764.408246893548</v>
      </c>
      <c r="O49" s="55">
        <f t="shared" si="5"/>
        <v>52544.560632795401</v>
      </c>
      <c r="P49" s="219"/>
      <c r="Q49" s="220"/>
      <c r="R49" s="216"/>
      <c r="S49" s="216"/>
      <c r="T49" s="221"/>
    </row>
    <row r="50" spans="1:20" s="215" customFormat="1" x14ac:dyDescent="0.25">
      <c r="A50" s="310">
        <f>'A) Base RI'!A51</f>
        <v>5480</v>
      </c>
      <c r="B50" s="228" t="str">
        <f>'A) Base RI'!B51</f>
        <v>Daillens</v>
      </c>
      <c r="C50" s="244">
        <v>0</v>
      </c>
      <c r="D50" s="217">
        <f>'B) D RI'!AA51</f>
        <v>1027</v>
      </c>
      <c r="E50" s="218">
        <f>'B) D RI'!S51</f>
        <v>71</v>
      </c>
      <c r="F50" s="10">
        <f>'B) D RI'!R51</f>
        <v>2929696.0837365519</v>
      </c>
      <c r="G50" s="10">
        <f>'B) D RI'!U51</f>
        <v>41263.325123050025</v>
      </c>
      <c r="H50" s="41">
        <f>'B) D RI'!T51</f>
        <v>2617597.1337365522</v>
      </c>
      <c r="I50" s="10">
        <f t="shared" si="2"/>
        <v>73735.130527790199</v>
      </c>
      <c r="J50" s="31">
        <f t="shared" si="6"/>
        <v>85080.957531011722</v>
      </c>
      <c r="K50" s="10">
        <f t="shared" si="0"/>
        <v>73735.130527790199</v>
      </c>
      <c r="L50" s="10">
        <f t="shared" si="4"/>
        <v>11345.827003221522</v>
      </c>
      <c r="M50" s="10">
        <f>'D) Ecrêtage'!C49</f>
        <v>41263.325123050025</v>
      </c>
      <c r="N50" s="10">
        <f t="shared" si="7"/>
        <v>54689.686445993771</v>
      </c>
      <c r="O50" s="55">
        <f t="shared" si="5"/>
        <v>128424.81697378398</v>
      </c>
      <c r="P50" s="219"/>
      <c r="Q50" s="220"/>
      <c r="R50" s="216"/>
      <c r="S50" s="216"/>
      <c r="T50" s="221"/>
    </row>
    <row r="51" spans="1:20" s="215" customFormat="1" x14ac:dyDescent="0.25">
      <c r="A51" s="310">
        <f>'A) Base RI'!A52</f>
        <v>5481</v>
      </c>
      <c r="B51" s="228" t="str">
        <f>'A) Base RI'!B52</f>
        <v>Dizy</v>
      </c>
      <c r="C51" s="244">
        <v>0</v>
      </c>
      <c r="D51" s="217">
        <f>'B) D RI'!AA52</f>
        <v>223</v>
      </c>
      <c r="E51" s="218">
        <f>'B) D RI'!S52</f>
        <v>79</v>
      </c>
      <c r="F51" s="10">
        <f>'B) D RI'!R52</f>
        <v>860471.85164816282</v>
      </c>
      <c r="G51" s="10">
        <f>'B) D RI'!U52</f>
        <v>10892.048755040036</v>
      </c>
      <c r="H51" s="41">
        <f>'B) D RI'!T52</f>
        <v>822881.25164816284</v>
      </c>
      <c r="I51" s="10">
        <f t="shared" si="2"/>
        <v>20832.436750586399</v>
      </c>
      <c r="J51" s="31">
        <f t="shared" si="6"/>
        <v>18474.248811504978</v>
      </c>
      <c r="K51" s="10">
        <f t="shared" si="0"/>
        <v>18474.248811504978</v>
      </c>
      <c r="L51" s="10">
        <f t="shared" si="4"/>
        <v>0</v>
      </c>
      <c r="M51" s="10">
        <f>'D) Ecrêtage'!C50</f>
        <v>10892.048755040036</v>
      </c>
      <c r="N51" s="10">
        <f t="shared" si="7"/>
        <v>14436.130132296665</v>
      </c>
      <c r="O51" s="55">
        <f t="shared" si="5"/>
        <v>32910.378943801639</v>
      </c>
      <c r="P51" s="219"/>
      <c r="Q51" s="220"/>
      <c r="R51" s="216"/>
      <c r="S51" s="216"/>
      <c r="T51" s="221"/>
    </row>
    <row r="52" spans="1:20" s="215" customFormat="1" x14ac:dyDescent="0.25">
      <c r="A52" s="310">
        <f>'A) Base RI'!A53</f>
        <v>5482</v>
      </c>
      <c r="B52" s="228" t="str">
        <f>'A) Base RI'!B53</f>
        <v>Eclépens</v>
      </c>
      <c r="C52" s="244">
        <v>0</v>
      </c>
      <c r="D52" s="217">
        <f>'B) D RI'!AA53</f>
        <v>1211</v>
      </c>
      <c r="E52" s="218">
        <f>'B) D RI'!S53</f>
        <v>46</v>
      </c>
      <c r="F52" s="10">
        <f>'B) D RI'!R53</f>
        <v>2152493.1676296629</v>
      </c>
      <c r="G52" s="10">
        <f>'B) D RI'!U53</f>
        <v>46793.329731079626</v>
      </c>
      <c r="H52" s="41">
        <f>'B) D RI'!T53</f>
        <v>1721598.3676296629</v>
      </c>
      <c r="I52" s="10">
        <f t="shared" si="2"/>
        <v>74852.102940420125</v>
      </c>
      <c r="J52" s="31">
        <f t="shared" si="6"/>
        <v>100324.28390463018</v>
      </c>
      <c r="K52" s="10">
        <f t="shared" si="0"/>
        <v>74852.102940420125</v>
      </c>
      <c r="L52" s="10">
        <f t="shared" si="4"/>
        <v>25472.180964210056</v>
      </c>
      <c r="M52" s="10">
        <f>'D) Ecrêtage'!C51</f>
        <v>46793.329731079626</v>
      </c>
      <c r="N52" s="10">
        <f t="shared" si="7"/>
        <v>62019.057434787341</v>
      </c>
      <c r="O52" s="55">
        <f t="shared" si="5"/>
        <v>136871.16037520746</v>
      </c>
      <c r="P52" s="219"/>
      <c r="Q52" s="220"/>
      <c r="R52" s="216"/>
      <c r="S52" s="216"/>
      <c r="T52" s="221"/>
    </row>
    <row r="53" spans="1:20" s="215" customFormat="1" x14ac:dyDescent="0.25">
      <c r="A53" s="310">
        <f>'A) Base RI'!A54</f>
        <v>5483</v>
      </c>
      <c r="B53" s="228" t="str">
        <f>'A) Base RI'!B54</f>
        <v>Ferreyres</v>
      </c>
      <c r="C53" s="244">
        <v>0</v>
      </c>
      <c r="D53" s="217">
        <f>'B) D RI'!AA54</f>
        <v>310</v>
      </c>
      <c r="E53" s="218">
        <f>'B) D RI'!S54</f>
        <v>76</v>
      </c>
      <c r="F53" s="10">
        <f>'B) D RI'!R54</f>
        <v>674875.10991649283</v>
      </c>
      <c r="G53" s="10">
        <f>'B) D RI'!U54</f>
        <v>8879.9356567959585</v>
      </c>
      <c r="H53" s="41">
        <f>'B) D RI'!T54</f>
        <v>622825.45991649281</v>
      </c>
      <c r="I53" s="10">
        <f t="shared" si="2"/>
        <v>16390.143682012967</v>
      </c>
      <c r="J53" s="31">
        <f t="shared" si="6"/>
        <v>25681.691172944142</v>
      </c>
      <c r="K53" s="10">
        <f t="shared" si="0"/>
        <v>16390.143682012967</v>
      </c>
      <c r="L53" s="10">
        <f t="shared" si="4"/>
        <v>9291.5474909311743</v>
      </c>
      <c r="M53" s="10">
        <f>'D) Ecrêtage'!C52</f>
        <v>8879.9356567959585</v>
      </c>
      <c r="N53" s="10">
        <f t="shared" si="7"/>
        <v>11769.310768886337</v>
      </c>
      <c r="O53" s="55">
        <f t="shared" si="5"/>
        <v>28159.454450899306</v>
      </c>
      <c r="P53" s="219"/>
      <c r="Q53" s="220"/>
      <c r="R53" s="216"/>
      <c r="S53" s="216"/>
      <c r="T53" s="221"/>
    </row>
    <row r="54" spans="1:20" s="215" customFormat="1" x14ac:dyDescent="0.25">
      <c r="A54" s="310">
        <f>'A) Base RI'!A55</f>
        <v>5484</v>
      </c>
      <c r="B54" s="228" t="str">
        <f>'A) Base RI'!B55</f>
        <v>Gollion</v>
      </c>
      <c r="C54" s="244">
        <v>0</v>
      </c>
      <c r="D54" s="217">
        <f>'B) D RI'!AA55</f>
        <v>939</v>
      </c>
      <c r="E54" s="218">
        <f>'B) D RI'!S55</f>
        <v>74</v>
      </c>
      <c r="F54" s="10">
        <f>'B) D RI'!R55</f>
        <v>2352775.8881449276</v>
      </c>
      <c r="G54" s="10">
        <f>'B) D RI'!U55</f>
        <v>31794.268758715236</v>
      </c>
      <c r="H54" s="41">
        <f>'B) D RI'!T55</f>
        <v>2176239.2381449277</v>
      </c>
      <c r="I54" s="10">
        <f t="shared" si="2"/>
        <v>58817.276706619668</v>
      </c>
      <c r="J54" s="31">
        <f t="shared" si="6"/>
        <v>77790.671004498552</v>
      </c>
      <c r="K54" s="10">
        <f t="shared" si="0"/>
        <v>58817.276706619668</v>
      </c>
      <c r="L54" s="10">
        <f t="shared" si="4"/>
        <v>18973.394297878884</v>
      </c>
      <c r="M54" s="10">
        <f>'D) Ecrêtage'!C53</f>
        <v>31794.268758715236</v>
      </c>
      <c r="N54" s="10">
        <f t="shared" si="7"/>
        <v>42139.565437553021</v>
      </c>
      <c r="O54" s="55">
        <f t="shared" si="5"/>
        <v>100956.8421441727</v>
      </c>
      <c r="P54" s="219"/>
      <c r="Q54" s="220"/>
      <c r="R54" s="216"/>
      <c r="S54" s="216"/>
      <c r="T54" s="221"/>
    </row>
    <row r="55" spans="1:20" s="215" customFormat="1" x14ac:dyDescent="0.25">
      <c r="A55" s="310">
        <f>'A) Base RI'!A56</f>
        <v>5485</v>
      </c>
      <c r="B55" s="228" t="str">
        <f>'A) Base RI'!B56</f>
        <v>Grancy</v>
      </c>
      <c r="C55" s="244">
        <v>0</v>
      </c>
      <c r="D55" s="217">
        <f>'B) D RI'!AA56</f>
        <v>398</v>
      </c>
      <c r="E55" s="218">
        <f>'B) D RI'!S56</f>
        <v>70</v>
      </c>
      <c r="F55" s="10">
        <f>'B) D RI'!R56</f>
        <v>1298704.7006341892</v>
      </c>
      <c r="G55" s="10">
        <f>'B) D RI'!U56</f>
        <v>18552.92429477413</v>
      </c>
      <c r="H55" s="41">
        <f>'B) D RI'!T56</f>
        <v>1224892.1506341891</v>
      </c>
      <c r="I55" s="10">
        <f t="shared" si="2"/>
        <v>34996.918589548259</v>
      </c>
      <c r="J55" s="31">
        <f t="shared" si="6"/>
        <v>32971.977699457319</v>
      </c>
      <c r="K55" s="10">
        <f t="shared" si="0"/>
        <v>32971.977699457319</v>
      </c>
      <c r="L55" s="10">
        <f t="shared" si="4"/>
        <v>0</v>
      </c>
      <c r="M55" s="10">
        <f>'D) Ecrêtage'!C54</f>
        <v>18552.92429477413</v>
      </c>
      <c r="N55" s="10">
        <f t="shared" si="7"/>
        <v>24589.720031327859</v>
      </c>
      <c r="O55" s="55">
        <f t="shared" si="5"/>
        <v>57561.697730785178</v>
      </c>
      <c r="P55" s="219"/>
      <c r="Q55" s="220"/>
      <c r="R55" s="216"/>
      <c r="S55" s="216"/>
      <c r="T55" s="221"/>
    </row>
    <row r="56" spans="1:20" s="215" customFormat="1" x14ac:dyDescent="0.25">
      <c r="A56" s="310">
        <f>'A) Base RI'!A57</f>
        <v>5486</v>
      </c>
      <c r="B56" s="228" t="str">
        <f>'A) Base RI'!B57</f>
        <v>L'Isle</v>
      </c>
      <c r="C56" s="244">
        <v>0</v>
      </c>
      <c r="D56" s="217">
        <f>'B) D RI'!AA57</f>
        <v>1005</v>
      </c>
      <c r="E56" s="218">
        <f>'B) D RI'!S57</f>
        <v>76</v>
      </c>
      <c r="F56" s="10">
        <f>'B) D RI'!R57</f>
        <v>2321528.7742608944</v>
      </c>
      <c r="G56" s="10">
        <f>'B) D RI'!U57</f>
        <v>30546.431240274927</v>
      </c>
      <c r="H56" s="41">
        <f>'B) D RI'!T57</f>
        <v>2130371.4242608948</v>
      </c>
      <c r="I56" s="10">
        <f t="shared" si="2"/>
        <v>56062.405901602491</v>
      </c>
      <c r="J56" s="31">
        <f t="shared" si="6"/>
        <v>83258.385899383429</v>
      </c>
      <c r="K56" s="10">
        <f t="shared" si="0"/>
        <v>56062.405901602491</v>
      </c>
      <c r="L56" s="10">
        <f t="shared" si="4"/>
        <v>27195.979997780938</v>
      </c>
      <c r="M56" s="10">
        <f>'D) Ecrêtage'!C55</f>
        <v>30546.431240274927</v>
      </c>
      <c r="N56" s="10">
        <f t="shared" si="7"/>
        <v>40485.703505303507</v>
      </c>
      <c r="O56" s="55">
        <f t="shared" si="5"/>
        <v>96548.109406906005</v>
      </c>
      <c r="P56" s="219"/>
      <c r="Q56" s="220"/>
      <c r="R56" s="216"/>
      <c r="S56" s="216"/>
      <c r="T56" s="221"/>
    </row>
    <row r="57" spans="1:20" s="215" customFormat="1" x14ac:dyDescent="0.25">
      <c r="A57" s="310">
        <f>'A) Base RI'!A58</f>
        <v>5487</v>
      </c>
      <c r="B57" s="228" t="str">
        <f>'A) Base RI'!B58</f>
        <v>Lussery-Villars</v>
      </c>
      <c r="C57" s="244">
        <v>0</v>
      </c>
      <c r="D57" s="217">
        <f>'B) D RI'!AA58</f>
        <v>462</v>
      </c>
      <c r="E57" s="218">
        <f>'B) D RI'!S58</f>
        <v>75</v>
      </c>
      <c r="F57" s="10">
        <f>'B) D RI'!R58</f>
        <v>1096142.1250430238</v>
      </c>
      <c r="G57" s="10">
        <f>'B) D RI'!U58</f>
        <v>14615.228333906985</v>
      </c>
      <c r="H57" s="41">
        <f>'B) D RI'!T58</f>
        <v>1023879.5750430238</v>
      </c>
      <c r="I57" s="10">
        <f t="shared" si="2"/>
        <v>27303.455334480634</v>
      </c>
      <c r="J57" s="31">
        <f t="shared" si="6"/>
        <v>38274.004264194176</v>
      </c>
      <c r="K57" s="10">
        <f t="shared" si="0"/>
        <v>27303.455334480634</v>
      </c>
      <c r="L57" s="10">
        <f t="shared" si="4"/>
        <v>10970.548929713543</v>
      </c>
      <c r="M57" s="10">
        <f>'D) Ecrêtage'!C56</f>
        <v>14615.228333906985</v>
      </c>
      <c r="N57" s="10">
        <f t="shared" si="7"/>
        <v>19370.766959143592</v>
      </c>
      <c r="O57" s="55">
        <f t="shared" si="5"/>
        <v>46674.222293624225</v>
      </c>
      <c r="P57" s="219"/>
      <c r="Q57" s="220"/>
      <c r="R57" s="216"/>
      <c r="S57" s="216"/>
      <c r="T57" s="221"/>
    </row>
    <row r="58" spans="1:20" s="215" customFormat="1" x14ac:dyDescent="0.25">
      <c r="A58" s="310">
        <f>'A) Base RI'!A59</f>
        <v>5488</v>
      </c>
      <c r="B58" s="228" t="str">
        <f>'A) Base RI'!B59</f>
        <v>Mauraz</v>
      </c>
      <c r="C58" s="244">
        <v>0</v>
      </c>
      <c r="D58" s="217">
        <f>'B) D RI'!AA59</f>
        <v>59</v>
      </c>
      <c r="E58" s="218">
        <f>'B) D RI'!S59</f>
        <v>78</v>
      </c>
      <c r="F58" s="10">
        <f>'B) D RI'!R59</f>
        <v>148799.95602980274</v>
      </c>
      <c r="G58" s="10">
        <f>'B) D RI'!U59</f>
        <v>1907.69174397183</v>
      </c>
      <c r="H58" s="41">
        <f>'B) D RI'!T59</f>
        <v>140325.95602980274</v>
      </c>
      <c r="I58" s="10">
        <f t="shared" si="2"/>
        <v>3598.1014366616087</v>
      </c>
      <c r="J58" s="31">
        <f t="shared" si="6"/>
        <v>4887.8057393667887</v>
      </c>
      <c r="K58" s="10">
        <f t="shared" si="0"/>
        <v>3598.1014366616087</v>
      </c>
      <c r="L58" s="10">
        <f t="shared" si="4"/>
        <v>1289.70430270518</v>
      </c>
      <c r="M58" s="10">
        <f>'D) Ecrêtage'!C57</f>
        <v>1907.69174397183</v>
      </c>
      <c r="N58" s="10">
        <f t="shared" si="7"/>
        <v>2528.4211343198381</v>
      </c>
      <c r="O58" s="55">
        <f t="shared" si="5"/>
        <v>6126.5225709814467</v>
      </c>
      <c r="P58" s="219"/>
      <c r="Q58" s="220"/>
      <c r="R58" s="216"/>
      <c r="S58" s="216"/>
      <c r="T58" s="221"/>
    </row>
    <row r="59" spans="1:20" s="215" customFormat="1" x14ac:dyDescent="0.25">
      <c r="A59" s="310">
        <f>'A) Base RI'!A60</f>
        <v>5489</v>
      </c>
      <c r="B59" s="228" t="str">
        <f>'A) Base RI'!B60</f>
        <v>Mex</v>
      </c>
      <c r="C59" s="244">
        <v>0</v>
      </c>
      <c r="D59" s="217">
        <f>'B) D RI'!AA60</f>
        <v>725</v>
      </c>
      <c r="E59" s="218">
        <f>'B) D RI'!S60</f>
        <v>61</v>
      </c>
      <c r="F59" s="10">
        <f>'B) D RI'!R60</f>
        <v>3602066.7302319799</v>
      </c>
      <c r="G59" s="10">
        <f>'B) D RI'!U60</f>
        <v>59050.274266098029</v>
      </c>
      <c r="H59" s="41">
        <f>'B) D RI'!T60</f>
        <v>3305062.3802319798</v>
      </c>
      <c r="I59" s="10">
        <f t="shared" si="2"/>
        <v>108362.70099121245</v>
      </c>
      <c r="J59" s="31">
        <f t="shared" si="6"/>
        <v>60062.019678659686</v>
      </c>
      <c r="K59" s="10">
        <f t="shared" si="0"/>
        <v>60062.019678659686</v>
      </c>
      <c r="L59" s="10">
        <f t="shared" si="4"/>
        <v>0</v>
      </c>
      <c r="M59" s="10">
        <f>'D) Ecrêtage'!C58</f>
        <v>59050.274266098029</v>
      </c>
      <c r="N59" s="10">
        <f t="shared" si="7"/>
        <v>78264.196463383036</v>
      </c>
      <c r="O59" s="55">
        <f t="shared" si="5"/>
        <v>138326.21614204271</v>
      </c>
      <c r="P59" s="219"/>
      <c r="Q59" s="220"/>
      <c r="R59" s="216"/>
      <c r="S59" s="216"/>
      <c r="T59" s="221"/>
    </row>
    <row r="60" spans="1:20" s="215" customFormat="1" x14ac:dyDescent="0.25">
      <c r="A60" s="310">
        <f>'A) Base RI'!A61</f>
        <v>5490</v>
      </c>
      <c r="B60" s="228" t="str">
        <f>'A) Base RI'!B61</f>
        <v>Moiry</v>
      </c>
      <c r="C60" s="244">
        <v>0</v>
      </c>
      <c r="D60" s="217">
        <f>'B) D RI'!AA61</f>
        <v>310</v>
      </c>
      <c r="E60" s="218">
        <f>'B) D RI'!S61</f>
        <v>80</v>
      </c>
      <c r="F60" s="10">
        <f>'B) D RI'!R61</f>
        <v>747062.03420361888</v>
      </c>
      <c r="G60" s="10">
        <f>'B) D RI'!U61</f>
        <v>9338.2754275452353</v>
      </c>
      <c r="H60" s="41">
        <f>'B) D RI'!T61</f>
        <v>702194.28420361888</v>
      </c>
      <c r="I60" s="10">
        <f t="shared" si="2"/>
        <v>17554.857105090472</v>
      </c>
      <c r="J60" s="31">
        <f t="shared" si="6"/>
        <v>25681.691172944142</v>
      </c>
      <c r="K60" s="10">
        <f t="shared" si="0"/>
        <v>17554.857105090472</v>
      </c>
      <c r="L60" s="10">
        <f t="shared" si="4"/>
        <v>8126.8340678536697</v>
      </c>
      <c r="M60" s="10">
        <f>'D) Ecrêtage'!C59</f>
        <v>9338.2754275452353</v>
      </c>
      <c r="N60" s="10">
        <f t="shared" si="7"/>
        <v>12376.786251612382</v>
      </c>
      <c r="O60" s="55">
        <f t="shared" si="5"/>
        <v>29931.643356702854</v>
      </c>
      <c r="P60" s="219"/>
      <c r="Q60" s="220"/>
      <c r="R60" s="216"/>
      <c r="S60" s="216"/>
      <c r="T60" s="221"/>
    </row>
    <row r="61" spans="1:20" s="215" customFormat="1" x14ac:dyDescent="0.25">
      <c r="A61" s="310">
        <f>'A) Base RI'!A62</f>
        <v>5491</v>
      </c>
      <c r="B61" s="228" t="str">
        <f>'A) Base RI'!B62</f>
        <v>Mont-la-Ville</v>
      </c>
      <c r="C61" s="244">
        <v>0</v>
      </c>
      <c r="D61" s="217">
        <f>'B) D RI'!AA62</f>
        <v>466</v>
      </c>
      <c r="E61" s="218">
        <f>'B) D RI'!S62</f>
        <v>76</v>
      </c>
      <c r="F61" s="10">
        <f>'B) D RI'!R62</f>
        <v>938003.35240371875</v>
      </c>
      <c r="G61" s="10">
        <f>'B) D RI'!U62</f>
        <v>12342.149373733142</v>
      </c>
      <c r="H61" s="41">
        <f>'B) D RI'!T62</f>
        <v>862307.50240371877</v>
      </c>
      <c r="I61" s="10">
        <f t="shared" si="2"/>
        <v>22692.302694834703</v>
      </c>
      <c r="J61" s="31">
        <f t="shared" si="6"/>
        <v>38605.38092449023</v>
      </c>
      <c r="K61" s="10">
        <f t="shared" si="0"/>
        <v>22692.302694834703</v>
      </c>
      <c r="L61" s="10">
        <f t="shared" si="4"/>
        <v>15913.078229655526</v>
      </c>
      <c r="M61" s="10">
        <f>'D) Ecrêtage'!C60</f>
        <v>12342.149373733142</v>
      </c>
      <c r="N61" s="10">
        <f t="shared" si="7"/>
        <v>16358.068025449315</v>
      </c>
      <c r="O61" s="55">
        <f t="shared" si="5"/>
        <v>39050.370720284016</v>
      </c>
      <c r="P61" s="219"/>
      <c r="Q61" s="220"/>
      <c r="R61" s="216"/>
      <c r="S61" s="216"/>
      <c r="T61" s="221"/>
    </row>
    <row r="62" spans="1:20" s="215" customFormat="1" x14ac:dyDescent="0.25">
      <c r="A62" s="310">
        <f>'A) Base RI'!A63</f>
        <v>5492</v>
      </c>
      <c r="B62" s="228" t="str">
        <f>'A) Base RI'!B63</f>
        <v>Montricher</v>
      </c>
      <c r="C62" s="244">
        <v>0</v>
      </c>
      <c r="D62" s="217">
        <f>'B) D RI'!AA63</f>
        <v>940</v>
      </c>
      <c r="E62" s="218">
        <f>'B) D RI'!S63</f>
        <v>64</v>
      </c>
      <c r="F62" s="10">
        <f>'B) D RI'!R63</f>
        <v>15064184.899958195</v>
      </c>
      <c r="G62" s="10">
        <f>'B) D RI'!U63</f>
        <v>235377.8890618468</v>
      </c>
      <c r="H62" s="41">
        <f>'B) D RI'!T63</f>
        <v>14823752.949958196</v>
      </c>
      <c r="I62" s="10">
        <f t="shared" si="2"/>
        <v>463242.27968619362</v>
      </c>
      <c r="J62" s="31">
        <f t="shared" si="6"/>
        <v>77873.515169572565</v>
      </c>
      <c r="K62" s="10">
        <f t="shared" si="0"/>
        <v>77873.515169572565</v>
      </c>
      <c r="L62" s="10">
        <f t="shared" si="4"/>
        <v>0</v>
      </c>
      <c r="M62" s="10">
        <f>'D) Ecrêtage'!C61</f>
        <v>235377.8890618468</v>
      </c>
      <c r="N62" s="10">
        <f t="shared" si="7"/>
        <v>311965.7204242489</v>
      </c>
      <c r="O62" s="55">
        <f t="shared" si="5"/>
        <v>389839.23559382145</v>
      </c>
      <c r="P62" s="219"/>
      <c r="Q62" s="220"/>
      <c r="R62" s="216"/>
      <c r="S62" s="216"/>
      <c r="T62" s="221"/>
    </row>
    <row r="63" spans="1:20" s="215" customFormat="1" x14ac:dyDescent="0.25">
      <c r="A63" s="310">
        <f>'A) Base RI'!A64</f>
        <v>5493</v>
      </c>
      <c r="B63" s="228" t="str">
        <f>'A) Base RI'!B64</f>
        <v>Orny</v>
      </c>
      <c r="C63" s="244">
        <v>0</v>
      </c>
      <c r="D63" s="217">
        <f>'B) D RI'!AA64</f>
        <v>368</v>
      </c>
      <c r="E63" s="218">
        <f>'B) D RI'!S64</f>
        <v>73</v>
      </c>
      <c r="F63" s="10">
        <f>'B) D RI'!R64</f>
        <v>784203.09917637601</v>
      </c>
      <c r="G63" s="10">
        <f>'B) D RI'!U64</f>
        <v>10742.508207895562</v>
      </c>
      <c r="H63" s="41">
        <f>'B) D RI'!T64</f>
        <v>729782.27225329913</v>
      </c>
      <c r="I63" s="10">
        <f t="shared" si="2"/>
        <v>19994.03485625477</v>
      </c>
      <c r="J63" s="31">
        <f t="shared" si="6"/>
        <v>30486.652747236916</v>
      </c>
      <c r="K63" s="10">
        <f t="shared" si="0"/>
        <v>19994.03485625477</v>
      </c>
      <c r="L63" s="10">
        <f t="shared" si="4"/>
        <v>10492.617890982146</v>
      </c>
      <c r="M63" s="10">
        <f>'D) Ecrêtage'!C62</f>
        <v>10742.508207895562</v>
      </c>
      <c r="N63" s="10">
        <f t="shared" si="7"/>
        <v>14237.931717362693</v>
      </c>
      <c r="O63" s="55">
        <f t="shared" si="5"/>
        <v>34231.966573617465</v>
      </c>
      <c r="P63" s="219"/>
      <c r="Q63" s="220"/>
      <c r="R63" s="216"/>
      <c r="S63" s="216"/>
      <c r="T63" s="221"/>
    </row>
    <row r="64" spans="1:20" s="215" customFormat="1" x14ac:dyDescent="0.25">
      <c r="A64" s="310">
        <f>'A) Base RI'!A65</f>
        <v>5494</v>
      </c>
      <c r="B64" s="228" t="str">
        <f>'A) Base RI'!B65</f>
        <v>Pampigny</v>
      </c>
      <c r="C64" s="244">
        <v>0</v>
      </c>
      <c r="D64" s="217">
        <f>'B) D RI'!AA65</f>
        <v>1113</v>
      </c>
      <c r="E64" s="218">
        <f>'B) D RI'!S65</f>
        <v>75</v>
      </c>
      <c r="F64" s="10">
        <f>'B) D RI'!R65</f>
        <v>2809785.3249817695</v>
      </c>
      <c r="G64" s="10">
        <f>'B) D RI'!U65</f>
        <v>37463.804333090258</v>
      </c>
      <c r="H64" s="41">
        <f>'B) D RI'!T65</f>
        <v>2594442.6297436743</v>
      </c>
      <c r="I64" s="10">
        <f t="shared" si="2"/>
        <v>69185.136793164653</v>
      </c>
      <c r="J64" s="31">
        <f t="shared" si="6"/>
        <v>92205.555727376865</v>
      </c>
      <c r="K64" s="10">
        <f t="shared" si="0"/>
        <v>69185.136793164653</v>
      </c>
      <c r="L64" s="10">
        <f t="shared" si="4"/>
        <v>23020.418934212212</v>
      </c>
      <c r="M64" s="10">
        <f>'D) Ecrêtage'!C63</f>
        <v>37463.804333090258</v>
      </c>
      <c r="N64" s="10">
        <f t="shared" si="7"/>
        <v>49653.868318679102</v>
      </c>
      <c r="O64" s="55">
        <f t="shared" si="5"/>
        <v>118839.00511184376</v>
      </c>
      <c r="P64" s="219"/>
      <c r="Q64" s="220"/>
      <c r="R64" s="216"/>
      <c r="S64" s="216"/>
      <c r="T64" s="221"/>
    </row>
    <row r="65" spans="1:20" s="215" customFormat="1" x14ac:dyDescent="0.25">
      <c r="A65" s="310">
        <f>'A) Base RI'!A66</f>
        <v>5495</v>
      </c>
      <c r="B65" s="228" t="str">
        <f>'A) Base RI'!B66</f>
        <v>Penthalaz</v>
      </c>
      <c r="C65" s="244">
        <v>0</v>
      </c>
      <c r="D65" s="217">
        <f>'B) D RI'!AA66</f>
        <v>3283</v>
      </c>
      <c r="E65" s="218">
        <f>'B) D RI'!S66</f>
        <v>74</v>
      </c>
      <c r="F65" s="10">
        <f>'B) D RI'!R66</f>
        <v>6771100.7085701935</v>
      </c>
      <c r="G65" s="10">
        <f>'B) D RI'!U66</f>
        <v>91501.360926624242</v>
      </c>
      <c r="H65" s="41">
        <f>'B) D RI'!T66</f>
        <v>6235308.0585701931</v>
      </c>
      <c r="I65" s="10">
        <f t="shared" si="2"/>
        <v>168521.83942081602</v>
      </c>
      <c r="J65" s="31">
        <f t="shared" si="6"/>
        <v>271977.39393798588</v>
      </c>
      <c r="K65" s="10">
        <f t="shared" si="0"/>
        <v>168521.83942081602</v>
      </c>
      <c r="L65" s="10">
        <f t="shared" si="4"/>
        <v>103455.55451716986</v>
      </c>
      <c r="M65" s="10">
        <f>'D) Ecrêtage'!C64</f>
        <v>91501.360926624242</v>
      </c>
      <c r="N65" s="10">
        <f t="shared" si="7"/>
        <v>121274.2968128715</v>
      </c>
      <c r="O65" s="55">
        <f t="shared" si="5"/>
        <v>289796.13623368752</v>
      </c>
      <c r="P65" s="219"/>
      <c r="Q65" s="220"/>
      <c r="R65" s="216"/>
      <c r="S65" s="216"/>
      <c r="T65" s="221"/>
    </row>
    <row r="66" spans="1:20" s="215" customFormat="1" x14ac:dyDescent="0.25">
      <c r="A66" s="310">
        <f>'A) Base RI'!A67</f>
        <v>5496</v>
      </c>
      <c r="B66" s="228" t="str">
        <f>'A) Base RI'!B67</f>
        <v>Penthaz</v>
      </c>
      <c r="C66" s="244">
        <v>0</v>
      </c>
      <c r="D66" s="217">
        <f>'B) D RI'!AA67</f>
        <v>1747</v>
      </c>
      <c r="E66" s="218">
        <f>'B) D RI'!S67</f>
        <v>71</v>
      </c>
      <c r="F66" s="10">
        <f>'B) D RI'!R67</f>
        <v>4028181.7312015626</v>
      </c>
      <c r="G66" s="10">
        <f>'B) D RI'!U67</f>
        <v>56734.953960585386</v>
      </c>
      <c r="H66" s="41">
        <f>'B) D RI'!T67</f>
        <v>3704130.4812015626</v>
      </c>
      <c r="I66" s="10">
        <f t="shared" si="2"/>
        <v>104341.70369581867</v>
      </c>
      <c r="J66" s="31">
        <f t="shared" si="6"/>
        <v>144728.75638430135</v>
      </c>
      <c r="K66" s="10">
        <f t="shared" si="0"/>
        <v>104341.70369581867</v>
      </c>
      <c r="L66" s="10">
        <f t="shared" si="4"/>
        <v>40387.052688482683</v>
      </c>
      <c r="M66" s="10">
        <f>'D) Ecrêtage'!C65</f>
        <v>56734.953960585386</v>
      </c>
      <c r="N66" s="10">
        <f t="shared" si="7"/>
        <v>75195.51159242494</v>
      </c>
      <c r="O66" s="55">
        <f t="shared" si="5"/>
        <v>179537.21528824361</v>
      </c>
      <c r="P66" s="219"/>
      <c r="Q66" s="220"/>
      <c r="R66" s="216"/>
      <c r="S66" s="216"/>
      <c r="T66" s="221"/>
    </row>
    <row r="67" spans="1:20" s="215" customFormat="1" x14ac:dyDescent="0.25">
      <c r="A67" s="310">
        <f>'A) Base RI'!A68</f>
        <v>5497</v>
      </c>
      <c r="B67" s="228" t="str">
        <f>'A) Base RI'!B68</f>
        <v>Pompaples</v>
      </c>
      <c r="C67" s="244">
        <v>0</v>
      </c>
      <c r="D67" s="217">
        <f>'B) D RI'!AA68</f>
        <v>847</v>
      </c>
      <c r="E67" s="218">
        <f>'B) D RI'!S68</f>
        <v>66</v>
      </c>
      <c r="F67" s="10">
        <f>'B) D RI'!R68</f>
        <v>1462648.4424671684</v>
      </c>
      <c r="G67" s="10">
        <f>'B) D RI'!U68</f>
        <v>22161.340037381338</v>
      </c>
      <c r="H67" s="41">
        <f>'B) D RI'!T68</f>
        <v>1331548.1924671684</v>
      </c>
      <c r="I67" s="10">
        <f t="shared" si="2"/>
        <v>40349.945226277829</v>
      </c>
      <c r="J67" s="31">
        <f t="shared" si="6"/>
        <v>70169.007817689315</v>
      </c>
      <c r="K67" s="10">
        <f t="shared" si="0"/>
        <v>40349.945226277829</v>
      </c>
      <c r="L67" s="10">
        <f t="shared" si="4"/>
        <v>29819.062591411486</v>
      </c>
      <c r="M67" s="10">
        <f>'D) Ecrêtage'!C66</f>
        <v>22161.340037381338</v>
      </c>
      <c r="N67" s="10">
        <f t="shared" si="7"/>
        <v>29372.250885094141</v>
      </c>
      <c r="O67" s="55">
        <f t="shared" si="5"/>
        <v>69722.196111371974</v>
      </c>
      <c r="P67" s="219"/>
      <c r="Q67" s="220"/>
      <c r="R67" s="216"/>
      <c r="S67" s="216"/>
      <c r="T67" s="221"/>
    </row>
    <row r="68" spans="1:20" s="215" customFormat="1" x14ac:dyDescent="0.25">
      <c r="A68" s="310">
        <f>'A) Base RI'!A69</f>
        <v>5498</v>
      </c>
      <c r="B68" s="228" t="str">
        <f>'A) Base RI'!B69</f>
        <v>La Sarraz</v>
      </c>
      <c r="C68" s="244">
        <v>0</v>
      </c>
      <c r="D68" s="217">
        <f>'B) D RI'!AA69</f>
        <v>2596</v>
      </c>
      <c r="E68" s="218">
        <f>'B) D RI'!S69</f>
        <v>66</v>
      </c>
      <c r="F68" s="10">
        <f>'B) D RI'!R69</f>
        <v>5107438.773102765</v>
      </c>
      <c r="G68" s="10">
        <f>'B) D RI'!U69</f>
        <v>77385.435956102505</v>
      </c>
      <c r="H68" s="41">
        <f>'B) D RI'!T69</f>
        <v>4709080.6731027644</v>
      </c>
      <c r="I68" s="10">
        <f t="shared" si="2"/>
        <v>142699.4143364474</v>
      </c>
      <c r="J68" s="31">
        <f t="shared" si="6"/>
        <v>215063.45253213868</v>
      </c>
      <c r="K68" s="10">
        <f t="shared" si="0"/>
        <v>142699.4143364474</v>
      </c>
      <c r="L68" s="10">
        <f t="shared" si="4"/>
        <v>72364.038195691275</v>
      </c>
      <c r="M68" s="10">
        <f>'D) Ecrêtage'!C67</f>
        <v>77385.435956102505</v>
      </c>
      <c r="N68" s="10">
        <f t="shared" si="7"/>
        <v>102565.29776272552</v>
      </c>
      <c r="O68" s="55">
        <f t="shared" si="5"/>
        <v>245264.71209917293</v>
      </c>
      <c r="P68" s="219"/>
      <c r="Q68" s="220"/>
      <c r="R68" s="216"/>
      <c r="S68" s="216"/>
      <c r="T68" s="221"/>
    </row>
    <row r="69" spans="1:20" s="215" customFormat="1" x14ac:dyDescent="0.25">
      <c r="A69" s="310">
        <f>'A) Base RI'!A70</f>
        <v>5499</v>
      </c>
      <c r="B69" s="228" t="str">
        <f>'A) Base RI'!B70</f>
        <v>Senarclens</v>
      </c>
      <c r="C69" s="244">
        <v>0</v>
      </c>
      <c r="D69" s="217">
        <f>'B) D RI'!AA70</f>
        <v>488</v>
      </c>
      <c r="E69" s="218">
        <f>'B) D RI'!S70</f>
        <v>68.5</v>
      </c>
      <c r="F69" s="10">
        <f>'B) D RI'!R70</f>
        <v>1619405.2068876792</v>
      </c>
      <c r="G69" s="10">
        <f>'B) D RI'!U70</f>
        <v>23640.951925367579</v>
      </c>
      <c r="H69" s="41">
        <f>'B) D RI'!T70</f>
        <v>1526209.9068876791</v>
      </c>
      <c r="I69" s="10">
        <f t="shared" si="2"/>
        <v>44560.87319380085</v>
      </c>
      <c r="J69" s="31">
        <f t="shared" si="6"/>
        <v>40427.952556118522</v>
      </c>
      <c r="K69" s="10">
        <f t="shared" si="0"/>
        <v>40427.952556118522</v>
      </c>
      <c r="L69" s="10">
        <f t="shared" si="4"/>
        <v>0</v>
      </c>
      <c r="M69" s="10">
        <f>'D) Ecrêtage'!C68</f>
        <v>23640.951925367579</v>
      </c>
      <c r="N69" s="10">
        <f t="shared" si="7"/>
        <v>31333.302496287008</v>
      </c>
      <c r="O69" s="55">
        <f t="shared" si="5"/>
        <v>71761.255052405526</v>
      </c>
      <c r="P69" s="219"/>
      <c r="Q69" s="220"/>
      <c r="R69" s="216"/>
      <c r="S69" s="216"/>
      <c r="T69" s="221"/>
    </row>
    <row r="70" spans="1:20" s="215" customFormat="1" x14ac:dyDescent="0.25">
      <c r="A70" s="310">
        <f>'A) Base RI'!A71</f>
        <v>5500</v>
      </c>
      <c r="B70" s="228" t="str">
        <f>'A) Base RI'!B71</f>
        <v>Sévery</v>
      </c>
      <c r="C70" s="244">
        <v>0</v>
      </c>
      <c r="D70" s="217">
        <f>'B) D RI'!AA71</f>
        <v>225</v>
      </c>
      <c r="E70" s="218">
        <f>'B) D RI'!S71</f>
        <v>75</v>
      </c>
      <c r="F70" s="10">
        <f>'B) D RI'!R71</f>
        <v>472612.78274968179</v>
      </c>
      <c r="G70" s="10">
        <f>'B) D RI'!U71</f>
        <v>6301.5037699957575</v>
      </c>
      <c r="H70" s="41">
        <f>'B) D RI'!T71</f>
        <v>430477.41608301509</v>
      </c>
      <c r="I70" s="10">
        <f t="shared" si="2"/>
        <v>11479.397762213735</v>
      </c>
      <c r="J70" s="31">
        <f t="shared" ref="J70:J101" si="8">+$I$315/$D$315*D70</f>
        <v>18639.937141653005</v>
      </c>
      <c r="K70" s="10">
        <f t="shared" ref="K70:K133" si="9">IF(C70=1,0,IF(J70&gt;I70,I70,J70))</f>
        <v>11479.397762213735</v>
      </c>
      <c r="L70" s="10">
        <f t="shared" si="4"/>
        <v>7160.5393794392694</v>
      </c>
      <c r="M70" s="10">
        <f>'D) Ecrêtage'!C69</f>
        <v>6301.5037699957575</v>
      </c>
      <c r="N70" s="10">
        <f t="shared" ref="N70:N133" si="10">+$N$5*M70</f>
        <v>8351.9024288908822</v>
      </c>
      <c r="O70" s="55">
        <f t="shared" ref="O70:O133" si="11">+N70+K70</f>
        <v>19831.300191104616</v>
      </c>
      <c r="P70" s="219"/>
      <c r="Q70" s="220"/>
      <c r="R70" s="216"/>
      <c r="S70" s="216"/>
      <c r="T70" s="221"/>
    </row>
    <row r="71" spans="1:20" s="215" customFormat="1" x14ac:dyDescent="0.25">
      <c r="A71" s="310">
        <f>'A) Base RI'!A72</f>
        <v>5501</v>
      </c>
      <c r="B71" s="228" t="str">
        <f>'A) Base RI'!B72</f>
        <v>Sullens</v>
      </c>
      <c r="C71" s="244">
        <v>0</v>
      </c>
      <c r="D71" s="217">
        <f>'B) D RI'!AA72</f>
        <v>1036</v>
      </c>
      <c r="E71" s="218">
        <f>'B) D RI'!S72</f>
        <v>70</v>
      </c>
      <c r="F71" s="10">
        <f>'B) D RI'!R72</f>
        <v>2625972.5810338934</v>
      </c>
      <c r="G71" s="10">
        <f>'B) D RI'!U72</f>
        <v>37513.894014769903</v>
      </c>
      <c r="H71" s="41">
        <f>'B) D RI'!T72</f>
        <v>2410726.8310338934</v>
      </c>
      <c r="I71" s="10">
        <f t="shared" ref="I71:I134" si="12">+H71/E71*$I$5</f>
        <v>68877.909458111244</v>
      </c>
      <c r="J71" s="31">
        <f t="shared" si="8"/>
        <v>85826.555016677841</v>
      </c>
      <c r="K71" s="10">
        <f t="shared" si="9"/>
        <v>68877.909458111244</v>
      </c>
      <c r="L71" s="10">
        <f t="shared" ref="L71:L134" si="13">+J71-K71</f>
        <v>16948.645558566597</v>
      </c>
      <c r="M71" s="10">
        <f>'D) Ecrêtage'!C70</f>
        <v>37513.894014769903</v>
      </c>
      <c r="N71" s="10">
        <f t="shared" si="10"/>
        <v>49720.256303095543</v>
      </c>
      <c r="O71" s="55">
        <f t="shared" si="11"/>
        <v>118598.16576120679</v>
      </c>
      <c r="P71" s="219"/>
      <c r="Q71" s="220"/>
      <c r="R71" s="216"/>
      <c r="S71" s="216"/>
      <c r="T71" s="221"/>
    </row>
    <row r="72" spans="1:20" s="215" customFormat="1" x14ac:dyDescent="0.25">
      <c r="A72" s="310">
        <f>'A) Base RI'!A73</f>
        <v>5503</v>
      </c>
      <c r="B72" s="228" t="str">
        <f>'A) Base RI'!B73</f>
        <v>Vufflens-la-Ville</v>
      </c>
      <c r="C72" s="244">
        <v>0</v>
      </c>
      <c r="D72" s="217">
        <f>'B) D RI'!AA73</f>
        <v>1298</v>
      </c>
      <c r="E72" s="218">
        <f>'B) D RI'!S73</f>
        <v>67</v>
      </c>
      <c r="F72" s="10">
        <f>'B) D RI'!R73</f>
        <v>4792447.9425526429</v>
      </c>
      <c r="G72" s="10">
        <f>'B) D RI'!U73</f>
        <v>71529.073769442432</v>
      </c>
      <c r="H72" s="41">
        <f>'B) D RI'!T73</f>
        <v>4418916.3592193099</v>
      </c>
      <c r="I72" s="10">
        <f t="shared" si="12"/>
        <v>131907.95102147193</v>
      </c>
      <c r="J72" s="31">
        <f t="shared" si="8"/>
        <v>107531.72626606934</v>
      </c>
      <c r="K72" s="10">
        <f t="shared" si="9"/>
        <v>107531.72626606934</v>
      </c>
      <c r="L72" s="10">
        <f t="shared" si="13"/>
        <v>0</v>
      </c>
      <c r="M72" s="10">
        <f>'D) Ecrêtage'!C71</f>
        <v>71529.073769442432</v>
      </c>
      <c r="N72" s="10">
        <f t="shared" si="10"/>
        <v>94803.378170751064</v>
      </c>
      <c r="O72" s="55">
        <f t="shared" si="11"/>
        <v>202335.1044368204</v>
      </c>
      <c r="P72" s="219"/>
      <c r="Q72" s="220"/>
      <c r="R72" s="216"/>
      <c r="S72" s="216"/>
      <c r="T72" s="221"/>
    </row>
    <row r="73" spans="1:20" s="215" customFormat="1" x14ac:dyDescent="0.25">
      <c r="A73" s="310">
        <f>'A) Base RI'!A74</f>
        <v>5511</v>
      </c>
      <c r="B73" s="228" t="str">
        <f>'A) Base RI'!B74</f>
        <v>Assens</v>
      </c>
      <c r="C73" s="244">
        <v>0</v>
      </c>
      <c r="D73" s="217">
        <f>'B) D RI'!AA74</f>
        <v>1077</v>
      </c>
      <c r="E73" s="218">
        <f>'B) D RI'!S74</f>
        <v>70</v>
      </c>
      <c r="F73" s="10">
        <f>'B) D RI'!R74</f>
        <v>3004732.970570663</v>
      </c>
      <c r="G73" s="10">
        <f>'B) D RI'!U74</f>
        <v>42924.75672243804</v>
      </c>
      <c r="H73" s="41">
        <f>'B) D RI'!T74</f>
        <v>2776162.4205706632</v>
      </c>
      <c r="I73" s="10">
        <f t="shared" si="12"/>
        <v>79318.926302018954</v>
      </c>
      <c r="J73" s="31">
        <f t="shared" si="8"/>
        <v>89223.165784712386</v>
      </c>
      <c r="K73" s="10">
        <f t="shared" si="9"/>
        <v>79318.926302018954</v>
      </c>
      <c r="L73" s="10">
        <f t="shared" si="13"/>
        <v>9904.2394826934324</v>
      </c>
      <c r="M73" s="10">
        <f>'D) Ecrêtage'!C72</f>
        <v>42924.75672243804</v>
      </c>
      <c r="N73" s="10">
        <f t="shared" si="10"/>
        <v>56891.718709536188</v>
      </c>
      <c r="O73" s="55">
        <f t="shared" si="11"/>
        <v>136210.64501155514</v>
      </c>
      <c r="P73" s="219"/>
      <c r="Q73" s="220"/>
      <c r="R73" s="216"/>
      <c r="S73" s="216"/>
      <c r="T73" s="221"/>
    </row>
    <row r="74" spans="1:20" s="215" customFormat="1" x14ac:dyDescent="0.25">
      <c r="A74" s="310">
        <f>'A) Base RI'!A75</f>
        <v>5512</v>
      </c>
      <c r="B74" s="228" t="str">
        <f>'A) Base RI'!B75</f>
        <v>Bercher</v>
      </c>
      <c r="C74" s="244">
        <v>0</v>
      </c>
      <c r="D74" s="217">
        <f>'B) D RI'!AA75</f>
        <v>1239</v>
      </c>
      <c r="E74" s="218">
        <f>'B) D RI'!S75</f>
        <v>79</v>
      </c>
      <c r="F74" s="10">
        <f>'B) D RI'!R75</f>
        <v>2926486.4503400861</v>
      </c>
      <c r="G74" s="10">
        <f>'B) D RI'!U75</f>
        <v>37044.132282785904</v>
      </c>
      <c r="H74" s="41">
        <f>'B) D RI'!T75</f>
        <v>2688083.0503400858</v>
      </c>
      <c r="I74" s="10">
        <f t="shared" si="12"/>
        <v>68052.735451647735</v>
      </c>
      <c r="J74" s="31">
        <f t="shared" si="8"/>
        <v>102643.92052670255</v>
      </c>
      <c r="K74" s="10">
        <f t="shared" si="9"/>
        <v>68052.735451647735</v>
      </c>
      <c r="L74" s="10">
        <f t="shared" si="13"/>
        <v>34591.185075054818</v>
      </c>
      <c r="M74" s="10">
        <f>'D) Ecrêtage'!C73</f>
        <v>37044.132282785904</v>
      </c>
      <c r="N74" s="10">
        <f t="shared" si="10"/>
        <v>49097.642353543022</v>
      </c>
      <c r="O74" s="55">
        <f t="shared" si="11"/>
        <v>117150.37780519076</v>
      </c>
      <c r="P74" s="219"/>
      <c r="Q74" s="220"/>
      <c r="R74" s="216"/>
      <c r="S74" s="216"/>
      <c r="T74" s="221"/>
    </row>
    <row r="75" spans="1:20" s="215" customFormat="1" x14ac:dyDescent="0.25">
      <c r="A75" s="310">
        <f>'A) Base RI'!A76</f>
        <v>5513</v>
      </c>
      <c r="B75" s="228" t="str">
        <f>'A) Base RI'!B76</f>
        <v>Bioley-Orjulaz</v>
      </c>
      <c r="C75" s="244">
        <v>0</v>
      </c>
      <c r="D75" s="217">
        <f>'B) D RI'!AA76</f>
        <v>516</v>
      </c>
      <c r="E75" s="218">
        <f>'B) D RI'!S76</f>
        <v>68</v>
      </c>
      <c r="F75" s="10">
        <f>'B) D RI'!R76</f>
        <v>1440371.2591731814</v>
      </c>
      <c r="G75" s="10">
        <f>'B) D RI'!U76</f>
        <v>21181.93028195855</v>
      </c>
      <c r="H75" s="41">
        <f>'B) D RI'!T76</f>
        <v>1317138.8591731815</v>
      </c>
      <c r="I75" s="10">
        <f t="shared" si="12"/>
        <v>38739.378210975927</v>
      </c>
      <c r="J75" s="31">
        <f t="shared" si="8"/>
        <v>42747.589178190894</v>
      </c>
      <c r="K75" s="10">
        <f t="shared" si="9"/>
        <v>38739.378210975927</v>
      </c>
      <c r="L75" s="10">
        <f t="shared" si="13"/>
        <v>4008.2109672149672</v>
      </c>
      <c r="M75" s="10">
        <f>'D) Ecrêtage'!C74</f>
        <v>21181.93028195855</v>
      </c>
      <c r="N75" s="10">
        <f t="shared" si="10"/>
        <v>28074.158395783368</v>
      </c>
      <c r="O75" s="55">
        <f t="shared" si="11"/>
        <v>66813.536606759299</v>
      </c>
      <c r="P75" s="219"/>
      <c r="Q75" s="220"/>
      <c r="R75" s="216"/>
      <c r="S75" s="216"/>
      <c r="T75" s="221"/>
    </row>
    <row r="76" spans="1:20" s="215" customFormat="1" x14ac:dyDescent="0.25">
      <c r="A76" s="310">
        <f>'A) Base RI'!A77</f>
        <v>5514</v>
      </c>
      <c r="B76" s="228" t="str">
        <f>'A) Base RI'!B77</f>
        <v>Bottens</v>
      </c>
      <c r="C76" s="244">
        <v>0</v>
      </c>
      <c r="D76" s="217">
        <f>'B) D RI'!AA77</f>
        <v>1298</v>
      </c>
      <c r="E76" s="218">
        <f>'B) D RI'!S77</f>
        <v>69</v>
      </c>
      <c r="F76" s="10">
        <f>'B) D RI'!R77</f>
        <v>3080055.9734312762</v>
      </c>
      <c r="G76" s="10">
        <f>'B) D RI'!U77</f>
        <v>44638.492368569219</v>
      </c>
      <c r="H76" s="41">
        <f>'B) D RI'!T77</f>
        <v>2864495.1234312761</v>
      </c>
      <c r="I76" s="10">
        <f t="shared" si="12"/>
        <v>83028.844157428292</v>
      </c>
      <c r="J76" s="31">
        <f t="shared" si="8"/>
        <v>107531.72626606934</v>
      </c>
      <c r="K76" s="10">
        <f t="shared" si="9"/>
        <v>83028.844157428292</v>
      </c>
      <c r="L76" s="10">
        <f t="shared" si="13"/>
        <v>24502.882108641046</v>
      </c>
      <c r="M76" s="10">
        <f>'D) Ecrêtage'!C75</f>
        <v>44638.492368569219</v>
      </c>
      <c r="N76" s="10">
        <f t="shared" si="10"/>
        <v>59163.073838061253</v>
      </c>
      <c r="O76" s="55">
        <f t="shared" si="11"/>
        <v>142191.91799548955</v>
      </c>
      <c r="P76" s="219"/>
      <c r="Q76" s="220"/>
      <c r="R76" s="216"/>
      <c r="S76" s="216"/>
      <c r="T76" s="221"/>
    </row>
    <row r="77" spans="1:20" s="215" customFormat="1" x14ac:dyDescent="0.25">
      <c r="A77" s="310">
        <f>'A) Base RI'!A78</f>
        <v>5515</v>
      </c>
      <c r="B77" s="228" t="str">
        <f>'A) Base RI'!B78</f>
        <v>Bretigny-sur-Morrens</v>
      </c>
      <c r="C77" s="244">
        <v>0</v>
      </c>
      <c r="D77" s="217">
        <f>'B) D RI'!AA78</f>
        <v>843</v>
      </c>
      <c r="E77" s="218">
        <f>'B) D RI'!S78</f>
        <v>81</v>
      </c>
      <c r="F77" s="10">
        <f>'B) D RI'!R78</f>
        <v>2335323.8729216107</v>
      </c>
      <c r="G77" s="10">
        <f>'B) D RI'!U78</f>
        <v>28831.158924958156</v>
      </c>
      <c r="H77" s="41">
        <f>'B) D RI'!T78</f>
        <v>2172208.7229216108</v>
      </c>
      <c r="I77" s="10">
        <f t="shared" si="12"/>
        <v>53634.78328201508</v>
      </c>
      <c r="J77" s="31">
        <f t="shared" si="8"/>
        <v>69837.631157393262</v>
      </c>
      <c r="K77" s="10">
        <f t="shared" si="9"/>
        <v>53634.78328201508</v>
      </c>
      <c r="L77" s="10">
        <f t="shared" si="13"/>
        <v>16202.847875378182</v>
      </c>
      <c r="M77" s="10">
        <f>'D) Ecrêtage'!C76</f>
        <v>28831.158924958156</v>
      </c>
      <c r="N77" s="10">
        <f t="shared" si="10"/>
        <v>38212.311702427047</v>
      </c>
      <c r="O77" s="55">
        <f t="shared" si="11"/>
        <v>91847.094984442127</v>
      </c>
      <c r="P77" s="219"/>
      <c r="Q77" s="220"/>
      <c r="R77" s="216"/>
      <c r="S77" s="216"/>
      <c r="T77" s="221"/>
    </row>
    <row r="78" spans="1:20" s="215" customFormat="1" x14ac:dyDescent="0.25">
      <c r="A78" s="310">
        <f>'A) Base RI'!A79</f>
        <v>5516</v>
      </c>
      <c r="B78" s="228" t="str">
        <f>'A) Base RI'!B79</f>
        <v>Cugy</v>
      </c>
      <c r="C78" s="244">
        <v>0</v>
      </c>
      <c r="D78" s="217">
        <f>'B) D RI'!AA79</f>
        <v>2742</v>
      </c>
      <c r="E78" s="218">
        <f>'B) D RI'!S79</f>
        <v>78</v>
      </c>
      <c r="F78" s="10">
        <f>'B) D RI'!R79</f>
        <v>8676982.5165687837</v>
      </c>
      <c r="G78" s="10">
        <f>'B) D RI'!U79</f>
        <v>111243.36559703569</v>
      </c>
      <c r="H78" s="41">
        <f>'B) D RI'!T79</f>
        <v>8062043.9665687839</v>
      </c>
      <c r="I78" s="10">
        <f t="shared" si="12"/>
        <v>206719.07606586625</v>
      </c>
      <c r="J78" s="31">
        <f t="shared" si="8"/>
        <v>227158.70063294464</v>
      </c>
      <c r="K78" s="10">
        <f t="shared" si="9"/>
        <v>206719.07606586625</v>
      </c>
      <c r="L78" s="10">
        <f t="shared" si="13"/>
        <v>20439.624567078397</v>
      </c>
      <c r="M78" s="10">
        <f>'D) Ecrêtage'!C77</f>
        <v>111243.36559703569</v>
      </c>
      <c r="N78" s="10">
        <f t="shared" si="10"/>
        <v>147440.00309127869</v>
      </c>
      <c r="O78" s="55">
        <f t="shared" si="11"/>
        <v>354159.07915714494</v>
      </c>
      <c r="P78" s="219"/>
      <c r="Q78" s="220"/>
      <c r="R78" s="216"/>
      <c r="S78" s="216"/>
      <c r="T78" s="221"/>
    </row>
    <row r="79" spans="1:20" s="215" customFormat="1" x14ac:dyDescent="0.25">
      <c r="A79" s="310">
        <f>'A) Base RI'!A80</f>
        <v>5518</v>
      </c>
      <c r="B79" s="228" t="str">
        <f>'A) Base RI'!B80</f>
        <v>Echallens</v>
      </c>
      <c r="C79" s="244">
        <v>0</v>
      </c>
      <c r="D79" s="217">
        <f>'B) D RI'!AA80</f>
        <v>5742</v>
      </c>
      <c r="E79" s="218">
        <f>'B) D RI'!S80</f>
        <v>74</v>
      </c>
      <c r="F79" s="10">
        <f>'B) D RI'!R80</f>
        <v>13391001.293855434</v>
      </c>
      <c r="G79" s="10">
        <f>'B) D RI'!U80</f>
        <v>180959.47694399237</v>
      </c>
      <c r="H79" s="41">
        <f>'B) D RI'!T80</f>
        <v>12239471.193855433</v>
      </c>
      <c r="I79" s="10">
        <f t="shared" si="12"/>
        <v>330796.51875284954</v>
      </c>
      <c r="J79" s="31">
        <f t="shared" si="8"/>
        <v>475691.19585498475</v>
      </c>
      <c r="K79" s="10">
        <f t="shared" si="9"/>
        <v>330796.51875284954</v>
      </c>
      <c r="L79" s="10">
        <f t="shared" si="13"/>
        <v>144894.6771021352</v>
      </c>
      <c r="M79" s="10">
        <f>'D) Ecrêtage'!C78</f>
        <v>180959.47694399237</v>
      </c>
      <c r="N79" s="10">
        <f t="shared" si="10"/>
        <v>239840.5127067584</v>
      </c>
      <c r="O79" s="55">
        <f t="shared" si="11"/>
        <v>570637.03145960788</v>
      </c>
      <c r="P79" s="219"/>
      <c r="Q79" s="220"/>
      <c r="R79" s="216"/>
      <c r="S79" s="216"/>
      <c r="T79" s="221"/>
    </row>
    <row r="80" spans="1:20" s="215" customFormat="1" x14ac:dyDescent="0.25">
      <c r="A80" s="310">
        <f>'A) Base RI'!A81</f>
        <v>5520</v>
      </c>
      <c r="B80" s="228" t="str">
        <f>'A) Base RI'!B81</f>
        <v>Essertines-sur-Yverdon</v>
      </c>
      <c r="C80" s="244">
        <v>0</v>
      </c>
      <c r="D80" s="217">
        <f>'B) D RI'!AA81</f>
        <v>1024</v>
      </c>
      <c r="E80" s="218">
        <f>'B) D RI'!S81</f>
        <v>73</v>
      </c>
      <c r="F80" s="10">
        <f>'B) D RI'!R81</f>
        <v>2320885.1625253344</v>
      </c>
      <c r="G80" s="10">
        <f>'B) D RI'!U81</f>
        <v>31792.947431853896</v>
      </c>
      <c r="H80" s="41">
        <f>'B) D RI'!T81</f>
        <v>2145239.2625253345</v>
      </c>
      <c r="I80" s="10">
        <f t="shared" si="12"/>
        <v>58773.678425351631</v>
      </c>
      <c r="J80" s="31">
        <f t="shared" si="8"/>
        <v>84832.425035789682</v>
      </c>
      <c r="K80" s="10">
        <f t="shared" si="9"/>
        <v>58773.678425351631</v>
      </c>
      <c r="L80" s="10">
        <f t="shared" si="13"/>
        <v>26058.746610438051</v>
      </c>
      <c r="M80" s="10">
        <f>'D) Ecrêtage'!C79</f>
        <v>31792.947431853896</v>
      </c>
      <c r="N80" s="10">
        <f t="shared" si="10"/>
        <v>42137.814174136322</v>
      </c>
      <c r="O80" s="55">
        <f t="shared" si="11"/>
        <v>100911.49259948794</v>
      </c>
      <c r="P80" s="219"/>
      <c r="Q80" s="220"/>
      <c r="R80" s="216"/>
      <c r="S80" s="216"/>
      <c r="T80" s="221"/>
    </row>
    <row r="81" spans="1:20" s="215" customFormat="1" x14ac:dyDescent="0.25">
      <c r="A81" s="310">
        <f>'A) Base RI'!A82</f>
        <v>5521</v>
      </c>
      <c r="B81" s="228" t="str">
        <f>'A) Base RI'!B82</f>
        <v>Etagnières</v>
      </c>
      <c r="C81" s="244">
        <v>0</v>
      </c>
      <c r="D81" s="217">
        <f>'B) D RI'!AA82</f>
        <v>1118</v>
      </c>
      <c r="E81" s="218">
        <f>'B) D RI'!S82</f>
        <v>73</v>
      </c>
      <c r="F81" s="10">
        <f>'B) D RI'!R82</f>
        <v>3056032.0500385948</v>
      </c>
      <c r="G81" s="10">
        <f>'B) D RI'!U82</f>
        <v>41863.452740254725</v>
      </c>
      <c r="H81" s="41">
        <f>'B) D RI'!T82</f>
        <v>2797346.1000385946</v>
      </c>
      <c r="I81" s="10">
        <f t="shared" si="12"/>
        <v>76639.619179139583</v>
      </c>
      <c r="J81" s="31">
        <f t="shared" si="8"/>
        <v>92619.776552746931</v>
      </c>
      <c r="K81" s="10">
        <f t="shared" si="9"/>
        <v>76639.619179139583</v>
      </c>
      <c r="L81" s="10">
        <f t="shared" si="13"/>
        <v>15980.157373607348</v>
      </c>
      <c r="M81" s="10">
        <f>'D) Ecrêtage'!C80</f>
        <v>41863.452740254725</v>
      </c>
      <c r="N81" s="10">
        <f t="shared" si="10"/>
        <v>55485.085050314505</v>
      </c>
      <c r="O81" s="55">
        <f t="shared" si="11"/>
        <v>132124.7042294541</v>
      </c>
      <c r="P81" s="219"/>
      <c r="Q81" s="220"/>
      <c r="R81" s="216"/>
      <c r="S81" s="216"/>
      <c r="T81" s="221"/>
    </row>
    <row r="82" spans="1:20" s="215" customFormat="1" x14ac:dyDescent="0.25">
      <c r="A82" s="310">
        <f>'A) Base RI'!A83</f>
        <v>5522</v>
      </c>
      <c r="B82" s="228" t="str">
        <f>'A) Base RI'!B83</f>
        <v>Fey</v>
      </c>
      <c r="C82" s="244">
        <v>0</v>
      </c>
      <c r="D82" s="217">
        <f>'B) D RI'!AA83</f>
        <v>734</v>
      </c>
      <c r="E82" s="218">
        <f>'B) D RI'!S83</f>
        <v>75</v>
      </c>
      <c r="F82" s="10">
        <f>'B) D RI'!R83</f>
        <v>1614793.3934769575</v>
      </c>
      <c r="G82" s="10">
        <f>'B) D RI'!U83</f>
        <v>21530.578579692767</v>
      </c>
      <c r="H82" s="41">
        <f>'B) D RI'!T83</f>
        <v>1491508.0934769576</v>
      </c>
      <c r="I82" s="10">
        <f t="shared" si="12"/>
        <v>39773.54915938554</v>
      </c>
      <c r="J82" s="31">
        <f t="shared" si="8"/>
        <v>60807.617164325806</v>
      </c>
      <c r="K82" s="10">
        <f t="shared" si="9"/>
        <v>39773.54915938554</v>
      </c>
      <c r="L82" s="10">
        <f t="shared" si="13"/>
        <v>21034.068004940265</v>
      </c>
      <c r="M82" s="10">
        <f>'D) Ecrêtage'!C81</f>
        <v>21530.578579692767</v>
      </c>
      <c r="N82" s="10">
        <f t="shared" si="10"/>
        <v>28536.250726591737</v>
      </c>
      <c r="O82" s="55">
        <f t="shared" si="11"/>
        <v>68309.799885977278</v>
      </c>
      <c r="P82" s="219"/>
      <c r="Q82" s="220"/>
      <c r="R82" s="216"/>
      <c r="S82" s="216"/>
      <c r="T82" s="221"/>
    </row>
    <row r="83" spans="1:20" s="215" customFormat="1" x14ac:dyDescent="0.25">
      <c r="A83" s="310">
        <f>'A) Base RI'!A84</f>
        <v>5523</v>
      </c>
      <c r="B83" s="228" t="str">
        <f>'A) Base RI'!B84</f>
        <v>Froideville</v>
      </c>
      <c r="C83" s="244">
        <v>0</v>
      </c>
      <c r="D83" s="217">
        <f>'B) D RI'!AA84</f>
        <v>2576</v>
      </c>
      <c r="E83" s="218">
        <f>'B) D RI'!S84</f>
        <v>76</v>
      </c>
      <c r="F83" s="10">
        <f>'B) D RI'!R84</f>
        <v>6302959.1884086942</v>
      </c>
      <c r="G83" s="10">
        <f>'B) D RI'!U84</f>
        <v>82933.673531693348</v>
      </c>
      <c r="H83" s="41">
        <f>'B) D RI'!T84</f>
        <v>5782375.8484086944</v>
      </c>
      <c r="I83" s="10">
        <f t="shared" si="12"/>
        <v>152167.78548443932</v>
      </c>
      <c r="J83" s="31">
        <f t="shared" si="8"/>
        <v>213406.56923065841</v>
      </c>
      <c r="K83" s="10">
        <f t="shared" si="9"/>
        <v>152167.78548443932</v>
      </c>
      <c r="L83" s="10">
        <f t="shared" si="13"/>
        <v>61238.783746219095</v>
      </c>
      <c r="M83" s="10">
        <f>'D) Ecrêtage'!C82</f>
        <v>82933.673531693348</v>
      </c>
      <c r="N83" s="10">
        <f t="shared" si="10"/>
        <v>109918.83440651491</v>
      </c>
      <c r="O83" s="55">
        <f t="shared" si="11"/>
        <v>262086.61989095423</v>
      </c>
      <c r="P83" s="219"/>
      <c r="Q83" s="220"/>
      <c r="R83" s="216"/>
      <c r="S83" s="216"/>
      <c r="T83" s="221"/>
    </row>
    <row r="84" spans="1:20" s="215" customFormat="1" x14ac:dyDescent="0.25">
      <c r="A84" s="310">
        <f>'A) Base RI'!A85</f>
        <v>5527</v>
      </c>
      <c r="B84" s="228" t="str">
        <f>'A) Base RI'!B85</f>
        <v>Morrens</v>
      </c>
      <c r="C84" s="244">
        <v>0</v>
      </c>
      <c r="D84" s="217">
        <f>'B) D RI'!AA85</f>
        <v>1077</v>
      </c>
      <c r="E84" s="218">
        <f>'B) D RI'!S85</f>
        <v>74</v>
      </c>
      <c r="F84" s="10">
        <f>'B) D RI'!R85</f>
        <v>2800626.7835117774</v>
      </c>
      <c r="G84" s="10">
        <f>'B) D RI'!U85</f>
        <v>37846.307885294293</v>
      </c>
      <c r="H84" s="41">
        <f>'B) D RI'!T85</f>
        <v>2580285.5835117772</v>
      </c>
      <c r="I84" s="10">
        <f t="shared" si="12"/>
        <v>69737.448203021006</v>
      </c>
      <c r="J84" s="31">
        <f t="shared" si="8"/>
        <v>89223.165784712386</v>
      </c>
      <c r="K84" s="10">
        <f t="shared" si="9"/>
        <v>69737.448203021006</v>
      </c>
      <c r="L84" s="10">
        <f t="shared" si="13"/>
        <v>19485.71758169138</v>
      </c>
      <c r="M84" s="10">
        <f>'D) Ecrêtage'!C83</f>
        <v>37846.307885294293</v>
      </c>
      <c r="N84" s="10">
        <f t="shared" si="10"/>
        <v>50160.831809191215</v>
      </c>
      <c r="O84" s="55">
        <f t="shared" si="11"/>
        <v>119898.28001221223</v>
      </c>
      <c r="P84" s="219"/>
      <c r="Q84" s="220"/>
      <c r="R84" s="216"/>
      <c r="S84" s="216"/>
      <c r="T84" s="221"/>
    </row>
    <row r="85" spans="1:20" s="215" customFormat="1" x14ac:dyDescent="0.25">
      <c r="A85" s="310">
        <f>'A) Base RI'!A86</f>
        <v>5529</v>
      </c>
      <c r="B85" s="228" t="str">
        <f>'A) Base RI'!B86</f>
        <v>Oulens-sous-Echallens</v>
      </c>
      <c r="C85" s="244">
        <v>0</v>
      </c>
      <c r="D85" s="217">
        <f>'B) D RI'!AA86</f>
        <v>611</v>
      </c>
      <c r="E85" s="218">
        <f>'B) D RI'!S86</f>
        <v>71</v>
      </c>
      <c r="F85" s="10">
        <f>'B) D RI'!R86</f>
        <v>1507520.6083461603</v>
      </c>
      <c r="G85" s="10">
        <f>'B) D RI'!U86</f>
        <v>21232.684624593807</v>
      </c>
      <c r="H85" s="41">
        <f>'B) D RI'!T86</f>
        <v>1398767.1583461603</v>
      </c>
      <c r="I85" s="10">
        <f t="shared" si="12"/>
        <v>39401.891784398882</v>
      </c>
      <c r="J85" s="31">
        <f t="shared" si="8"/>
        <v>50617.784860222164</v>
      </c>
      <c r="K85" s="10">
        <f t="shared" si="9"/>
        <v>39401.891784398882</v>
      </c>
      <c r="L85" s="10">
        <f t="shared" si="13"/>
        <v>11215.893075823282</v>
      </c>
      <c r="M85" s="10">
        <f>'D) Ecrêtage'!C84</f>
        <v>21232.684624593807</v>
      </c>
      <c r="N85" s="10">
        <f t="shared" si="10"/>
        <v>28141.427310157505</v>
      </c>
      <c r="O85" s="55">
        <f t="shared" si="11"/>
        <v>67543.319094556384</v>
      </c>
      <c r="P85" s="219"/>
      <c r="Q85" s="220"/>
      <c r="R85" s="216"/>
      <c r="S85" s="216"/>
      <c r="T85" s="221"/>
    </row>
    <row r="86" spans="1:20" s="215" customFormat="1" x14ac:dyDescent="0.25">
      <c r="A86" s="310">
        <f>'A) Base RI'!A87</f>
        <v>5530</v>
      </c>
      <c r="B86" s="228" t="str">
        <f>'A) Base RI'!B87</f>
        <v>Pailly</v>
      </c>
      <c r="C86" s="244">
        <v>0</v>
      </c>
      <c r="D86" s="217">
        <f>'B) D RI'!AA87</f>
        <v>561</v>
      </c>
      <c r="E86" s="218">
        <f>'B) D RI'!S87</f>
        <v>77.5</v>
      </c>
      <c r="F86" s="10">
        <f>'B) D RI'!R87</f>
        <v>1303769.7942222229</v>
      </c>
      <c r="G86" s="10">
        <f>'B) D RI'!U87</f>
        <v>16822.836054480296</v>
      </c>
      <c r="H86" s="41">
        <f>'B) D RI'!T87</f>
        <v>1220137.8775555561</v>
      </c>
      <c r="I86" s="10">
        <f t="shared" si="12"/>
        <v>31487.4290982079</v>
      </c>
      <c r="J86" s="31">
        <f t="shared" si="8"/>
        <v>46475.576606521492</v>
      </c>
      <c r="K86" s="10">
        <f t="shared" si="9"/>
        <v>31487.4290982079</v>
      </c>
      <c r="L86" s="10">
        <f t="shared" si="13"/>
        <v>14988.147508313592</v>
      </c>
      <c r="M86" s="10">
        <f>'D) Ecrêtage'!C85</f>
        <v>16822.836054480296</v>
      </c>
      <c r="N86" s="10">
        <f t="shared" si="10"/>
        <v>22296.691461686085</v>
      </c>
      <c r="O86" s="55">
        <f t="shared" si="11"/>
        <v>53784.120559893985</v>
      </c>
      <c r="P86" s="219"/>
      <c r="Q86" s="220"/>
      <c r="R86" s="216"/>
      <c r="S86" s="216"/>
      <c r="T86" s="221"/>
    </row>
    <row r="87" spans="1:20" s="215" customFormat="1" x14ac:dyDescent="0.25">
      <c r="A87" s="310">
        <f>'A) Base RI'!A88</f>
        <v>5531</v>
      </c>
      <c r="B87" s="228" t="str">
        <f>'A) Base RI'!B88</f>
        <v>Penthéréaz</v>
      </c>
      <c r="C87" s="244">
        <v>0</v>
      </c>
      <c r="D87" s="217">
        <f>'B) D RI'!AA88</f>
        <v>421</v>
      </c>
      <c r="E87" s="218">
        <f>'B) D RI'!S88</f>
        <v>78</v>
      </c>
      <c r="F87" s="10">
        <f>'B) D RI'!R88</f>
        <v>1169175.157683115</v>
      </c>
      <c r="G87" s="10">
        <f>'B) D RI'!U88</f>
        <v>14989.425098501475</v>
      </c>
      <c r="H87" s="41">
        <f>'B) D RI'!T88</f>
        <v>1093287.157683115</v>
      </c>
      <c r="I87" s="10">
        <f t="shared" si="12"/>
        <v>28033.004043156794</v>
      </c>
      <c r="J87" s="31">
        <f t="shared" si="8"/>
        <v>34877.393496159624</v>
      </c>
      <c r="K87" s="10">
        <f t="shared" si="9"/>
        <v>28033.004043156794</v>
      </c>
      <c r="L87" s="10">
        <f t="shared" si="13"/>
        <v>6844.3894530028301</v>
      </c>
      <c r="M87" s="10">
        <f>'D) Ecrêtage'!C86</f>
        <v>14989.425098501475</v>
      </c>
      <c r="N87" s="10">
        <f t="shared" si="10"/>
        <v>19866.720779242936</v>
      </c>
      <c r="O87" s="55">
        <f t="shared" si="11"/>
        <v>47899.72482239973</v>
      </c>
      <c r="P87" s="219"/>
      <c r="Q87" s="220"/>
      <c r="R87" s="216"/>
      <c r="S87" s="216"/>
      <c r="T87" s="221"/>
    </row>
    <row r="88" spans="1:20" s="215" customFormat="1" x14ac:dyDescent="0.25">
      <c r="A88" s="310">
        <f>'A) Base RI'!A89</f>
        <v>5533</v>
      </c>
      <c r="B88" s="228" t="str">
        <f>'A) Base RI'!B89</f>
        <v>Poliez-Pittet</v>
      </c>
      <c r="C88" s="244">
        <v>0</v>
      </c>
      <c r="D88" s="217">
        <f>'B) D RI'!AA89</f>
        <v>846</v>
      </c>
      <c r="E88" s="218">
        <f>'B) D RI'!S89</f>
        <v>71</v>
      </c>
      <c r="F88" s="10">
        <f>'B) D RI'!R89</f>
        <v>1794583.4311271426</v>
      </c>
      <c r="G88" s="10">
        <f>'B) D RI'!U89</f>
        <v>25275.822973621725</v>
      </c>
      <c r="H88" s="41">
        <f>'B) D RI'!T89</f>
        <v>1647927.6811271426</v>
      </c>
      <c r="I88" s="10">
        <f t="shared" si="12"/>
        <v>46420.498059919511</v>
      </c>
      <c r="J88" s="31">
        <f t="shared" si="8"/>
        <v>70086.163652615302</v>
      </c>
      <c r="K88" s="10">
        <f t="shared" si="9"/>
        <v>46420.498059919511</v>
      </c>
      <c r="L88" s="10">
        <f t="shared" si="13"/>
        <v>23665.66559269579</v>
      </c>
      <c r="M88" s="10">
        <f>'D) Ecrêtage'!C87</f>
        <v>25275.822973621725</v>
      </c>
      <c r="N88" s="10">
        <f t="shared" si="10"/>
        <v>33500.131871816586</v>
      </c>
      <c r="O88" s="55">
        <f t="shared" si="11"/>
        <v>79920.629931736097</v>
      </c>
      <c r="P88" s="219"/>
      <c r="Q88" s="220"/>
      <c r="R88" s="216"/>
      <c r="S88" s="216"/>
      <c r="T88" s="221"/>
    </row>
    <row r="89" spans="1:20" s="215" customFormat="1" x14ac:dyDescent="0.25">
      <c r="A89" s="310">
        <f>'A) Base RI'!A90</f>
        <v>5534</v>
      </c>
      <c r="B89" s="228" t="str">
        <f>'A) Base RI'!B90</f>
        <v>Rueyres</v>
      </c>
      <c r="C89" s="244">
        <v>0</v>
      </c>
      <c r="D89" s="217">
        <f>'B) D RI'!AA90</f>
        <v>255</v>
      </c>
      <c r="E89" s="218">
        <f>'B) D RI'!S90</f>
        <v>73</v>
      </c>
      <c r="F89" s="10">
        <f>'B) D RI'!R90</f>
        <v>606858.64763786248</v>
      </c>
      <c r="G89" s="10">
        <f>'B) D RI'!U90</f>
        <v>8313.1321594227738</v>
      </c>
      <c r="H89" s="41">
        <f>'B) D RI'!T90</f>
        <v>533609.89763786248</v>
      </c>
      <c r="I89" s="10">
        <f t="shared" si="12"/>
        <v>14619.449250352396</v>
      </c>
      <c r="J89" s="31">
        <f t="shared" si="8"/>
        <v>21125.262093873407</v>
      </c>
      <c r="K89" s="10">
        <f t="shared" si="9"/>
        <v>14619.449250352396</v>
      </c>
      <c r="L89" s="10">
        <f t="shared" si="13"/>
        <v>6505.812843521011</v>
      </c>
      <c r="M89" s="10">
        <f>'D) Ecrêtage'!C88</f>
        <v>8313.1321594227738</v>
      </c>
      <c r="N89" s="10">
        <f t="shared" si="10"/>
        <v>11018.079367747599</v>
      </c>
      <c r="O89" s="55">
        <f t="shared" si="11"/>
        <v>25637.528618099997</v>
      </c>
      <c r="P89" s="219"/>
      <c r="Q89" s="220"/>
      <c r="R89" s="216"/>
      <c r="S89" s="216"/>
      <c r="T89" s="221"/>
    </row>
    <row r="90" spans="1:20" s="215" customFormat="1" x14ac:dyDescent="0.25">
      <c r="A90" s="310">
        <f>'A) Base RI'!A91</f>
        <v>5535</v>
      </c>
      <c r="B90" s="228" t="str">
        <f>'A) Base RI'!B91</f>
        <v>Saint-Barthélemy</v>
      </c>
      <c r="C90" s="244">
        <v>0</v>
      </c>
      <c r="D90" s="217">
        <f>'B) D RI'!AA91</f>
        <v>778</v>
      </c>
      <c r="E90" s="218">
        <f>'B) D RI'!S91</f>
        <v>77</v>
      </c>
      <c r="F90" s="10">
        <f>'B) D RI'!R91</f>
        <v>1678787.0188450622</v>
      </c>
      <c r="G90" s="10">
        <f>'B) D RI'!U91</f>
        <v>21802.428816169639</v>
      </c>
      <c r="H90" s="41">
        <f>'B) D RI'!T91</f>
        <v>1545120.4188450621</v>
      </c>
      <c r="I90" s="10">
        <f t="shared" si="12"/>
        <v>40132.997892079533</v>
      </c>
      <c r="J90" s="31">
        <f t="shared" si="8"/>
        <v>64452.760427582398</v>
      </c>
      <c r="K90" s="10">
        <f t="shared" si="9"/>
        <v>40132.997892079533</v>
      </c>
      <c r="L90" s="10">
        <f t="shared" si="13"/>
        <v>24319.762535502865</v>
      </c>
      <c r="M90" s="10">
        <f>'D) Ecrêtage'!C89</f>
        <v>21802.428816169639</v>
      </c>
      <c r="N90" s="10">
        <f t="shared" si="10"/>
        <v>28896.556255747564</v>
      </c>
      <c r="O90" s="55">
        <f t="shared" si="11"/>
        <v>69029.55414782709</v>
      </c>
      <c r="P90" s="219"/>
      <c r="Q90" s="220"/>
      <c r="R90" s="216"/>
      <c r="S90" s="216"/>
      <c r="T90" s="221"/>
    </row>
    <row r="91" spans="1:20" s="215" customFormat="1" x14ac:dyDescent="0.25">
      <c r="A91" s="310">
        <f>'A) Base RI'!A92</f>
        <v>5537</v>
      </c>
      <c r="B91" s="228" t="str">
        <f>'A) Base RI'!B92</f>
        <v>Villars-le-Terroir</v>
      </c>
      <c r="C91" s="244">
        <v>0</v>
      </c>
      <c r="D91" s="217">
        <f>'B) D RI'!AA92</f>
        <v>1213</v>
      </c>
      <c r="E91" s="218">
        <f>'B) D RI'!S92</f>
        <v>73</v>
      </c>
      <c r="F91" s="10">
        <f>'B) D RI'!R92</f>
        <v>2723798.0535671399</v>
      </c>
      <c r="G91" s="10">
        <f>'B) D RI'!U92</f>
        <v>37312.302103659451</v>
      </c>
      <c r="H91" s="41">
        <f>'B) D RI'!T92</f>
        <v>2512464.8285671398</v>
      </c>
      <c r="I91" s="10">
        <f t="shared" si="12"/>
        <v>68834.652837455884</v>
      </c>
      <c r="J91" s="31">
        <f t="shared" si="8"/>
        <v>100489.97223477821</v>
      </c>
      <c r="K91" s="10">
        <f t="shared" si="9"/>
        <v>68834.652837455884</v>
      </c>
      <c r="L91" s="10">
        <f t="shared" si="13"/>
        <v>31655.319397322324</v>
      </c>
      <c r="M91" s="10">
        <f>'D) Ecrêtage'!C90</f>
        <v>37312.302103659451</v>
      </c>
      <c r="N91" s="10">
        <f t="shared" si="10"/>
        <v>49453.069924494157</v>
      </c>
      <c r="O91" s="55">
        <f t="shared" si="11"/>
        <v>118287.72276195005</v>
      </c>
      <c r="P91" s="219"/>
      <c r="Q91" s="220"/>
      <c r="R91" s="216"/>
      <c r="S91" s="216"/>
      <c r="T91" s="221"/>
    </row>
    <row r="92" spans="1:20" s="215" customFormat="1" x14ac:dyDescent="0.25">
      <c r="A92" s="310">
        <f>'A) Base RI'!A93</f>
        <v>5539</v>
      </c>
      <c r="B92" s="228" t="str">
        <f>'A) Base RI'!B93</f>
        <v>Vuarrens</v>
      </c>
      <c r="C92" s="244">
        <v>0</v>
      </c>
      <c r="D92" s="217">
        <f>'B) D RI'!AA93</f>
        <v>1001</v>
      </c>
      <c r="E92" s="218">
        <f>'B) D RI'!S93</f>
        <v>75</v>
      </c>
      <c r="F92" s="10">
        <f>'B) D RI'!R93</f>
        <v>2164751.8394352156</v>
      </c>
      <c r="G92" s="10">
        <f>'B) D RI'!U93</f>
        <v>28863.357859136209</v>
      </c>
      <c r="H92" s="41">
        <f>'B) D RI'!T93</f>
        <v>1985778.2644352156</v>
      </c>
      <c r="I92" s="10">
        <f t="shared" si="12"/>
        <v>52954.087051605748</v>
      </c>
      <c r="J92" s="31">
        <f t="shared" si="8"/>
        <v>82927.009239087376</v>
      </c>
      <c r="K92" s="10">
        <f t="shared" si="9"/>
        <v>52954.087051605748</v>
      </c>
      <c r="L92" s="10">
        <f t="shared" si="13"/>
        <v>29972.922187481628</v>
      </c>
      <c r="M92" s="10">
        <f>'D) Ecrêtage'!C91</f>
        <v>28863.357859136209</v>
      </c>
      <c r="N92" s="10">
        <f t="shared" si="10"/>
        <v>38254.987604304602</v>
      </c>
      <c r="O92" s="55">
        <f t="shared" si="11"/>
        <v>91209.074655910343</v>
      </c>
      <c r="P92" s="219"/>
      <c r="Q92" s="220"/>
      <c r="R92" s="216"/>
      <c r="S92" s="216"/>
      <c r="T92" s="221"/>
    </row>
    <row r="93" spans="1:20" s="215" customFormat="1" x14ac:dyDescent="0.25">
      <c r="A93" s="310">
        <f>'A) Base RI'!A94</f>
        <v>5540</v>
      </c>
      <c r="B93" s="228" t="str">
        <f>'A) Base RI'!B94</f>
        <v>Montilliez</v>
      </c>
      <c r="C93" s="244">
        <v>0</v>
      </c>
      <c r="D93" s="217">
        <f>'B) D RI'!AA94</f>
        <v>1781</v>
      </c>
      <c r="E93" s="218">
        <f>'B) D RI'!S94</f>
        <v>74</v>
      </c>
      <c r="F93" s="10">
        <f>'B) D RI'!R94</f>
        <v>4372788.7966786455</v>
      </c>
      <c r="G93" s="10">
        <f>'B) D RI'!U94</f>
        <v>59091.740495657374</v>
      </c>
      <c r="H93" s="41">
        <f>'B) D RI'!T94</f>
        <v>4053768.6966786459</v>
      </c>
      <c r="I93" s="10">
        <f t="shared" si="12"/>
        <v>109561.31612644989</v>
      </c>
      <c r="J93" s="31">
        <f t="shared" si="8"/>
        <v>147545.4579968178</v>
      </c>
      <c r="K93" s="10">
        <f t="shared" si="9"/>
        <v>109561.31612644989</v>
      </c>
      <c r="L93" s="10">
        <f t="shared" si="13"/>
        <v>37984.141870367908</v>
      </c>
      <c r="M93" s="10">
        <f>'D) Ecrêtage'!C92</f>
        <v>59091.740495657374</v>
      </c>
      <c r="N93" s="10">
        <f t="shared" si="10"/>
        <v>78319.155075805465</v>
      </c>
      <c r="O93" s="55">
        <f t="shared" si="11"/>
        <v>187880.47120225534</v>
      </c>
      <c r="P93" s="219"/>
      <c r="Q93" s="220"/>
      <c r="R93" s="216"/>
      <c r="S93" s="216"/>
      <c r="T93" s="221"/>
    </row>
    <row r="94" spans="1:20" s="215" customFormat="1" x14ac:dyDescent="0.25">
      <c r="A94" s="310">
        <f>'A) Base RI'!A95</f>
        <v>5541</v>
      </c>
      <c r="B94" s="228" t="str">
        <f>'A) Base RI'!B95</f>
        <v>Goumoëns</v>
      </c>
      <c r="C94" s="244">
        <v>0</v>
      </c>
      <c r="D94" s="217">
        <f>'B) D RI'!AA95</f>
        <v>1119</v>
      </c>
      <c r="E94" s="218">
        <f>'B) D RI'!S95</f>
        <v>77</v>
      </c>
      <c r="F94" s="10">
        <f>'B) D RI'!R95</f>
        <v>2712784.4676806745</v>
      </c>
      <c r="G94" s="10">
        <f>'B) D RI'!U95</f>
        <v>35230.967112736034</v>
      </c>
      <c r="H94" s="41">
        <f>'B) D RI'!T95</f>
        <v>2507333.4676806745</v>
      </c>
      <c r="I94" s="10">
        <f t="shared" si="12"/>
        <v>65125.544615082457</v>
      </c>
      <c r="J94" s="31">
        <f t="shared" si="8"/>
        <v>92702.620717820944</v>
      </c>
      <c r="K94" s="10">
        <f t="shared" si="9"/>
        <v>65125.544615082457</v>
      </c>
      <c r="L94" s="10">
        <f t="shared" si="13"/>
        <v>27577.076102738487</v>
      </c>
      <c r="M94" s="10">
        <f>'D) Ecrêtage'!C93</f>
        <v>35230.967112736034</v>
      </c>
      <c r="N94" s="10">
        <f t="shared" si="10"/>
        <v>46694.505080210874</v>
      </c>
      <c r="O94" s="55">
        <f t="shared" si="11"/>
        <v>111820.04969529333</v>
      </c>
      <c r="P94" s="219"/>
      <c r="Q94" s="220"/>
      <c r="R94" s="216"/>
      <c r="S94" s="216"/>
      <c r="T94" s="221"/>
    </row>
    <row r="95" spans="1:20" s="215" customFormat="1" x14ac:dyDescent="0.25">
      <c r="A95" s="310">
        <f>'A) Base RI'!A96</f>
        <v>5551</v>
      </c>
      <c r="B95" s="228" t="str">
        <f>'A) Base RI'!B96</f>
        <v>Bonvillars</v>
      </c>
      <c r="C95" s="244">
        <v>0</v>
      </c>
      <c r="D95" s="217">
        <f>'B) D RI'!AA96</f>
        <v>505</v>
      </c>
      <c r="E95" s="218">
        <f>'B) D RI'!S96</f>
        <v>55</v>
      </c>
      <c r="F95" s="10">
        <f>'B) D RI'!R96</f>
        <v>1177841.7826308794</v>
      </c>
      <c r="G95" s="10">
        <f>'B) D RI'!U96</f>
        <v>21415.305138743261</v>
      </c>
      <c r="H95" s="41">
        <f>'B) D RI'!T96</f>
        <v>1053671.7826308794</v>
      </c>
      <c r="I95" s="10">
        <f t="shared" si="12"/>
        <v>38315.337550213801</v>
      </c>
      <c r="J95" s="31">
        <f t="shared" si="8"/>
        <v>41836.303362376748</v>
      </c>
      <c r="K95" s="10">
        <f t="shared" si="9"/>
        <v>38315.337550213801</v>
      </c>
      <c r="L95" s="10">
        <f t="shared" si="13"/>
        <v>3520.9658121629473</v>
      </c>
      <c r="M95" s="10">
        <f>'D) Ecrêtage'!C94</f>
        <v>21415.305138743261</v>
      </c>
      <c r="N95" s="10">
        <f t="shared" si="10"/>
        <v>28383.469332405024</v>
      </c>
      <c r="O95" s="55">
        <f t="shared" si="11"/>
        <v>66698.806882618825</v>
      </c>
      <c r="P95" s="219"/>
      <c r="Q95" s="220"/>
      <c r="R95" s="216"/>
      <c r="S95" s="216"/>
      <c r="T95" s="221"/>
    </row>
    <row r="96" spans="1:20" s="215" customFormat="1" x14ac:dyDescent="0.25">
      <c r="A96" s="310">
        <f>'A) Base RI'!A97</f>
        <v>5552</v>
      </c>
      <c r="B96" s="228" t="str">
        <f>'A) Base RI'!B97</f>
        <v>Bullet</v>
      </c>
      <c r="C96" s="244">
        <v>0</v>
      </c>
      <c r="D96" s="217">
        <f>'B) D RI'!AA97</f>
        <v>655</v>
      </c>
      <c r="E96" s="218">
        <f>'B) D RI'!S97</f>
        <v>73</v>
      </c>
      <c r="F96" s="10">
        <f>'B) D RI'!R97</f>
        <v>1294442.4165967857</v>
      </c>
      <c r="G96" s="10">
        <f>'B) D RI'!U97</f>
        <v>17732.087898586105</v>
      </c>
      <c r="H96" s="41">
        <f>'B) D RI'!T97</f>
        <v>1181607.5665967858</v>
      </c>
      <c r="I96" s="10">
        <f t="shared" si="12"/>
        <v>32372.810043747555</v>
      </c>
      <c r="J96" s="31">
        <f t="shared" si="8"/>
        <v>54262.928123478749</v>
      </c>
      <c r="K96" s="10">
        <f t="shared" si="9"/>
        <v>32372.810043747555</v>
      </c>
      <c r="L96" s="10">
        <f t="shared" si="13"/>
        <v>21890.118079731194</v>
      </c>
      <c r="M96" s="10">
        <f>'D) Ecrêtage'!C95</f>
        <v>17732.087898586105</v>
      </c>
      <c r="N96" s="10">
        <f t="shared" si="10"/>
        <v>23501.797887460063</v>
      </c>
      <c r="O96" s="55">
        <f t="shared" si="11"/>
        <v>55874.607931207618</v>
      </c>
      <c r="P96" s="219"/>
      <c r="Q96" s="220"/>
      <c r="R96" s="216"/>
      <c r="S96" s="216"/>
      <c r="T96" s="221"/>
    </row>
    <row r="97" spans="1:20" s="215" customFormat="1" x14ac:dyDescent="0.25">
      <c r="A97" s="310">
        <f>'A) Base RI'!A98</f>
        <v>5553</v>
      </c>
      <c r="B97" s="228" t="str">
        <f>'A) Base RI'!B98</f>
        <v>Champagne</v>
      </c>
      <c r="C97" s="244">
        <v>0</v>
      </c>
      <c r="D97" s="217">
        <f>'B) D RI'!AA98</f>
        <v>1034</v>
      </c>
      <c r="E97" s="218">
        <f>'B) D RI'!S98</f>
        <v>65</v>
      </c>
      <c r="F97" s="10">
        <f>'B) D RI'!R98</f>
        <v>2475396.5260447585</v>
      </c>
      <c r="G97" s="10">
        <f>'B) D RI'!U98</f>
        <v>38083.02347761167</v>
      </c>
      <c r="H97" s="41">
        <f>'B) D RI'!T98</f>
        <v>2225241.4760447587</v>
      </c>
      <c r="I97" s="10">
        <f t="shared" si="12"/>
        <v>68468.968493684879</v>
      </c>
      <c r="J97" s="31">
        <f t="shared" si="8"/>
        <v>85660.866686529815</v>
      </c>
      <c r="K97" s="10">
        <f t="shared" si="9"/>
        <v>68468.968493684879</v>
      </c>
      <c r="L97" s="10">
        <f t="shared" si="13"/>
        <v>17191.898192844936</v>
      </c>
      <c r="M97" s="10">
        <f>'D) Ecrêtage'!C96</f>
        <v>38083.02347761167</v>
      </c>
      <c r="N97" s="10">
        <f t="shared" si="10"/>
        <v>50474.57049801742</v>
      </c>
      <c r="O97" s="55">
        <f t="shared" si="11"/>
        <v>118943.5389917023</v>
      </c>
      <c r="P97" s="219"/>
      <c r="Q97" s="220"/>
      <c r="R97" s="216"/>
      <c r="S97" s="216"/>
      <c r="T97" s="221"/>
    </row>
    <row r="98" spans="1:20" s="215" customFormat="1" x14ac:dyDescent="0.25">
      <c r="A98" s="310">
        <f>'A) Base RI'!A99</f>
        <v>5554</v>
      </c>
      <c r="B98" s="228" t="str">
        <f>'A) Base RI'!B99</f>
        <v>Concise</v>
      </c>
      <c r="C98" s="244">
        <v>0</v>
      </c>
      <c r="D98" s="217">
        <f>'B) D RI'!AA99</f>
        <v>995</v>
      </c>
      <c r="E98" s="218">
        <f>'B) D RI'!S99</f>
        <v>75</v>
      </c>
      <c r="F98" s="10">
        <f>'B) D RI'!R99</f>
        <v>2231789.9624583679</v>
      </c>
      <c r="G98" s="10">
        <f>'B) D RI'!U99</f>
        <v>29757.199499444905</v>
      </c>
      <c r="H98" s="41">
        <f>'B) D RI'!T99</f>
        <v>2054440.6624583679</v>
      </c>
      <c r="I98" s="10">
        <f t="shared" si="12"/>
        <v>54785.084332223145</v>
      </c>
      <c r="J98" s="31">
        <f t="shared" si="8"/>
        <v>82429.944248643296</v>
      </c>
      <c r="K98" s="10">
        <f t="shared" si="9"/>
        <v>54785.084332223145</v>
      </c>
      <c r="L98" s="10">
        <f t="shared" si="13"/>
        <v>27644.859916420151</v>
      </c>
      <c r="M98" s="10">
        <f>'D) Ecrêtage'!C97</f>
        <v>29757.199499444905</v>
      </c>
      <c r="N98" s="10">
        <f t="shared" si="10"/>
        <v>39439.669616601968</v>
      </c>
      <c r="O98" s="55">
        <f t="shared" si="11"/>
        <v>94224.75394882512</v>
      </c>
      <c r="P98" s="219"/>
      <c r="Q98" s="220"/>
      <c r="R98" s="216"/>
      <c r="S98" s="216"/>
      <c r="T98" s="221"/>
    </row>
    <row r="99" spans="1:20" s="215" customFormat="1" x14ac:dyDescent="0.25">
      <c r="A99" s="310">
        <f>'A) Base RI'!A100</f>
        <v>5555</v>
      </c>
      <c r="B99" s="228" t="str">
        <f>'A) Base RI'!B100</f>
        <v>Corcelles-près-Concise</v>
      </c>
      <c r="C99" s="244">
        <v>0</v>
      </c>
      <c r="D99" s="217">
        <f>'B) D RI'!AA100</f>
        <v>401</v>
      </c>
      <c r="E99" s="218">
        <f>'B) D RI'!S100</f>
        <v>71</v>
      </c>
      <c r="F99" s="10">
        <f>'B) D RI'!R100</f>
        <v>924865.12059865589</v>
      </c>
      <c r="G99" s="10">
        <f>'B) D RI'!U100</f>
        <v>13026.26930420642</v>
      </c>
      <c r="H99" s="41">
        <f>'B) D RI'!T100</f>
        <v>838773.47059865587</v>
      </c>
      <c r="I99" s="10">
        <f t="shared" si="12"/>
        <v>23627.421707004392</v>
      </c>
      <c r="J99" s="31">
        <f t="shared" si="8"/>
        <v>33220.510194679358</v>
      </c>
      <c r="K99" s="10">
        <f t="shared" si="9"/>
        <v>23627.421707004392</v>
      </c>
      <c r="L99" s="10">
        <f t="shared" si="13"/>
        <v>9593.088487674966</v>
      </c>
      <c r="M99" s="10">
        <f>'D) Ecrêtage'!C98</f>
        <v>13026.26930420642</v>
      </c>
      <c r="N99" s="10">
        <f t="shared" si="10"/>
        <v>17264.788566691848</v>
      </c>
      <c r="O99" s="55">
        <f t="shared" si="11"/>
        <v>40892.210273696241</v>
      </c>
      <c r="P99" s="219"/>
      <c r="Q99" s="220"/>
      <c r="R99" s="216"/>
      <c r="S99" s="216"/>
      <c r="T99" s="221"/>
    </row>
    <row r="100" spans="1:20" s="215" customFormat="1" x14ac:dyDescent="0.25">
      <c r="A100" s="310">
        <f>'A) Base RI'!A101</f>
        <v>5556</v>
      </c>
      <c r="B100" s="228" t="str">
        <f>'A) Base RI'!B101</f>
        <v>Fiez</v>
      </c>
      <c r="C100" s="244">
        <v>0</v>
      </c>
      <c r="D100" s="217">
        <f>'B) D RI'!AA101</f>
        <v>447</v>
      </c>
      <c r="E100" s="218">
        <f>'B) D RI'!S101</f>
        <v>69</v>
      </c>
      <c r="F100" s="10">
        <f>'B) D RI'!R101</f>
        <v>875022.48903736495</v>
      </c>
      <c r="G100" s="10">
        <f>'B) D RI'!U101</f>
        <v>12681.485348367609</v>
      </c>
      <c r="H100" s="41">
        <f>'B) D RI'!T101</f>
        <v>805392.65570403158</v>
      </c>
      <c r="I100" s="10">
        <f t="shared" si="12"/>
        <v>23344.714658087873</v>
      </c>
      <c r="J100" s="31">
        <f t="shared" si="8"/>
        <v>37031.34178808397</v>
      </c>
      <c r="K100" s="10">
        <f t="shared" si="9"/>
        <v>23344.714658087873</v>
      </c>
      <c r="L100" s="10">
        <f t="shared" si="13"/>
        <v>13686.627129996097</v>
      </c>
      <c r="M100" s="10">
        <f>'D) Ecrêtage'!C99</f>
        <v>12681.485348367609</v>
      </c>
      <c r="N100" s="10">
        <f t="shared" si="10"/>
        <v>16807.817966765553</v>
      </c>
      <c r="O100" s="55">
        <f t="shared" si="11"/>
        <v>40152.532624853426</v>
      </c>
      <c r="P100" s="219"/>
      <c r="Q100" s="220"/>
      <c r="R100" s="216"/>
      <c r="S100" s="216"/>
      <c r="T100" s="221"/>
    </row>
    <row r="101" spans="1:20" s="215" customFormat="1" x14ac:dyDescent="0.25">
      <c r="A101" s="310">
        <f>'A) Base RI'!A102</f>
        <v>5557</v>
      </c>
      <c r="B101" s="228" t="str">
        <f>'A) Base RI'!B102</f>
        <v>Fontaines-sur-Grandson</v>
      </c>
      <c r="C101" s="244">
        <v>0</v>
      </c>
      <c r="D101" s="217">
        <f>'B) D RI'!AA102</f>
        <v>218</v>
      </c>
      <c r="E101" s="218">
        <f>'B) D RI'!S102</f>
        <v>69</v>
      </c>
      <c r="F101" s="10">
        <f>'B) D RI'!R102</f>
        <v>377221.66325164255</v>
      </c>
      <c r="G101" s="10">
        <f>'B) D RI'!U102</f>
        <v>5466.9806268353996</v>
      </c>
      <c r="H101" s="41">
        <f>'B) D RI'!T102</f>
        <v>339171.96325164253</v>
      </c>
      <c r="I101" s="10">
        <f t="shared" si="12"/>
        <v>9831.0713985983348</v>
      </c>
      <c r="J101" s="31">
        <f t="shared" si="8"/>
        <v>18060.027986134912</v>
      </c>
      <c r="K101" s="10">
        <f t="shared" si="9"/>
        <v>9831.0713985983348</v>
      </c>
      <c r="L101" s="10">
        <f t="shared" si="13"/>
        <v>8228.956587536577</v>
      </c>
      <c r="M101" s="10">
        <f>'D) Ecrêtage'!C100</f>
        <v>5466.9806268353996</v>
      </c>
      <c r="N101" s="10">
        <f t="shared" si="10"/>
        <v>7245.8401109544538</v>
      </c>
      <c r="O101" s="55">
        <f t="shared" si="11"/>
        <v>17076.911509552789</v>
      </c>
      <c r="P101" s="219"/>
      <c r="Q101" s="220"/>
      <c r="R101" s="216"/>
      <c r="S101" s="216"/>
      <c r="T101" s="221"/>
    </row>
    <row r="102" spans="1:20" s="215" customFormat="1" x14ac:dyDescent="0.25">
      <c r="A102" s="310">
        <f>'A) Base RI'!A103</f>
        <v>5559</v>
      </c>
      <c r="B102" s="228" t="str">
        <f>'A) Base RI'!B103</f>
        <v>Giez</v>
      </c>
      <c r="C102" s="244">
        <v>0</v>
      </c>
      <c r="D102" s="217">
        <f>'B) D RI'!AA103</f>
        <v>412</v>
      </c>
      <c r="E102" s="218">
        <f>'B) D RI'!S103</f>
        <v>66</v>
      </c>
      <c r="F102" s="10">
        <f>'B) D RI'!R103</f>
        <v>1265643.7989197401</v>
      </c>
      <c r="G102" s="10">
        <f>'B) D RI'!U103</f>
        <v>19176.421195753639</v>
      </c>
      <c r="H102" s="41">
        <f>'B) D RI'!T103</f>
        <v>1177796.3989197402</v>
      </c>
      <c r="I102" s="10">
        <f t="shared" si="12"/>
        <v>35690.799967264858</v>
      </c>
      <c r="J102" s="31">
        <f t="shared" ref="J102:J133" si="14">+$I$315/$D$315*D102</f>
        <v>34131.796010493505</v>
      </c>
      <c r="K102" s="10">
        <f t="shared" si="9"/>
        <v>34131.796010493505</v>
      </c>
      <c r="L102" s="10">
        <f t="shared" si="13"/>
        <v>0</v>
      </c>
      <c r="M102" s="10">
        <f>'D) Ecrêtage'!C101</f>
        <v>19176.421195753639</v>
      </c>
      <c r="N102" s="10">
        <f t="shared" si="10"/>
        <v>25416.091873949197</v>
      </c>
      <c r="O102" s="55">
        <f t="shared" si="11"/>
        <v>59547.887884442702</v>
      </c>
      <c r="P102" s="219"/>
      <c r="Q102" s="220"/>
      <c r="R102" s="216"/>
      <c r="S102" s="216"/>
      <c r="T102" s="221"/>
    </row>
    <row r="103" spans="1:20" s="215" customFormat="1" x14ac:dyDescent="0.25">
      <c r="A103" s="310">
        <f>'A) Base RI'!A104</f>
        <v>5560</v>
      </c>
      <c r="B103" s="228" t="str">
        <f>'A) Base RI'!B104</f>
        <v>Grandevent</v>
      </c>
      <c r="C103" s="244">
        <v>0</v>
      </c>
      <c r="D103" s="217">
        <f>'B) D RI'!AA104</f>
        <v>238</v>
      </c>
      <c r="E103" s="218">
        <f>'B) D RI'!S104</f>
        <v>68</v>
      </c>
      <c r="F103" s="10">
        <f>'B) D RI'!R104</f>
        <v>505617.52250331762</v>
      </c>
      <c r="G103" s="10">
        <f>'B) D RI'!U104</f>
        <v>7435.5518015193766</v>
      </c>
      <c r="H103" s="41">
        <f>'B) D RI'!T104</f>
        <v>464680.27250331762</v>
      </c>
      <c r="I103" s="10">
        <f t="shared" si="12"/>
        <v>13667.066838332872</v>
      </c>
      <c r="J103" s="31">
        <f t="shared" si="14"/>
        <v>19716.911287615181</v>
      </c>
      <c r="K103" s="10">
        <f t="shared" si="9"/>
        <v>13667.066838332872</v>
      </c>
      <c r="L103" s="10">
        <f t="shared" si="13"/>
        <v>6049.8444492823091</v>
      </c>
      <c r="M103" s="10">
        <f>'D) Ecrêtage'!C102</f>
        <v>7435.5518015193766</v>
      </c>
      <c r="N103" s="10">
        <f t="shared" si="10"/>
        <v>9854.9497735673758</v>
      </c>
      <c r="O103" s="55">
        <f t="shared" si="11"/>
        <v>23522.016611900246</v>
      </c>
      <c r="P103" s="219"/>
      <c r="Q103" s="220"/>
      <c r="R103" s="216"/>
      <c r="S103" s="216"/>
      <c r="T103" s="221"/>
    </row>
    <row r="104" spans="1:20" s="215" customFormat="1" x14ac:dyDescent="0.25">
      <c r="A104" s="310">
        <f>'A) Base RI'!A105</f>
        <v>5561</v>
      </c>
      <c r="B104" s="228" t="str">
        <f>'A) Base RI'!B105</f>
        <v>Grandson</v>
      </c>
      <c r="C104" s="244">
        <v>0</v>
      </c>
      <c r="D104" s="217">
        <f>'B) D RI'!AA105</f>
        <v>3360</v>
      </c>
      <c r="E104" s="218">
        <f>'B) D RI'!S105</f>
        <v>69</v>
      </c>
      <c r="F104" s="10">
        <f>'B) D RI'!R105</f>
        <v>8403165.7624236606</v>
      </c>
      <c r="G104" s="10">
        <f>'B) D RI'!U105</f>
        <v>121785.01104961828</v>
      </c>
      <c r="H104" s="41">
        <f>'B) D RI'!T105</f>
        <v>7800230.66242366</v>
      </c>
      <c r="I104" s="10">
        <f t="shared" si="12"/>
        <v>226093.6423890916</v>
      </c>
      <c r="J104" s="31">
        <f t="shared" si="14"/>
        <v>278356.39464868489</v>
      </c>
      <c r="K104" s="10">
        <f t="shared" si="9"/>
        <v>226093.6423890916</v>
      </c>
      <c r="L104" s="10">
        <f t="shared" si="13"/>
        <v>52262.752259593282</v>
      </c>
      <c r="M104" s="10">
        <f>'D) Ecrêtage'!C103</f>
        <v>121785.01104961828</v>
      </c>
      <c r="N104" s="10">
        <f t="shared" si="10"/>
        <v>161411.71484032844</v>
      </c>
      <c r="O104" s="55">
        <f t="shared" si="11"/>
        <v>387505.35722942004</v>
      </c>
      <c r="P104" s="219"/>
      <c r="Q104" s="220"/>
      <c r="R104" s="216"/>
      <c r="S104" s="216"/>
      <c r="T104" s="221"/>
    </row>
    <row r="105" spans="1:20" s="215" customFormat="1" x14ac:dyDescent="0.25">
      <c r="A105" s="310">
        <f>'A) Base RI'!A106</f>
        <v>5562</v>
      </c>
      <c r="B105" s="228" t="str">
        <f>'A) Base RI'!B106</f>
        <v>Mauborget</v>
      </c>
      <c r="C105" s="244">
        <v>0</v>
      </c>
      <c r="D105" s="217">
        <f>'B) D RI'!AA106</f>
        <v>122</v>
      </c>
      <c r="E105" s="218">
        <f>'B) D RI'!S106</f>
        <v>70</v>
      </c>
      <c r="F105" s="10">
        <f>'B) D RI'!R106</f>
        <v>370579.52950767841</v>
      </c>
      <c r="G105" s="10">
        <f>'B) D RI'!U106</f>
        <v>5293.9932786811205</v>
      </c>
      <c r="H105" s="41">
        <f>'B) D RI'!T106</f>
        <v>339412.42117434507</v>
      </c>
      <c r="I105" s="10">
        <f t="shared" si="12"/>
        <v>9697.4977478384299</v>
      </c>
      <c r="J105" s="31">
        <f t="shared" si="14"/>
        <v>10106.98813902963</v>
      </c>
      <c r="K105" s="10">
        <f t="shared" si="9"/>
        <v>9697.4977478384299</v>
      </c>
      <c r="L105" s="10">
        <f t="shared" si="13"/>
        <v>409.49039119120062</v>
      </c>
      <c r="M105" s="10">
        <f>'D) Ecrêtage'!C104</f>
        <v>5293.9932786811205</v>
      </c>
      <c r="N105" s="10">
        <f t="shared" si="10"/>
        <v>7016.565717737978</v>
      </c>
      <c r="O105" s="55">
        <f t="shared" si="11"/>
        <v>16714.063465576408</v>
      </c>
      <c r="P105" s="219"/>
      <c r="Q105" s="220"/>
      <c r="R105" s="216"/>
      <c r="S105" s="216"/>
      <c r="T105" s="221"/>
    </row>
    <row r="106" spans="1:20" s="215" customFormat="1" x14ac:dyDescent="0.25">
      <c r="A106" s="310">
        <f>'A) Base RI'!A107</f>
        <v>5563</v>
      </c>
      <c r="B106" s="228" t="str">
        <f>'A) Base RI'!B107</f>
        <v>Mutrux</v>
      </c>
      <c r="C106" s="244">
        <v>0</v>
      </c>
      <c r="D106" s="217">
        <f>'B) D RI'!AA107</f>
        <v>158</v>
      </c>
      <c r="E106" s="218">
        <f>'B) D RI'!S107</f>
        <v>78.5</v>
      </c>
      <c r="F106" s="10">
        <f>'B) D RI'!R107</f>
        <v>258458.70656990059</v>
      </c>
      <c r="G106" s="10">
        <f>'B) D RI'!U107</f>
        <v>3292.4675996165679</v>
      </c>
      <c r="H106" s="41">
        <f>'B) D RI'!T107</f>
        <v>236941.75656990058</v>
      </c>
      <c r="I106" s="10">
        <f t="shared" si="12"/>
        <v>6036.7326514624356</v>
      </c>
      <c r="J106" s="31">
        <f t="shared" si="14"/>
        <v>13089.378081694111</v>
      </c>
      <c r="K106" s="10">
        <f t="shared" si="9"/>
        <v>6036.7326514624356</v>
      </c>
      <c r="L106" s="10">
        <f t="shared" si="13"/>
        <v>7052.6454302316752</v>
      </c>
      <c r="M106" s="10">
        <f>'D) Ecrêtage'!C105</f>
        <v>3292.4675996165679</v>
      </c>
      <c r="N106" s="10">
        <f t="shared" si="10"/>
        <v>4363.778733770504</v>
      </c>
      <c r="O106" s="55">
        <f t="shared" si="11"/>
        <v>10400.51138523294</v>
      </c>
      <c r="P106" s="219"/>
      <c r="Q106" s="220"/>
      <c r="R106" s="216"/>
      <c r="S106" s="216"/>
      <c r="T106" s="221"/>
    </row>
    <row r="107" spans="1:20" s="215" customFormat="1" x14ac:dyDescent="0.25">
      <c r="A107" s="310">
        <f>'A) Base RI'!A108</f>
        <v>5564</v>
      </c>
      <c r="B107" s="228" t="str">
        <f>'A) Base RI'!B108</f>
        <v>Novalles</v>
      </c>
      <c r="C107" s="244">
        <v>0</v>
      </c>
      <c r="D107" s="217">
        <f>'B) D RI'!AA108</f>
        <v>101</v>
      </c>
      <c r="E107" s="218">
        <f>'B) D RI'!S108</f>
        <v>76</v>
      </c>
      <c r="F107" s="10">
        <f>'B) D RI'!R108</f>
        <v>218796.59083277525</v>
      </c>
      <c r="G107" s="10">
        <f>'B) D RI'!U108</f>
        <v>2878.9025109575691</v>
      </c>
      <c r="H107" s="41">
        <f>'B) D RI'!T108</f>
        <v>205576.90333277525</v>
      </c>
      <c r="I107" s="10">
        <f t="shared" si="12"/>
        <v>5409.9185087572432</v>
      </c>
      <c r="J107" s="31">
        <f t="shared" si="14"/>
        <v>8367.2606724753496</v>
      </c>
      <c r="K107" s="10">
        <f t="shared" si="9"/>
        <v>5409.9185087572432</v>
      </c>
      <c r="L107" s="10">
        <f t="shared" si="13"/>
        <v>2957.3421637181063</v>
      </c>
      <c r="M107" s="10">
        <f>'D) Ecrêtage'!C106</f>
        <v>2878.9025109575691</v>
      </c>
      <c r="N107" s="10">
        <f t="shared" si="10"/>
        <v>3815.6468283478894</v>
      </c>
      <c r="O107" s="55">
        <f t="shared" si="11"/>
        <v>9225.5653371051321</v>
      </c>
      <c r="P107" s="219"/>
      <c r="Q107" s="220"/>
      <c r="R107" s="216"/>
      <c r="S107" s="216"/>
      <c r="T107" s="221"/>
    </row>
    <row r="108" spans="1:20" s="215" customFormat="1" x14ac:dyDescent="0.25">
      <c r="A108" s="310">
        <f>'A) Base RI'!A109</f>
        <v>5565</v>
      </c>
      <c r="B108" s="228" t="str">
        <f>'A) Base RI'!B109</f>
        <v>Onnens</v>
      </c>
      <c r="C108" s="244">
        <v>0</v>
      </c>
      <c r="D108" s="217">
        <f>'B) D RI'!AA109</f>
        <v>494</v>
      </c>
      <c r="E108" s="218">
        <f>'B) D RI'!S109</f>
        <v>65</v>
      </c>
      <c r="F108" s="10">
        <f>'B) D RI'!R109</f>
        <v>1462250.5712148107</v>
      </c>
      <c r="G108" s="10">
        <f>'B) D RI'!U109</f>
        <v>22496.162634074011</v>
      </c>
      <c r="H108" s="41">
        <f>'B) D RI'!T109</f>
        <v>1296699.7212148109</v>
      </c>
      <c r="I108" s="10">
        <f t="shared" si="12"/>
        <v>39898.452960455717</v>
      </c>
      <c r="J108" s="31">
        <f t="shared" si="14"/>
        <v>40925.017546562602</v>
      </c>
      <c r="K108" s="10">
        <f t="shared" si="9"/>
        <v>39898.452960455717</v>
      </c>
      <c r="L108" s="10">
        <f t="shared" si="13"/>
        <v>1026.5645861068842</v>
      </c>
      <c r="M108" s="10">
        <f>'D) Ecrêtage'!C107</f>
        <v>22496.162634074011</v>
      </c>
      <c r="N108" s="10">
        <f t="shared" si="10"/>
        <v>29816.018874550882</v>
      </c>
      <c r="O108" s="55">
        <f t="shared" si="11"/>
        <v>69714.471835006596</v>
      </c>
      <c r="P108" s="219"/>
      <c r="Q108" s="220"/>
      <c r="R108" s="216"/>
      <c r="S108" s="216"/>
      <c r="T108" s="221"/>
    </row>
    <row r="109" spans="1:20" s="215" customFormat="1" x14ac:dyDescent="0.25">
      <c r="A109" s="310">
        <f>'A) Base RI'!A110</f>
        <v>5566</v>
      </c>
      <c r="B109" s="228" t="str">
        <f>'A) Base RI'!B110</f>
        <v>Provence</v>
      </c>
      <c r="C109" s="244">
        <v>0</v>
      </c>
      <c r="D109" s="217">
        <f>'B) D RI'!AA110</f>
        <v>373</v>
      </c>
      <c r="E109" s="218">
        <f>'B) D RI'!S110</f>
        <v>81</v>
      </c>
      <c r="F109" s="10">
        <f>'B) D RI'!R110</f>
        <v>667090.23630151385</v>
      </c>
      <c r="G109" s="10">
        <f>'B) D RI'!U110</f>
        <v>8235.6819296483191</v>
      </c>
      <c r="H109" s="41">
        <f>'B) D RI'!T110</f>
        <v>611816.86963484716</v>
      </c>
      <c r="I109" s="10">
        <f t="shared" si="12"/>
        <v>15106.58937369993</v>
      </c>
      <c r="J109" s="31">
        <f t="shared" si="14"/>
        <v>30900.873572606983</v>
      </c>
      <c r="K109" s="10">
        <f t="shared" si="9"/>
        <v>15106.58937369993</v>
      </c>
      <c r="L109" s="10">
        <f t="shared" si="13"/>
        <v>15794.284198907053</v>
      </c>
      <c r="M109" s="10">
        <f>'D) Ecrêtage'!C108</f>
        <v>8235.6819296483191</v>
      </c>
      <c r="N109" s="10">
        <f t="shared" si="10"/>
        <v>10915.428193395946</v>
      </c>
      <c r="O109" s="55">
        <f t="shared" si="11"/>
        <v>26022.017567095878</v>
      </c>
      <c r="P109" s="219"/>
      <c r="Q109" s="220"/>
      <c r="R109" s="216"/>
      <c r="S109" s="216"/>
      <c r="T109" s="221"/>
    </row>
    <row r="110" spans="1:20" s="215" customFormat="1" x14ac:dyDescent="0.25">
      <c r="A110" s="310">
        <f>'A) Base RI'!A111</f>
        <v>5568</v>
      </c>
      <c r="B110" s="228" t="str">
        <f>'A) Base RI'!B111</f>
        <v>Sainte-Croix</v>
      </c>
      <c r="C110" s="244">
        <v>0</v>
      </c>
      <c r="D110" s="217">
        <f>'B) D RI'!AA111</f>
        <v>4845</v>
      </c>
      <c r="E110" s="218">
        <f>'B) D RI'!S111</f>
        <v>70</v>
      </c>
      <c r="F110" s="10">
        <f>'B) D RI'!R111</f>
        <v>7135732.478428347</v>
      </c>
      <c r="G110" s="10">
        <f>'B) D RI'!U111</f>
        <v>101939.03540611925</v>
      </c>
      <c r="H110" s="41">
        <f>'B) D RI'!T111</f>
        <v>6500906.0784283467</v>
      </c>
      <c r="I110" s="10">
        <f t="shared" si="12"/>
        <v>185740.17366938133</v>
      </c>
      <c r="J110" s="31">
        <f t="shared" si="14"/>
        <v>401379.97978359472</v>
      </c>
      <c r="K110" s="10">
        <f t="shared" si="9"/>
        <v>185740.17366938133</v>
      </c>
      <c r="L110" s="10">
        <f t="shared" si="13"/>
        <v>215639.8061142134</v>
      </c>
      <c r="M110" s="10">
        <f>'D) Ecrêtage'!C109</f>
        <v>101939.03540611925</v>
      </c>
      <c r="N110" s="10">
        <f t="shared" si="10"/>
        <v>135108.20726014327</v>
      </c>
      <c r="O110" s="55">
        <f t="shared" si="11"/>
        <v>320848.3809295246</v>
      </c>
      <c r="P110" s="219"/>
      <c r="Q110" s="220"/>
      <c r="R110" s="216"/>
      <c r="S110" s="216"/>
      <c r="T110" s="221"/>
    </row>
    <row r="111" spans="1:20" s="215" customFormat="1" x14ac:dyDescent="0.25">
      <c r="A111" s="310">
        <f>'A) Base RI'!A112</f>
        <v>5571</v>
      </c>
      <c r="B111" s="228" t="str">
        <f>'A) Base RI'!B112</f>
        <v>Tévenon</v>
      </c>
      <c r="C111" s="244">
        <v>0</v>
      </c>
      <c r="D111" s="217">
        <f>'B) D RI'!AA112</f>
        <v>877</v>
      </c>
      <c r="E111" s="218">
        <f>'B) D RI'!S112</f>
        <v>73</v>
      </c>
      <c r="F111" s="10">
        <f>'B) D RI'!R112</f>
        <v>1641930.0631459048</v>
      </c>
      <c r="G111" s="10">
        <f>'B) D RI'!U112</f>
        <v>22492.192645834311</v>
      </c>
      <c r="H111" s="41">
        <f>'B) D RI'!T112</f>
        <v>1482728.6798125715</v>
      </c>
      <c r="I111" s="10">
        <f t="shared" si="12"/>
        <v>40622.703556508808</v>
      </c>
      <c r="J111" s="31">
        <f t="shared" si="14"/>
        <v>72654.332769909714</v>
      </c>
      <c r="K111" s="10">
        <f t="shared" si="9"/>
        <v>40622.703556508808</v>
      </c>
      <c r="L111" s="10">
        <f t="shared" si="13"/>
        <v>32031.629213400905</v>
      </c>
      <c r="M111" s="10">
        <f>'D) Ecrêtage'!C110</f>
        <v>22492.192645834311</v>
      </c>
      <c r="N111" s="10">
        <f t="shared" si="10"/>
        <v>29810.757121859453</v>
      </c>
      <c r="O111" s="55">
        <f t="shared" si="11"/>
        <v>70433.460678368254</v>
      </c>
      <c r="P111" s="219"/>
      <c r="Q111" s="220"/>
      <c r="R111" s="216"/>
      <c r="S111" s="216"/>
      <c r="T111" s="221"/>
    </row>
    <row r="112" spans="1:20" s="215" customFormat="1" x14ac:dyDescent="0.25">
      <c r="A112" s="310">
        <f>'A) Base RI'!A113</f>
        <v>5581</v>
      </c>
      <c r="B112" s="228" t="str">
        <f>'A) Base RI'!B113</f>
        <v>Belmont-sur-Lausanne</v>
      </c>
      <c r="C112" s="244">
        <v>1</v>
      </c>
      <c r="D112" s="217">
        <f>'B) D RI'!AA113</f>
        <v>3732</v>
      </c>
      <c r="E112" s="218">
        <f>'B) D RI'!S113</f>
        <v>69.5</v>
      </c>
      <c r="F112" s="10">
        <f>'B) D RI'!R113</f>
        <v>12886894.127692599</v>
      </c>
      <c r="G112" s="10">
        <f>'B) D RI'!U113</f>
        <v>185422.93708910214</v>
      </c>
      <c r="H112" s="41">
        <f>'B) D RI'!T113</f>
        <v>11943612.094359266</v>
      </c>
      <c r="I112" s="10">
        <f t="shared" si="12"/>
        <v>343701.06746357598</v>
      </c>
      <c r="J112" s="31">
        <f t="shared" si="14"/>
        <v>309174.42405621789</v>
      </c>
      <c r="K112" s="10">
        <f t="shared" si="9"/>
        <v>0</v>
      </c>
      <c r="L112" s="10">
        <f t="shared" si="13"/>
        <v>309174.42405621789</v>
      </c>
      <c r="M112" s="10">
        <f>'D) Ecrêtage'!C111</f>
        <v>185422.93708910214</v>
      </c>
      <c r="N112" s="10">
        <f t="shared" si="10"/>
        <v>245756.30439519614</v>
      </c>
      <c r="O112" s="55">
        <f t="shared" si="11"/>
        <v>245756.30439519614</v>
      </c>
      <c r="P112" s="219"/>
      <c r="Q112" s="220"/>
      <c r="R112" s="216"/>
      <c r="S112" s="216"/>
      <c r="T112" s="221"/>
    </row>
    <row r="113" spans="1:20" s="215" customFormat="1" x14ac:dyDescent="0.25">
      <c r="A113" s="310">
        <f>'A) Base RI'!A114</f>
        <v>5582</v>
      </c>
      <c r="B113" s="228" t="str">
        <f>'A) Base RI'!B114</f>
        <v>Cheseaux-sur-Lausanne</v>
      </c>
      <c r="C113" s="244">
        <v>0</v>
      </c>
      <c r="D113" s="217">
        <f>'B) D RI'!AA114</f>
        <v>4338</v>
      </c>
      <c r="E113" s="218">
        <f>'B) D RI'!S114</f>
        <v>74.5</v>
      </c>
      <c r="F113" s="10">
        <f>'B) D RI'!R114</f>
        <v>12872492.377467681</v>
      </c>
      <c r="G113" s="10">
        <f>'B) D RI'!U114</f>
        <v>172785.13258345879</v>
      </c>
      <c r="H113" s="41">
        <f>'B) D RI'!T114</f>
        <v>11888677.22746768</v>
      </c>
      <c r="I113" s="10">
        <f t="shared" si="12"/>
        <v>319159.12020047463</v>
      </c>
      <c r="J113" s="31">
        <f t="shared" si="14"/>
        <v>359377.98809106997</v>
      </c>
      <c r="K113" s="10">
        <f t="shared" si="9"/>
        <v>319159.12020047463</v>
      </c>
      <c r="L113" s="10">
        <f t="shared" si="13"/>
        <v>40218.867890595342</v>
      </c>
      <c r="M113" s="10">
        <f>'D) Ecrêtage'!C112</f>
        <v>172785.13258345879</v>
      </c>
      <c r="N113" s="10">
        <f t="shared" si="10"/>
        <v>229006.38025024845</v>
      </c>
      <c r="O113" s="55">
        <f t="shared" si="11"/>
        <v>548165.50045072311</v>
      </c>
      <c r="P113" s="219"/>
      <c r="Q113" s="220"/>
      <c r="R113" s="216"/>
      <c r="S113" s="216"/>
      <c r="T113" s="221"/>
    </row>
    <row r="114" spans="1:20" s="215" customFormat="1" x14ac:dyDescent="0.25">
      <c r="A114" s="310">
        <f>'A) Base RI'!A115</f>
        <v>5583</v>
      </c>
      <c r="B114" s="228" t="str">
        <f>'A) Base RI'!B115</f>
        <v>Crissier</v>
      </c>
      <c r="C114" s="244">
        <v>1</v>
      </c>
      <c r="D114" s="217">
        <f>'B) D RI'!AA115</f>
        <v>7905</v>
      </c>
      <c r="E114" s="218">
        <f>'B) D RI'!S115</f>
        <v>65</v>
      </c>
      <c r="F114" s="10">
        <f>'B) D RI'!R115</f>
        <v>20243246.81012325</v>
      </c>
      <c r="G114" s="10">
        <f>'B) D RI'!U115</f>
        <v>311434.56630958844</v>
      </c>
      <c r="H114" s="41">
        <f>'B) D RI'!T115</f>
        <v>17643396.110123251</v>
      </c>
      <c r="I114" s="10">
        <f t="shared" si="12"/>
        <v>542873.72646533081</v>
      </c>
      <c r="J114" s="31">
        <f t="shared" si="14"/>
        <v>654883.12491007557</v>
      </c>
      <c r="K114" s="10">
        <f t="shared" si="9"/>
        <v>0</v>
      </c>
      <c r="L114" s="10">
        <f t="shared" si="13"/>
        <v>654883.12491007557</v>
      </c>
      <c r="M114" s="10">
        <f>'D) Ecrêtage'!C113</f>
        <v>311434.56630958844</v>
      </c>
      <c r="N114" s="10">
        <f t="shared" si="10"/>
        <v>412769.90473075304</v>
      </c>
      <c r="O114" s="55">
        <f t="shared" si="11"/>
        <v>412769.90473075304</v>
      </c>
      <c r="P114" s="219"/>
      <c r="Q114" s="220"/>
      <c r="R114" s="216"/>
      <c r="S114" s="216"/>
      <c r="T114" s="221"/>
    </row>
    <row r="115" spans="1:20" s="215" customFormat="1" x14ac:dyDescent="0.25">
      <c r="A115" s="310">
        <f>'A) Base RI'!A116</f>
        <v>5584</v>
      </c>
      <c r="B115" s="228" t="str">
        <f>'A) Base RI'!B116</f>
        <v>Epalinges</v>
      </c>
      <c r="C115" s="244">
        <v>0</v>
      </c>
      <c r="D115" s="217">
        <f>'B) D RI'!AA116</f>
        <v>9624</v>
      </c>
      <c r="E115" s="218">
        <f>'B) D RI'!S116</f>
        <v>66</v>
      </c>
      <c r="F115" s="10">
        <f>'B) D RI'!R116</f>
        <v>30551295.155070465</v>
      </c>
      <c r="G115" s="10">
        <f>'B) D RI'!U116</f>
        <v>462898.41144046158</v>
      </c>
      <c r="H115" s="41">
        <f>'B) D RI'!T116</f>
        <v>28170771.705070466</v>
      </c>
      <c r="I115" s="10">
        <f t="shared" si="12"/>
        <v>853659.74863849895</v>
      </c>
      <c r="J115" s="31">
        <f t="shared" si="14"/>
        <v>797292.2446723046</v>
      </c>
      <c r="K115" s="10">
        <f t="shared" si="9"/>
        <v>797292.2446723046</v>
      </c>
      <c r="L115" s="10">
        <f t="shared" si="13"/>
        <v>0</v>
      </c>
      <c r="M115" s="10">
        <f>'D) Ecrêtage'!C114</f>
        <v>462898.41144046158</v>
      </c>
      <c r="N115" s="10">
        <f t="shared" si="10"/>
        <v>613517.42503867846</v>
      </c>
      <c r="O115" s="55">
        <f t="shared" si="11"/>
        <v>1410809.6697109831</v>
      </c>
      <c r="P115" s="219"/>
      <c r="Q115" s="220"/>
      <c r="R115" s="216"/>
      <c r="S115" s="216"/>
      <c r="T115" s="221"/>
    </row>
    <row r="116" spans="1:20" s="215" customFormat="1" x14ac:dyDescent="0.25">
      <c r="A116" s="310">
        <f>'A) Base RI'!A117</f>
        <v>5585</v>
      </c>
      <c r="B116" s="228" t="str">
        <f>'A) Base RI'!B117</f>
        <v>Jouxtens-Mézery</v>
      </c>
      <c r="C116" s="244">
        <v>0</v>
      </c>
      <c r="D116" s="217">
        <f>'B) D RI'!AA117</f>
        <v>1471</v>
      </c>
      <c r="E116" s="218">
        <f>'B) D RI'!S117</f>
        <v>53</v>
      </c>
      <c r="F116" s="10">
        <f>'B) D RI'!R117</f>
        <v>11634779.341081308</v>
      </c>
      <c r="G116" s="10">
        <f>'B) D RI'!U117</f>
        <v>219524.13851096807</v>
      </c>
      <c r="H116" s="41">
        <f>'B) D RI'!T117</f>
        <v>11175976.241081309</v>
      </c>
      <c r="I116" s="10">
        <f t="shared" si="12"/>
        <v>421734.95249363431</v>
      </c>
      <c r="J116" s="31">
        <f t="shared" si="14"/>
        <v>121863.76682387365</v>
      </c>
      <c r="K116" s="10">
        <f t="shared" si="9"/>
        <v>121863.76682387365</v>
      </c>
      <c r="L116" s="10">
        <f t="shared" si="13"/>
        <v>0</v>
      </c>
      <c r="M116" s="10">
        <f>'D) Ecrêtage'!C115</f>
        <v>219524.13851096807</v>
      </c>
      <c r="N116" s="10">
        <f t="shared" si="10"/>
        <v>290953.43786982563</v>
      </c>
      <c r="O116" s="55">
        <f t="shared" si="11"/>
        <v>412817.20469369926</v>
      </c>
      <c r="P116" s="219"/>
      <c r="Q116" s="220"/>
      <c r="R116" s="216"/>
      <c r="S116" s="216"/>
      <c r="T116" s="221"/>
    </row>
    <row r="117" spans="1:20" s="215" customFormat="1" x14ac:dyDescent="0.25">
      <c r="A117" s="310">
        <f>'A) Base RI'!A118</f>
        <v>5586</v>
      </c>
      <c r="B117" s="228" t="str">
        <f>'A) Base RI'!B118</f>
        <v>Lausanne</v>
      </c>
      <c r="C117" s="244">
        <v>1</v>
      </c>
      <c r="D117" s="217">
        <f>'B) D RI'!AA118</f>
        <v>139720</v>
      </c>
      <c r="E117" s="218">
        <f>'B) D RI'!S118</f>
        <v>79</v>
      </c>
      <c r="F117" s="10">
        <f>'B) D RI'!R118</f>
        <v>444907770.99077457</v>
      </c>
      <c r="G117" s="10">
        <f>'B) D RI'!U118</f>
        <v>5631743.9365920834</v>
      </c>
      <c r="H117" s="41">
        <f>'B) D RI'!T118</f>
        <v>414507227.85744125</v>
      </c>
      <c r="I117" s="10">
        <f t="shared" si="12"/>
        <v>10493853.869808638</v>
      </c>
      <c r="J117" s="31">
        <f t="shared" si="14"/>
        <v>11574986.744141147</v>
      </c>
      <c r="K117" s="10">
        <f t="shared" si="9"/>
        <v>0</v>
      </c>
      <c r="L117" s="10">
        <f t="shared" si="13"/>
        <v>11574986.744141147</v>
      </c>
      <c r="M117" s="10">
        <f>'D) Ecrêtage'!C116</f>
        <v>5631743.9365920834</v>
      </c>
      <c r="N117" s="10">
        <f t="shared" si="10"/>
        <v>7464214.5081104329</v>
      </c>
      <c r="O117" s="55">
        <f t="shared" si="11"/>
        <v>7464214.5081104329</v>
      </c>
      <c r="P117" s="219"/>
      <c r="Q117" s="220"/>
      <c r="R117" s="216"/>
      <c r="S117" s="216"/>
      <c r="T117" s="221"/>
    </row>
    <row r="118" spans="1:20" s="215" customFormat="1" x14ac:dyDescent="0.25">
      <c r="A118" s="310">
        <f>'A) Base RI'!A119</f>
        <v>5587</v>
      </c>
      <c r="B118" s="228" t="str">
        <f>'A) Base RI'!B119</f>
        <v>Le Mont-sur-Lausanne</v>
      </c>
      <c r="C118" s="244">
        <v>0</v>
      </c>
      <c r="D118" s="217">
        <f>'B) D RI'!AA119</f>
        <v>8516</v>
      </c>
      <c r="E118" s="218">
        <f>'B) D RI'!S119</f>
        <v>75</v>
      </c>
      <c r="F118" s="10">
        <f>'B) D RI'!R119</f>
        <v>31436936.817773327</v>
      </c>
      <c r="G118" s="10">
        <f>'B) D RI'!U119</f>
        <v>419159.15757031104</v>
      </c>
      <c r="H118" s="41">
        <f>'B) D RI'!T119</f>
        <v>28678015.642773326</v>
      </c>
      <c r="I118" s="10">
        <f t="shared" si="12"/>
        <v>764747.08380728867</v>
      </c>
      <c r="J118" s="31">
        <f t="shared" si="14"/>
        <v>705500.90977029782</v>
      </c>
      <c r="K118" s="10">
        <f t="shared" si="9"/>
        <v>705500.90977029782</v>
      </c>
      <c r="L118" s="10">
        <f t="shared" si="13"/>
        <v>0</v>
      </c>
      <c r="M118" s="10">
        <f>'D) Ecrêtage'!C117</f>
        <v>419159.15757031104</v>
      </c>
      <c r="N118" s="10">
        <f t="shared" si="10"/>
        <v>555546.18611387315</v>
      </c>
      <c r="O118" s="55">
        <f t="shared" si="11"/>
        <v>1261047.0958841708</v>
      </c>
      <c r="P118" s="219"/>
      <c r="Q118" s="220"/>
      <c r="R118" s="216"/>
      <c r="S118" s="216"/>
      <c r="T118" s="221"/>
    </row>
    <row r="119" spans="1:20" s="215" customFormat="1" x14ac:dyDescent="0.25">
      <c r="A119" s="310">
        <f>'A) Base RI'!A120</f>
        <v>5588</v>
      </c>
      <c r="B119" s="228" t="str">
        <f>'A) Base RI'!B120</f>
        <v>Paudex</v>
      </c>
      <c r="C119" s="244">
        <v>1</v>
      </c>
      <c r="D119" s="217">
        <f>'B) D RI'!AA120</f>
        <v>1507</v>
      </c>
      <c r="E119" s="218">
        <f>'B) D RI'!S120</f>
        <v>61.5</v>
      </c>
      <c r="F119" s="10">
        <f>'B) D RI'!R120</f>
        <v>7898076.1180173503</v>
      </c>
      <c r="G119" s="10">
        <f>'B) D RI'!U120</f>
        <v>128424.0019189813</v>
      </c>
      <c r="H119" s="41">
        <f>'B) D RI'!T120</f>
        <v>7339526.4965887787</v>
      </c>
      <c r="I119" s="10">
        <f t="shared" si="12"/>
        <v>238683.78850695214</v>
      </c>
      <c r="J119" s="31">
        <f t="shared" si="14"/>
        <v>124846.15676653813</v>
      </c>
      <c r="K119" s="10">
        <f t="shared" si="9"/>
        <v>0</v>
      </c>
      <c r="L119" s="10">
        <f t="shared" si="13"/>
        <v>124846.15676653813</v>
      </c>
      <c r="M119" s="10">
        <f>'D) Ecrêtage'!C118</f>
        <v>128424.0019189813</v>
      </c>
      <c r="N119" s="10">
        <f t="shared" si="10"/>
        <v>170210.91674372662</v>
      </c>
      <c r="O119" s="55">
        <f t="shared" si="11"/>
        <v>170210.91674372662</v>
      </c>
      <c r="P119" s="219"/>
      <c r="Q119" s="220"/>
      <c r="R119" s="216"/>
      <c r="S119" s="216"/>
      <c r="T119" s="221"/>
    </row>
    <row r="120" spans="1:20" s="215" customFormat="1" x14ac:dyDescent="0.25">
      <c r="A120" s="310">
        <f>'A) Base RI'!A121</f>
        <v>5589</v>
      </c>
      <c r="B120" s="228" t="str">
        <f>'A) Base RI'!B121</f>
        <v>Prilly</v>
      </c>
      <c r="C120" s="244">
        <v>1</v>
      </c>
      <c r="D120" s="217">
        <f>'B) D RI'!AA121</f>
        <v>12392</v>
      </c>
      <c r="E120" s="218">
        <f>'B) D RI'!S121</f>
        <v>73.5</v>
      </c>
      <c r="F120" s="10">
        <f>'B) D RI'!R121</f>
        <v>28011238.421537805</v>
      </c>
      <c r="G120" s="10">
        <f>'B) D RI'!U121</f>
        <v>381105.28464677284</v>
      </c>
      <c r="H120" s="41">
        <f>'B) D RI'!T121</f>
        <v>25564668.671537805</v>
      </c>
      <c r="I120" s="10">
        <f t="shared" si="12"/>
        <v>695637.24276293349</v>
      </c>
      <c r="J120" s="31">
        <f t="shared" si="14"/>
        <v>1026604.8935971736</v>
      </c>
      <c r="K120" s="10">
        <f t="shared" si="9"/>
        <v>0</v>
      </c>
      <c r="L120" s="10">
        <f t="shared" si="13"/>
        <v>1026604.8935971736</v>
      </c>
      <c r="M120" s="10">
        <f>'D) Ecrêtage'!C119</f>
        <v>381105.28464677284</v>
      </c>
      <c r="N120" s="10">
        <f t="shared" si="10"/>
        <v>505110.25124827877</v>
      </c>
      <c r="O120" s="55">
        <f t="shared" si="11"/>
        <v>505110.25124827877</v>
      </c>
      <c r="P120" s="219"/>
      <c r="Q120" s="220"/>
      <c r="R120" s="216"/>
      <c r="S120" s="216"/>
      <c r="T120" s="221"/>
    </row>
    <row r="121" spans="1:20" s="215" customFormat="1" x14ac:dyDescent="0.25">
      <c r="A121" s="310">
        <f>'A) Base RI'!A122</f>
        <v>5590</v>
      </c>
      <c r="B121" s="228" t="str">
        <f>'A) Base RI'!B122</f>
        <v>Pully</v>
      </c>
      <c r="C121" s="244">
        <v>1</v>
      </c>
      <c r="D121" s="217">
        <f>'B) D RI'!AA122</f>
        <v>18336</v>
      </c>
      <c r="E121" s="218">
        <f>'B) D RI'!S122</f>
        <v>61</v>
      </c>
      <c r="F121" s="10">
        <f>'B) D RI'!R122</f>
        <v>85445534.509657905</v>
      </c>
      <c r="G121" s="10">
        <f>'B) D RI'!U122</f>
        <v>1400746.467371441</v>
      </c>
      <c r="H121" s="41">
        <f>'B) D RI'!T122</f>
        <v>80228110.40965791</v>
      </c>
      <c r="I121" s="10">
        <f t="shared" si="12"/>
        <v>2630429.8494969807</v>
      </c>
      <c r="J121" s="31">
        <f t="shared" si="14"/>
        <v>1519030.6107971091</v>
      </c>
      <c r="K121" s="10">
        <f t="shared" si="9"/>
        <v>0</v>
      </c>
      <c r="L121" s="10">
        <f t="shared" si="13"/>
        <v>1519030.6107971091</v>
      </c>
      <c r="M121" s="10">
        <f>'D) Ecrêtage'!C120</f>
        <v>1400746.467371441</v>
      </c>
      <c r="N121" s="10">
        <f t="shared" si="10"/>
        <v>1856524.767755195</v>
      </c>
      <c r="O121" s="55">
        <f t="shared" si="11"/>
        <v>1856524.767755195</v>
      </c>
      <c r="P121" s="219"/>
      <c r="Q121" s="220"/>
      <c r="R121" s="216"/>
      <c r="S121" s="216"/>
      <c r="T121" s="221"/>
    </row>
    <row r="122" spans="1:20" s="215" customFormat="1" x14ac:dyDescent="0.25">
      <c r="A122" s="310">
        <f>'A) Base RI'!A123</f>
        <v>5591</v>
      </c>
      <c r="B122" s="228" t="str">
        <f>'A) Base RI'!B123</f>
        <v>Renens</v>
      </c>
      <c r="C122" s="244">
        <v>1</v>
      </c>
      <c r="D122" s="217">
        <f>'B) D RI'!AA123</f>
        <v>20968</v>
      </c>
      <c r="E122" s="218">
        <f>'B) D RI'!S123</f>
        <v>78.5</v>
      </c>
      <c r="F122" s="10">
        <f>'B) D RI'!R123</f>
        <v>42614957.250823185</v>
      </c>
      <c r="G122" s="10">
        <f>'B) D RI'!U123</f>
        <v>542865.69746271567</v>
      </c>
      <c r="H122" s="41">
        <f>'B) D RI'!T123</f>
        <v>38621703.372251756</v>
      </c>
      <c r="I122" s="10">
        <f t="shared" si="12"/>
        <v>983992.44260514027</v>
      </c>
      <c r="J122" s="31">
        <f t="shared" si="14"/>
        <v>1737076.4532719122</v>
      </c>
      <c r="K122" s="10">
        <f t="shared" si="9"/>
        <v>0</v>
      </c>
      <c r="L122" s="10">
        <f t="shared" si="13"/>
        <v>1737076.4532719122</v>
      </c>
      <c r="M122" s="10">
        <f>'D) Ecrêtage'!C121</f>
        <v>542865.69746271567</v>
      </c>
      <c r="N122" s="10">
        <f t="shared" si="10"/>
        <v>719504.66153628123</v>
      </c>
      <c r="O122" s="55">
        <f t="shared" si="11"/>
        <v>719504.66153628123</v>
      </c>
      <c r="P122" s="219"/>
      <c r="Q122" s="220"/>
      <c r="R122" s="216"/>
      <c r="S122" s="216"/>
      <c r="T122" s="221"/>
    </row>
    <row r="123" spans="1:20" s="215" customFormat="1" x14ac:dyDescent="0.25">
      <c r="A123" s="310">
        <f>'A) Base RI'!A124</f>
        <v>5592</v>
      </c>
      <c r="B123" s="228" t="str">
        <f>'A) Base RI'!B124</f>
        <v>Romanel-sur-Lausanne</v>
      </c>
      <c r="C123" s="244">
        <v>0</v>
      </c>
      <c r="D123" s="217">
        <f>'B) D RI'!AA124</f>
        <v>3311</v>
      </c>
      <c r="E123" s="218">
        <f>'B) D RI'!S124</f>
        <v>70</v>
      </c>
      <c r="F123" s="10">
        <f>'B) D RI'!R124</f>
        <v>7956596.9990988346</v>
      </c>
      <c r="G123" s="10">
        <f>'B) D RI'!U124</f>
        <v>113665.67141569764</v>
      </c>
      <c r="H123" s="41">
        <f>'B) D RI'!T124</f>
        <v>7159781.7490988346</v>
      </c>
      <c r="I123" s="10">
        <f t="shared" si="12"/>
        <v>204565.19283139528</v>
      </c>
      <c r="J123" s="31">
        <f t="shared" si="14"/>
        <v>274297.03056005825</v>
      </c>
      <c r="K123" s="10">
        <f t="shared" si="9"/>
        <v>204565.19283139528</v>
      </c>
      <c r="L123" s="10">
        <f t="shared" si="13"/>
        <v>69731.837728662969</v>
      </c>
      <c r="M123" s="10">
        <f>'D) Ecrêtage'!C122</f>
        <v>113665.67141569764</v>
      </c>
      <c r="N123" s="10">
        <f t="shared" si="10"/>
        <v>150650.48468247082</v>
      </c>
      <c r="O123" s="55">
        <f t="shared" si="11"/>
        <v>355215.6775138661</v>
      </c>
      <c r="P123" s="219"/>
      <c r="Q123" s="220"/>
      <c r="R123" s="216"/>
      <c r="S123" s="216"/>
      <c r="T123" s="221"/>
    </row>
    <row r="124" spans="1:20" s="215" customFormat="1" x14ac:dyDescent="0.25">
      <c r="A124" s="310">
        <f>'A) Base RI'!A125</f>
        <v>5601</v>
      </c>
      <c r="B124" s="228" t="str">
        <f>'A) Base RI'!B125</f>
        <v>Chexbres</v>
      </c>
      <c r="C124" s="244">
        <v>1</v>
      </c>
      <c r="D124" s="217">
        <f>'B) D RI'!AA125</f>
        <v>2238</v>
      </c>
      <c r="E124" s="218">
        <f>'B) D RI'!S125</f>
        <v>69</v>
      </c>
      <c r="F124" s="10">
        <f>'B) D RI'!R125</f>
        <v>7067377.7838670583</v>
      </c>
      <c r="G124" s="10">
        <f>'B) D RI'!U125</f>
        <v>102425.76498358055</v>
      </c>
      <c r="H124" s="41">
        <f>'B) D RI'!T125</f>
        <v>6587293.2338670576</v>
      </c>
      <c r="I124" s="10">
        <f t="shared" si="12"/>
        <v>190936.03576426255</v>
      </c>
      <c r="J124" s="31">
        <f t="shared" si="14"/>
        <v>185405.24143564189</v>
      </c>
      <c r="K124" s="10">
        <f t="shared" si="9"/>
        <v>0</v>
      </c>
      <c r="L124" s="10">
        <f t="shared" si="13"/>
        <v>185405.24143564189</v>
      </c>
      <c r="M124" s="10">
        <f>'D) Ecrêtage'!C123</f>
        <v>102425.76498358055</v>
      </c>
      <c r="N124" s="10">
        <f t="shared" si="10"/>
        <v>135753.31009409981</v>
      </c>
      <c r="O124" s="55">
        <f t="shared" si="11"/>
        <v>135753.31009409981</v>
      </c>
      <c r="P124" s="219"/>
      <c r="Q124" s="220"/>
      <c r="R124" s="216"/>
      <c r="S124" s="216"/>
      <c r="T124" s="221"/>
    </row>
    <row r="125" spans="1:20" s="215" customFormat="1" x14ac:dyDescent="0.25">
      <c r="A125" s="310">
        <f>'A) Base RI'!A126</f>
        <v>5604</v>
      </c>
      <c r="B125" s="228" t="str">
        <f>'A) Base RI'!B126</f>
        <v>Forel (Lavaux)</v>
      </c>
      <c r="C125" s="244">
        <v>0</v>
      </c>
      <c r="D125" s="217">
        <f>'B) D RI'!AA126</f>
        <v>2082</v>
      </c>
      <c r="E125" s="218">
        <f>'B) D RI'!S126</f>
        <v>70</v>
      </c>
      <c r="F125" s="10">
        <f>'B) D RI'!R126</f>
        <v>5120895.1426823335</v>
      </c>
      <c r="G125" s="10">
        <f>'B) D RI'!U126</f>
        <v>73155.644895461912</v>
      </c>
      <c r="H125" s="41">
        <f>'B) D RI'!T126</f>
        <v>4698221.8926823335</v>
      </c>
      <c r="I125" s="10">
        <f t="shared" si="12"/>
        <v>134234.91121949523</v>
      </c>
      <c r="J125" s="31">
        <f t="shared" si="14"/>
        <v>172481.55168409582</v>
      </c>
      <c r="K125" s="10">
        <f t="shared" si="9"/>
        <v>134234.91121949523</v>
      </c>
      <c r="L125" s="10">
        <f t="shared" si="13"/>
        <v>38246.640464600583</v>
      </c>
      <c r="M125" s="10">
        <f>'D) Ecrêtage'!C124</f>
        <v>73155.644895461912</v>
      </c>
      <c r="N125" s="10">
        <f t="shared" si="10"/>
        <v>96959.206975115172</v>
      </c>
      <c r="O125" s="55">
        <f t="shared" si="11"/>
        <v>231194.1181946104</v>
      </c>
      <c r="P125" s="219"/>
      <c r="Q125" s="220"/>
      <c r="R125" s="216"/>
      <c r="S125" s="216"/>
      <c r="T125" s="221"/>
    </row>
    <row r="126" spans="1:20" s="215" customFormat="1" x14ac:dyDescent="0.25">
      <c r="A126" s="310">
        <f>'A) Base RI'!A127</f>
        <v>5606</v>
      </c>
      <c r="B126" s="228" t="str">
        <f>'A) Base RI'!B127</f>
        <v>Lutry</v>
      </c>
      <c r="C126" s="244">
        <v>1</v>
      </c>
      <c r="D126" s="217">
        <f>'B) D RI'!AA127</f>
        <v>10285</v>
      </c>
      <c r="E126" s="218">
        <f>'B) D RI'!S127</f>
        <v>55.5</v>
      </c>
      <c r="F126" s="10">
        <f>'B) D RI'!R127</f>
        <v>45035017.665507242</v>
      </c>
      <c r="G126" s="10">
        <f>'B) D RI'!U127</f>
        <v>811441.75973886927</v>
      </c>
      <c r="H126" s="41">
        <f>'B) D RI'!T127</f>
        <v>42010710.379792958</v>
      </c>
      <c r="I126" s="10">
        <f t="shared" si="12"/>
        <v>1513899.4731456921</v>
      </c>
      <c r="J126" s="31">
        <f t="shared" si="14"/>
        <v>852052.23778622737</v>
      </c>
      <c r="K126" s="10">
        <f t="shared" si="9"/>
        <v>0</v>
      </c>
      <c r="L126" s="10">
        <f t="shared" si="13"/>
        <v>852052.23778622737</v>
      </c>
      <c r="M126" s="10">
        <f>'D) Ecrêtage'!C125</f>
        <v>811441.75973886927</v>
      </c>
      <c r="N126" s="10">
        <f t="shared" si="10"/>
        <v>1075470.6577079643</v>
      </c>
      <c r="O126" s="55">
        <f t="shared" si="11"/>
        <v>1075470.6577079643</v>
      </c>
      <c r="P126" s="219"/>
      <c r="Q126" s="220"/>
      <c r="R126" s="216"/>
      <c r="S126" s="216"/>
      <c r="T126" s="221"/>
    </row>
    <row r="127" spans="1:20" s="215" customFormat="1" x14ac:dyDescent="0.25">
      <c r="A127" s="310">
        <f>'A) Base RI'!A128</f>
        <v>5607</v>
      </c>
      <c r="B127" s="228" t="str">
        <f>'A) Base RI'!B128</f>
        <v>Puidoux</v>
      </c>
      <c r="C127" s="244">
        <v>1</v>
      </c>
      <c r="D127" s="217">
        <f>'B) D RI'!AA128</f>
        <v>2880</v>
      </c>
      <c r="E127" s="218">
        <f>'B) D RI'!S128</f>
        <v>70</v>
      </c>
      <c r="F127" s="10">
        <f>'B) D RI'!R128</f>
        <v>7467733.4946409306</v>
      </c>
      <c r="G127" s="10">
        <f>'B) D RI'!U128</f>
        <v>106681.90706629901</v>
      </c>
      <c r="H127" s="41">
        <f>'B) D RI'!T128</f>
        <v>6668712.0185539732</v>
      </c>
      <c r="I127" s="10">
        <f t="shared" si="12"/>
        <v>190534.62910154209</v>
      </c>
      <c r="J127" s="31">
        <f t="shared" si="14"/>
        <v>238591.19541315848</v>
      </c>
      <c r="K127" s="10">
        <f t="shared" si="9"/>
        <v>0</v>
      </c>
      <c r="L127" s="10">
        <f t="shared" si="13"/>
        <v>238591.19541315848</v>
      </c>
      <c r="M127" s="10">
        <f>'D) Ecrêtage'!C126</f>
        <v>106681.90706629901</v>
      </c>
      <c r="N127" s="10">
        <f t="shared" si="10"/>
        <v>141394.32606359196</v>
      </c>
      <c r="O127" s="55">
        <f t="shared" si="11"/>
        <v>141394.32606359196</v>
      </c>
      <c r="P127" s="219"/>
      <c r="Q127" s="220"/>
      <c r="R127" s="216"/>
      <c r="S127" s="216"/>
      <c r="T127" s="221"/>
    </row>
    <row r="128" spans="1:20" s="215" customFormat="1" x14ac:dyDescent="0.25">
      <c r="A128" s="310">
        <f>'A) Base RI'!A129</f>
        <v>5609</v>
      </c>
      <c r="B128" s="228" t="str">
        <f>'A) Base RI'!B129</f>
        <v>Rivaz</v>
      </c>
      <c r="C128" s="244">
        <v>1</v>
      </c>
      <c r="D128" s="217">
        <f>'B) D RI'!AA129</f>
        <v>358</v>
      </c>
      <c r="E128" s="218">
        <f>'B) D RI'!S129</f>
        <v>63.5</v>
      </c>
      <c r="F128" s="10">
        <f>'B) D RI'!R129</f>
        <v>855583.9787397125</v>
      </c>
      <c r="G128" s="10">
        <f>'B) D RI'!U129</f>
        <v>13473.763444719882</v>
      </c>
      <c r="H128" s="41">
        <f>'B) D RI'!T129</f>
        <v>799365.07873971248</v>
      </c>
      <c r="I128" s="10">
        <f t="shared" si="12"/>
        <v>25176.852873691732</v>
      </c>
      <c r="J128" s="31">
        <f t="shared" si="14"/>
        <v>29658.211096496783</v>
      </c>
      <c r="K128" s="10">
        <f t="shared" si="9"/>
        <v>0</v>
      </c>
      <c r="L128" s="10">
        <f t="shared" si="13"/>
        <v>29658.211096496783</v>
      </c>
      <c r="M128" s="10">
        <f>'D) Ecrêtage'!C127</f>
        <v>13473.763444719882</v>
      </c>
      <c r="N128" s="10">
        <f t="shared" si="10"/>
        <v>17857.889441575771</v>
      </c>
      <c r="O128" s="55">
        <f t="shared" si="11"/>
        <v>17857.889441575771</v>
      </c>
      <c r="P128" s="219"/>
      <c r="Q128" s="220"/>
      <c r="R128" s="216"/>
      <c r="S128" s="216"/>
      <c r="T128" s="221"/>
    </row>
    <row r="129" spans="1:20" s="215" customFormat="1" x14ac:dyDescent="0.25">
      <c r="A129" s="310">
        <f>'A) Base RI'!A130</f>
        <v>5610</v>
      </c>
      <c r="B129" s="228" t="str">
        <f>'A) Base RI'!B130</f>
        <v>St-Saphorin (Lavaux)</v>
      </c>
      <c r="C129" s="244">
        <v>1</v>
      </c>
      <c r="D129" s="217">
        <f>'B) D RI'!AA130</f>
        <v>391</v>
      </c>
      <c r="E129" s="218">
        <f>'B) D RI'!S130</f>
        <v>70</v>
      </c>
      <c r="F129" s="10">
        <f>'B) D RI'!R130</f>
        <v>1507664.1725968767</v>
      </c>
      <c r="G129" s="10">
        <f>'B) D RI'!U130</f>
        <v>21538.059608526812</v>
      </c>
      <c r="H129" s="41">
        <f>'B) D RI'!T130</f>
        <v>1406756.8225968766</v>
      </c>
      <c r="I129" s="10">
        <f t="shared" si="12"/>
        <v>40193.052074196479</v>
      </c>
      <c r="J129" s="31">
        <f t="shared" si="14"/>
        <v>32392.068543939225</v>
      </c>
      <c r="K129" s="10">
        <f t="shared" si="9"/>
        <v>0</v>
      </c>
      <c r="L129" s="10">
        <f t="shared" si="13"/>
        <v>32392.068543939225</v>
      </c>
      <c r="M129" s="10">
        <f>'D) Ecrêtage'!C128</f>
        <v>21538.059608526812</v>
      </c>
      <c r="N129" s="10">
        <f t="shared" si="10"/>
        <v>28546.16595082554</v>
      </c>
      <c r="O129" s="55">
        <f t="shared" si="11"/>
        <v>28546.16595082554</v>
      </c>
      <c r="P129" s="219"/>
      <c r="Q129" s="220"/>
      <c r="R129" s="216"/>
      <c r="S129" s="216"/>
      <c r="T129" s="221"/>
    </row>
    <row r="130" spans="1:20" s="215" customFormat="1" x14ac:dyDescent="0.25">
      <c r="A130" s="310">
        <f>'A) Base RI'!A131</f>
        <v>5611</v>
      </c>
      <c r="B130" s="228" t="str">
        <f>'A) Base RI'!B131</f>
        <v>Savigny</v>
      </c>
      <c r="C130" s="244">
        <v>1</v>
      </c>
      <c r="D130" s="217">
        <f>'B) D RI'!AA131</f>
        <v>3353</v>
      </c>
      <c r="E130" s="218">
        <f>'B) D RI'!S131</f>
        <v>69</v>
      </c>
      <c r="F130" s="10">
        <f>'B) D RI'!R131</f>
        <v>9318979.4432088584</v>
      </c>
      <c r="G130" s="10">
        <f>'B) D RI'!U131</f>
        <v>135057.67308998347</v>
      </c>
      <c r="H130" s="41">
        <f>'B) D RI'!T131</f>
        <v>8652336.376542192</v>
      </c>
      <c r="I130" s="10">
        <f t="shared" si="12"/>
        <v>250792.3587403534</v>
      </c>
      <c r="J130" s="31">
        <f t="shared" si="14"/>
        <v>277776.48549316678</v>
      </c>
      <c r="K130" s="10">
        <f t="shared" si="9"/>
        <v>0</v>
      </c>
      <c r="L130" s="10">
        <f t="shared" si="13"/>
        <v>277776.48549316678</v>
      </c>
      <c r="M130" s="10">
        <f>'D) Ecrêtage'!C129</f>
        <v>135057.67308998347</v>
      </c>
      <c r="N130" s="10">
        <f t="shared" si="10"/>
        <v>179003.06801234256</v>
      </c>
      <c r="O130" s="55">
        <f t="shared" si="11"/>
        <v>179003.06801234256</v>
      </c>
      <c r="P130" s="219"/>
      <c r="Q130" s="220"/>
      <c r="R130" s="216"/>
      <c r="S130" s="216"/>
      <c r="T130" s="221"/>
    </row>
    <row r="131" spans="1:20" s="215" customFormat="1" x14ac:dyDescent="0.25">
      <c r="A131" s="310">
        <f>'A) Base RI'!A132</f>
        <v>5613</v>
      </c>
      <c r="B131" s="228" t="str">
        <f>'A) Base RI'!B132</f>
        <v>Bourg-en-Lavaux</v>
      </c>
      <c r="C131" s="244">
        <v>1</v>
      </c>
      <c r="D131" s="217">
        <f>'B) D RI'!AA132</f>
        <v>5367</v>
      </c>
      <c r="E131" s="218">
        <f>'B) D RI'!S132</f>
        <v>61</v>
      </c>
      <c r="F131" s="10">
        <f>'B) D RI'!R132</f>
        <v>17873796.570292741</v>
      </c>
      <c r="G131" s="10">
        <f>'B) D RI'!U132</f>
        <v>293013.05852938921</v>
      </c>
      <c r="H131" s="41">
        <f>'B) D RI'!T132</f>
        <v>16468845.070292743</v>
      </c>
      <c r="I131" s="10">
        <f t="shared" si="12"/>
        <v>539962.13345222105</v>
      </c>
      <c r="J131" s="31">
        <f t="shared" si="14"/>
        <v>444624.63395222969</v>
      </c>
      <c r="K131" s="10">
        <f t="shared" si="9"/>
        <v>0</v>
      </c>
      <c r="L131" s="10">
        <f t="shared" si="13"/>
        <v>444624.63395222969</v>
      </c>
      <c r="M131" s="10">
        <f>'D) Ecrêtage'!C130</f>
        <v>293013.05852938921</v>
      </c>
      <c r="N131" s="10">
        <f t="shared" si="10"/>
        <v>388354.36183988815</v>
      </c>
      <c r="O131" s="55">
        <f t="shared" si="11"/>
        <v>388354.36183988815</v>
      </c>
      <c r="P131" s="219"/>
      <c r="Q131" s="220"/>
      <c r="R131" s="216"/>
      <c r="S131" s="216"/>
      <c r="T131" s="221"/>
    </row>
    <row r="132" spans="1:20" s="215" customFormat="1" x14ac:dyDescent="0.25">
      <c r="A132" s="310">
        <f>'A) Base RI'!A133</f>
        <v>5621</v>
      </c>
      <c r="B132" s="228" t="str">
        <f>'A) Base RI'!B133</f>
        <v>Aclens</v>
      </c>
      <c r="C132" s="244">
        <v>0</v>
      </c>
      <c r="D132" s="217">
        <f>'B) D RI'!AA133</f>
        <v>535</v>
      </c>
      <c r="E132" s="218">
        <f>'B) D RI'!S133</f>
        <v>62</v>
      </c>
      <c r="F132" s="10">
        <f>'B) D RI'!R133</f>
        <v>2090188.8937822997</v>
      </c>
      <c r="G132" s="10">
        <f>'B) D RI'!U133</f>
        <v>33712.724093262899</v>
      </c>
      <c r="H132" s="41">
        <f>'B) D RI'!T133</f>
        <v>1792796.6983277544</v>
      </c>
      <c r="I132" s="10">
        <f t="shared" si="12"/>
        <v>57832.15155895982</v>
      </c>
      <c r="J132" s="31">
        <f t="shared" si="14"/>
        <v>44321.628314597147</v>
      </c>
      <c r="K132" s="10">
        <f t="shared" si="9"/>
        <v>44321.628314597147</v>
      </c>
      <c r="L132" s="10">
        <f t="shared" si="13"/>
        <v>0</v>
      </c>
      <c r="M132" s="10">
        <f>'D) Ecrêtage'!C131</f>
        <v>33712.724093262899</v>
      </c>
      <c r="N132" s="10">
        <f t="shared" si="10"/>
        <v>44682.252445790429</v>
      </c>
      <c r="O132" s="55">
        <f t="shared" si="11"/>
        <v>89003.880760387576</v>
      </c>
      <c r="P132" s="219"/>
      <c r="Q132" s="220"/>
      <c r="R132" s="216"/>
      <c r="S132" s="216"/>
      <c r="T132" s="221"/>
    </row>
    <row r="133" spans="1:20" s="215" customFormat="1" x14ac:dyDescent="0.25">
      <c r="A133" s="310">
        <f>'A) Base RI'!A134</f>
        <v>5622</v>
      </c>
      <c r="B133" s="228" t="str">
        <f>'A) Base RI'!B134</f>
        <v>Bremblens</v>
      </c>
      <c r="C133" s="244">
        <v>0</v>
      </c>
      <c r="D133" s="217">
        <f>'B) D RI'!AA134</f>
        <v>548</v>
      </c>
      <c r="E133" s="218">
        <f>'B) D RI'!S134</f>
        <v>66</v>
      </c>
      <c r="F133" s="10">
        <f>'B) D RI'!R134</f>
        <v>1700186.0097873865</v>
      </c>
      <c r="G133" s="10">
        <f>'B) D RI'!U134</f>
        <v>25760.394087687673</v>
      </c>
      <c r="H133" s="41">
        <f>'B) D RI'!T134</f>
        <v>1555816.6097873866</v>
      </c>
      <c r="I133" s="10">
        <f t="shared" si="12"/>
        <v>47145.957872345047</v>
      </c>
      <c r="J133" s="31">
        <f t="shared" si="14"/>
        <v>45398.602460559319</v>
      </c>
      <c r="K133" s="10">
        <f t="shared" si="9"/>
        <v>45398.602460559319</v>
      </c>
      <c r="L133" s="10">
        <f t="shared" si="13"/>
        <v>0</v>
      </c>
      <c r="M133" s="10">
        <f>'D) Ecrêtage'!C132</f>
        <v>25760.394087687673</v>
      </c>
      <c r="N133" s="10">
        <f t="shared" si="10"/>
        <v>34142.37391629615</v>
      </c>
      <c r="O133" s="55">
        <f t="shared" si="11"/>
        <v>79540.976376855469</v>
      </c>
      <c r="P133" s="219"/>
      <c r="Q133" s="220"/>
      <c r="R133" s="216"/>
      <c r="S133" s="216"/>
      <c r="T133" s="221"/>
    </row>
    <row r="134" spans="1:20" s="215" customFormat="1" x14ac:dyDescent="0.25">
      <c r="A134" s="310">
        <f>'A) Base RI'!A135</f>
        <v>5623</v>
      </c>
      <c r="B134" s="228" t="str">
        <f>'A) Base RI'!B135</f>
        <v>Buchillon</v>
      </c>
      <c r="C134" s="244">
        <v>1</v>
      </c>
      <c r="D134" s="217">
        <f>'B) D RI'!AA135</f>
        <v>650</v>
      </c>
      <c r="E134" s="218">
        <f>'B) D RI'!S135</f>
        <v>53</v>
      </c>
      <c r="F134" s="10">
        <f>'B) D RI'!R135</f>
        <v>6309551.078262385</v>
      </c>
      <c r="G134" s="10">
        <f>'B) D RI'!U135</f>
        <v>119048.13355212047</v>
      </c>
      <c r="H134" s="41">
        <f>'B) D RI'!T135</f>
        <v>5970060.7782623852</v>
      </c>
      <c r="I134" s="10">
        <f t="shared" si="12"/>
        <v>225285.31238725982</v>
      </c>
      <c r="J134" s="31">
        <f t="shared" ref="J134:J169" si="15">+$I$315/$D$315*D134</f>
        <v>53848.707298108682</v>
      </c>
      <c r="K134" s="10">
        <f t="shared" ref="K134:K192" si="16">IF(C134=1,0,IF(J134&gt;I134,I134,J134))</f>
        <v>0</v>
      </c>
      <c r="L134" s="10">
        <f t="shared" si="13"/>
        <v>53848.707298108682</v>
      </c>
      <c r="M134" s="10">
        <f>'D) Ecrêtage'!C133</f>
        <v>119048.13355212047</v>
      </c>
      <c r="N134" s="10">
        <f t="shared" ref="N134:N192" si="17">+$N$5*M134</f>
        <v>157784.30547055762</v>
      </c>
      <c r="O134" s="55">
        <f t="shared" ref="O134:O192" si="18">+N134+K134</f>
        <v>157784.30547055762</v>
      </c>
      <c r="P134" s="219"/>
      <c r="Q134" s="220"/>
      <c r="R134" s="216"/>
      <c r="S134" s="216"/>
      <c r="T134" s="221"/>
    </row>
    <row r="135" spans="1:20" s="215" customFormat="1" x14ac:dyDescent="0.25">
      <c r="A135" s="310">
        <f>'A) Base RI'!A136</f>
        <v>5624</v>
      </c>
      <c r="B135" s="228" t="str">
        <f>'A) Base RI'!B136</f>
        <v>Bussigny</v>
      </c>
      <c r="C135" s="244">
        <v>1</v>
      </c>
      <c r="D135" s="217">
        <f>'B) D RI'!AA136</f>
        <v>8759</v>
      </c>
      <c r="E135" s="218">
        <f>'B) D RI'!S136</f>
        <v>63</v>
      </c>
      <c r="F135" s="10">
        <f>'B) D RI'!R136</f>
        <v>22458379.84898068</v>
      </c>
      <c r="G135" s="10">
        <f>'B) D RI'!U136</f>
        <v>356482.21982509014</v>
      </c>
      <c r="H135" s="41">
        <f>'B) D RI'!T136</f>
        <v>20140124.91898068</v>
      </c>
      <c r="I135" s="10">
        <f t="shared" ref="I135:I193" si="19">+H135/E135*$I$5</f>
        <v>639369.04504700575</v>
      </c>
      <c r="J135" s="31">
        <f t="shared" si="15"/>
        <v>725632.04188328306</v>
      </c>
      <c r="K135" s="10">
        <f t="shared" si="16"/>
        <v>0</v>
      </c>
      <c r="L135" s="10">
        <f t="shared" ref="L135:L193" si="20">+J135-K135</f>
        <v>725632.04188328306</v>
      </c>
      <c r="M135" s="10">
        <f>'D) Ecrêtage'!C134</f>
        <v>356482.21982509014</v>
      </c>
      <c r="N135" s="10">
        <f t="shared" si="17"/>
        <v>472475.27356721525</v>
      </c>
      <c r="O135" s="55">
        <f t="shared" si="18"/>
        <v>472475.27356721525</v>
      </c>
      <c r="P135" s="219"/>
      <c r="Q135" s="220"/>
      <c r="R135" s="216"/>
      <c r="S135" s="216"/>
      <c r="T135" s="221"/>
    </row>
    <row r="136" spans="1:20" s="215" customFormat="1" x14ac:dyDescent="0.25">
      <c r="A136" s="310">
        <f>'A) Base RI'!A137</f>
        <v>5625</v>
      </c>
      <c r="B136" s="228" t="str">
        <f>'A) Base RI'!B137</f>
        <v>Bussy-Chardonney</v>
      </c>
      <c r="C136" s="244">
        <v>0</v>
      </c>
      <c r="D136" s="217">
        <f>'B) D RI'!AA137</f>
        <v>376</v>
      </c>
      <c r="E136" s="218">
        <f>'B) D RI'!S137</f>
        <v>78</v>
      </c>
      <c r="F136" s="10">
        <f>'B) D RI'!R137</f>
        <v>1042884.3646258941</v>
      </c>
      <c r="G136" s="10">
        <f>'B) D RI'!U137</f>
        <v>13370.312366998642</v>
      </c>
      <c r="H136" s="41">
        <f>'B) D RI'!T137</f>
        <v>943489.15629256074</v>
      </c>
      <c r="I136" s="10">
        <f t="shared" si="19"/>
        <v>24192.029648527197</v>
      </c>
      <c r="J136" s="31">
        <f t="shared" si="15"/>
        <v>31149.406067829023</v>
      </c>
      <c r="K136" s="10">
        <f t="shared" si="16"/>
        <v>24192.029648527197</v>
      </c>
      <c r="L136" s="10">
        <f t="shared" si="20"/>
        <v>6957.3764193018251</v>
      </c>
      <c r="M136" s="10">
        <f>'D) Ecrêtage'!C135</f>
        <v>13370.312366998642</v>
      </c>
      <c r="N136" s="10">
        <f t="shared" si="17"/>
        <v>17720.77719998586</v>
      </c>
      <c r="O136" s="55">
        <f t="shared" si="18"/>
        <v>41912.806848513057</v>
      </c>
      <c r="P136" s="219"/>
      <c r="Q136" s="220"/>
      <c r="R136" s="216"/>
      <c r="S136" s="216"/>
      <c r="T136" s="221"/>
    </row>
    <row r="137" spans="1:20" s="215" customFormat="1" x14ac:dyDescent="0.25">
      <c r="A137" s="310">
        <f>'A) Base RI'!A138</f>
        <v>5627</v>
      </c>
      <c r="B137" s="228" t="str">
        <f>'A) Base RI'!B138</f>
        <v>Chavannes-près-Renens</v>
      </c>
      <c r="C137" s="244">
        <v>1</v>
      </c>
      <c r="D137" s="217">
        <f>'B) D RI'!AA138</f>
        <v>7741</v>
      </c>
      <c r="E137" s="218">
        <f>'B) D RI'!S138</f>
        <v>79</v>
      </c>
      <c r="F137" s="10">
        <f>'B) D RI'!R138</f>
        <v>13697856.049196757</v>
      </c>
      <c r="G137" s="10">
        <f>'B) D RI'!U138</f>
        <v>173390.58290122479</v>
      </c>
      <c r="H137" s="41">
        <f>'B) D RI'!T138</f>
        <v>12385787.665863425</v>
      </c>
      <c r="I137" s="10">
        <f t="shared" si="19"/>
        <v>313564.24470540317</v>
      </c>
      <c r="J137" s="31">
        <f t="shared" si="15"/>
        <v>641296.68183793745</v>
      </c>
      <c r="K137" s="10">
        <f t="shared" si="16"/>
        <v>0</v>
      </c>
      <c r="L137" s="10">
        <f t="shared" si="20"/>
        <v>641296.68183793745</v>
      </c>
      <c r="M137" s="10">
        <f>'D) Ecrêtage'!C136</f>
        <v>173390.58290122479</v>
      </c>
      <c r="N137" s="10">
        <f t="shared" si="17"/>
        <v>229808.83346841513</v>
      </c>
      <c r="O137" s="55">
        <f t="shared" si="18"/>
        <v>229808.83346841513</v>
      </c>
      <c r="P137" s="219"/>
      <c r="Q137" s="220"/>
      <c r="R137" s="216"/>
      <c r="S137" s="216"/>
      <c r="T137" s="221"/>
    </row>
    <row r="138" spans="1:20" s="215" customFormat="1" x14ac:dyDescent="0.25">
      <c r="A138" s="310">
        <f>'A) Base RI'!A139</f>
        <v>5628</v>
      </c>
      <c r="B138" s="228" t="str">
        <f>'A) Base RI'!B139</f>
        <v>Chigny</v>
      </c>
      <c r="C138" s="244">
        <v>0</v>
      </c>
      <c r="D138" s="217">
        <f>'B) D RI'!AA139</f>
        <v>358</v>
      </c>
      <c r="E138" s="218">
        <f>'B) D RI'!S139</f>
        <v>62</v>
      </c>
      <c r="F138" s="10">
        <f>'B) D RI'!R139</f>
        <v>1357450.1929836546</v>
      </c>
      <c r="G138" s="10">
        <f>'B) D RI'!U139</f>
        <v>21894.357951349266</v>
      </c>
      <c r="H138" s="41">
        <f>'B) D RI'!T139</f>
        <v>1268877.9929836546</v>
      </c>
      <c r="I138" s="10">
        <f t="shared" si="19"/>
        <v>40931.54816076305</v>
      </c>
      <c r="J138" s="31">
        <f t="shared" si="15"/>
        <v>29658.211096496783</v>
      </c>
      <c r="K138" s="10">
        <f t="shared" si="16"/>
        <v>29658.211096496783</v>
      </c>
      <c r="L138" s="10">
        <f t="shared" si="20"/>
        <v>0</v>
      </c>
      <c r="M138" s="10">
        <f>'D) Ecrêtage'!C137</f>
        <v>21894.357951349266</v>
      </c>
      <c r="N138" s="10">
        <f t="shared" si="17"/>
        <v>29018.397517042737</v>
      </c>
      <c r="O138" s="55">
        <f t="shared" si="18"/>
        <v>58676.608613539516</v>
      </c>
      <c r="P138" s="219"/>
      <c r="Q138" s="220"/>
      <c r="R138" s="216"/>
      <c r="S138" s="216"/>
      <c r="T138" s="221"/>
    </row>
    <row r="139" spans="1:20" s="215" customFormat="1" x14ac:dyDescent="0.25">
      <c r="A139" s="310">
        <f>'A) Base RI'!A140</f>
        <v>5629</v>
      </c>
      <c r="B139" s="228" t="str">
        <f>'A) Base RI'!B140</f>
        <v>Clarmont</v>
      </c>
      <c r="C139" s="244">
        <v>0</v>
      </c>
      <c r="D139" s="217">
        <f>'B) D RI'!AA140</f>
        <v>190</v>
      </c>
      <c r="E139" s="218">
        <f>'B) D RI'!S140</f>
        <v>75</v>
      </c>
      <c r="F139" s="10">
        <f>'B) D RI'!R140</f>
        <v>518717.33422018657</v>
      </c>
      <c r="G139" s="10">
        <f>'B) D RI'!U140</f>
        <v>6916.2311229358211</v>
      </c>
      <c r="H139" s="41">
        <f>'B) D RI'!T140</f>
        <v>487279.18422018661</v>
      </c>
      <c r="I139" s="10">
        <f t="shared" si="19"/>
        <v>12994.111579204977</v>
      </c>
      <c r="J139" s="31">
        <f t="shared" si="15"/>
        <v>15740.391364062538</v>
      </c>
      <c r="K139" s="10">
        <f t="shared" si="16"/>
        <v>12994.111579204977</v>
      </c>
      <c r="L139" s="10">
        <f t="shared" si="20"/>
        <v>2746.279784857561</v>
      </c>
      <c r="M139" s="10">
        <f>'D) Ecrêtage'!C138</f>
        <v>6916.2311229358211</v>
      </c>
      <c r="N139" s="10">
        <f t="shared" si="17"/>
        <v>9166.651266552728</v>
      </c>
      <c r="O139" s="55">
        <f t="shared" si="18"/>
        <v>22160.762845757705</v>
      </c>
      <c r="P139" s="219"/>
      <c r="Q139" s="220"/>
      <c r="R139" s="216"/>
      <c r="S139" s="216"/>
      <c r="T139" s="221"/>
    </row>
    <row r="140" spans="1:20" s="215" customFormat="1" x14ac:dyDescent="0.25">
      <c r="A140" s="310">
        <f>'A) Base RI'!A141</f>
        <v>5631</v>
      </c>
      <c r="B140" s="228" t="str">
        <f>'A) Base RI'!B141</f>
        <v>Denens</v>
      </c>
      <c r="C140" s="244">
        <v>0</v>
      </c>
      <c r="D140" s="217">
        <f>'B) D RI'!AA141</f>
        <v>747</v>
      </c>
      <c r="E140" s="218">
        <f>'B) D RI'!S141</f>
        <v>70</v>
      </c>
      <c r="F140" s="10">
        <f>'B) D RI'!R141</f>
        <v>3067118.3826824953</v>
      </c>
      <c r="G140" s="10">
        <f>'B) D RI'!U141</f>
        <v>43815.97689546422</v>
      </c>
      <c r="H140" s="41">
        <f>'B) D RI'!T141</f>
        <v>2863760.5326824952</v>
      </c>
      <c r="I140" s="10">
        <f t="shared" si="19"/>
        <v>81821.729505214142</v>
      </c>
      <c r="J140" s="31">
        <f t="shared" si="15"/>
        <v>61884.591310287979</v>
      </c>
      <c r="K140" s="10">
        <f t="shared" si="16"/>
        <v>61884.591310287979</v>
      </c>
      <c r="L140" s="10">
        <f t="shared" si="20"/>
        <v>0</v>
      </c>
      <c r="M140" s="10">
        <f>'D) Ecrêtage'!C139</f>
        <v>43815.97689546422</v>
      </c>
      <c r="N140" s="10">
        <f t="shared" si="17"/>
        <v>58072.926275135876</v>
      </c>
      <c r="O140" s="55">
        <f t="shared" si="18"/>
        <v>119957.51758542386</v>
      </c>
      <c r="P140" s="219"/>
      <c r="Q140" s="220"/>
      <c r="R140" s="216"/>
      <c r="S140" s="216"/>
      <c r="T140" s="221"/>
    </row>
    <row r="141" spans="1:20" s="215" customFormat="1" x14ac:dyDescent="0.25">
      <c r="A141" s="310">
        <f>'A) Base RI'!A142</f>
        <v>5632</v>
      </c>
      <c r="B141" s="228" t="str">
        <f>'A) Base RI'!B142</f>
        <v>Denges</v>
      </c>
      <c r="C141" s="244">
        <v>0</v>
      </c>
      <c r="D141" s="217">
        <f>'B) D RI'!AA142</f>
        <v>1610</v>
      </c>
      <c r="E141" s="218">
        <f>'B) D RI'!S142</f>
        <v>62</v>
      </c>
      <c r="F141" s="10">
        <f>'B) D RI'!R142</f>
        <v>4196618.5660409397</v>
      </c>
      <c r="G141" s="10">
        <f>'B) D RI'!U142</f>
        <v>67687.396226466764</v>
      </c>
      <c r="H141" s="41">
        <f>'B) D RI'!T142</f>
        <v>3934043.6160409399</v>
      </c>
      <c r="I141" s="10">
        <f t="shared" si="19"/>
        <v>126904.6327755142</v>
      </c>
      <c r="J141" s="31">
        <f t="shared" si="15"/>
        <v>133379.10576916151</v>
      </c>
      <c r="K141" s="10">
        <f t="shared" si="16"/>
        <v>126904.6327755142</v>
      </c>
      <c r="L141" s="10">
        <f t="shared" si="20"/>
        <v>6474.4729936473159</v>
      </c>
      <c r="M141" s="10">
        <f>'D) Ecrêtage'!C140</f>
        <v>67687.396226466764</v>
      </c>
      <c r="N141" s="10">
        <f t="shared" si="17"/>
        <v>89711.686223351717</v>
      </c>
      <c r="O141" s="55">
        <f t="shared" si="18"/>
        <v>216616.3189988659</v>
      </c>
      <c r="P141" s="219"/>
      <c r="Q141" s="220"/>
      <c r="R141" s="216"/>
      <c r="S141" s="216"/>
      <c r="T141" s="221"/>
    </row>
    <row r="142" spans="1:20" s="215" customFormat="1" x14ac:dyDescent="0.25">
      <c r="A142" s="310">
        <f>'A) Base RI'!A143</f>
        <v>5633</v>
      </c>
      <c r="B142" s="228" t="str">
        <f>'A) Base RI'!B143</f>
        <v>Echandens</v>
      </c>
      <c r="C142" s="244">
        <v>0</v>
      </c>
      <c r="D142" s="217">
        <f>'B) D RI'!AA143</f>
        <v>2789</v>
      </c>
      <c r="E142" s="218">
        <f>'B) D RI'!S143</f>
        <v>62</v>
      </c>
      <c r="F142" s="10">
        <f>'B) D RI'!R143</f>
        <v>8521213.1004048344</v>
      </c>
      <c r="G142" s="10">
        <f>'B) D RI'!U143</f>
        <v>137438.92097427152</v>
      </c>
      <c r="H142" s="41">
        <f>'B) D RI'!T143</f>
        <v>7887088.3504048344</v>
      </c>
      <c r="I142" s="10">
        <f t="shared" si="19"/>
        <v>254422.20485176885</v>
      </c>
      <c r="J142" s="31">
        <f t="shared" si="15"/>
        <v>231052.37639142325</v>
      </c>
      <c r="K142" s="10">
        <f t="shared" si="16"/>
        <v>231052.37639142325</v>
      </c>
      <c r="L142" s="10">
        <f t="shared" si="20"/>
        <v>0</v>
      </c>
      <c r="M142" s="10">
        <f>'D) Ecrêtage'!C141</f>
        <v>137438.92097427152</v>
      </c>
      <c r="N142" s="10">
        <f t="shared" si="17"/>
        <v>182159.13213838052</v>
      </c>
      <c r="O142" s="55">
        <f t="shared" si="18"/>
        <v>413211.50852980377</v>
      </c>
      <c r="P142" s="219"/>
      <c r="Q142" s="220"/>
      <c r="R142" s="216"/>
      <c r="S142" s="216"/>
      <c r="T142" s="221"/>
    </row>
    <row r="143" spans="1:20" s="215" customFormat="1" x14ac:dyDescent="0.25">
      <c r="A143" s="310">
        <f>'A) Base RI'!A144</f>
        <v>5634</v>
      </c>
      <c r="B143" s="228" t="str">
        <f>'A) Base RI'!B144</f>
        <v>Echichens</v>
      </c>
      <c r="C143" s="244">
        <v>0</v>
      </c>
      <c r="D143" s="217">
        <f>'B) D RI'!AA144</f>
        <v>3050</v>
      </c>
      <c r="E143" s="218">
        <f>'B) D RI'!S144</f>
        <v>68</v>
      </c>
      <c r="F143" s="10">
        <f>'B) D RI'!R144</f>
        <v>11744103.941159118</v>
      </c>
      <c r="G143" s="10">
        <f>'B) D RI'!U144</f>
        <v>172707.41089939879</v>
      </c>
      <c r="H143" s="41">
        <f>'B) D RI'!T144</f>
        <v>11128123.591159116</v>
      </c>
      <c r="I143" s="10">
        <f t="shared" si="19"/>
        <v>327297.75268115051</v>
      </c>
      <c r="J143" s="31">
        <f t="shared" si="15"/>
        <v>252674.70347574074</v>
      </c>
      <c r="K143" s="10">
        <f t="shared" si="16"/>
        <v>252674.70347574074</v>
      </c>
      <c r="L143" s="10">
        <f t="shared" si="20"/>
        <v>0</v>
      </c>
      <c r="M143" s="10">
        <f>'D) Ecrêtage'!C142</f>
        <v>172707.41089939879</v>
      </c>
      <c r="N143" s="10">
        <f t="shared" si="17"/>
        <v>228903.36929515406</v>
      </c>
      <c r="O143" s="55">
        <f t="shared" si="18"/>
        <v>481578.0727708948</v>
      </c>
      <c r="P143" s="219"/>
      <c r="Q143" s="220"/>
      <c r="R143" s="216"/>
      <c r="S143" s="216"/>
      <c r="T143" s="221"/>
    </row>
    <row r="144" spans="1:20" s="215" customFormat="1" x14ac:dyDescent="0.25">
      <c r="A144" s="310">
        <f>'A) Base RI'!A145</f>
        <v>5635</v>
      </c>
      <c r="B144" s="228" t="str">
        <f>'A) Base RI'!B145</f>
        <v>Ecublens</v>
      </c>
      <c r="C144" s="244">
        <v>1</v>
      </c>
      <c r="D144" s="217">
        <f>'B) D RI'!AA145</f>
        <v>12939</v>
      </c>
      <c r="E144" s="218">
        <f>'B) D RI'!S145</f>
        <v>64</v>
      </c>
      <c r="F144" s="10">
        <f>'B) D RI'!R145</f>
        <v>27251479.10364797</v>
      </c>
      <c r="G144" s="10">
        <f>'B) D RI'!U145</f>
        <v>425804.36099449953</v>
      </c>
      <c r="H144" s="41">
        <f>'B) D RI'!T145</f>
        <v>24511807.7119813</v>
      </c>
      <c r="I144" s="10">
        <f t="shared" si="19"/>
        <v>765993.99099941563</v>
      </c>
      <c r="J144" s="31">
        <f t="shared" si="15"/>
        <v>1071920.6518926588</v>
      </c>
      <c r="K144" s="10">
        <f t="shared" si="16"/>
        <v>0</v>
      </c>
      <c r="L144" s="10">
        <f t="shared" si="20"/>
        <v>1071920.6518926588</v>
      </c>
      <c r="M144" s="10">
        <f>'D) Ecrêtage'!C143</f>
        <v>425804.36099449953</v>
      </c>
      <c r="N144" s="10">
        <f t="shared" si="17"/>
        <v>564353.62202833127</v>
      </c>
      <c r="O144" s="55">
        <f t="shared" si="18"/>
        <v>564353.62202833127</v>
      </c>
      <c r="P144" s="219"/>
      <c r="Q144" s="220"/>
      <c r="R144" s="216"/>
      <c r="S144" s="216"/>
      <c r="T144" s="221"/>
    </row>
    <row r="145" spans="1:20" s="215" customFormat="1" x14ac:dyDescent="0.25">
      <c r="A145" s="310">
        <f>'A) Base RI'!A146</f>
        <v>5636</v>
      </c>
      <c r="B145" s="228" t="str">
        <f>'A) Base RI'!B146</f>
        <v>Etoy</v>
      </c>
      <c r="C145" s="244">
        <v>0</v>
      </c>
      <c r="D145" s="217">
        <f>'B) D RI'!AA146</f>
        <v>2905</v>
      </c>
      <c r="E145" s="218">
        <f>'B) D RI'!S146</f>
        <v>61</v>
      </c>
      <c r="F145" s="10">
        <f>'B) D RI'!R146</f>
        <v>9973992.5696593784</v>
      </c>
      <c r="G145" s="10">
        <f>'B) D RI'!U146</f>
        <v>163508.07491244882</v>
      </c>
      <c r="H145" s="41">
        <f>'B) D RI'!T146</f>
        <v>8473890.5196593795</v>
      </c>
      <c r="I145" s="10">
        <f t="shared" si="19"/>
        <v>277832.47605440591</v>
      </c>
      <c r="J145" s="31">
        <f t="shared" si="15"/>
        <v>240662.29954000883</v>
      </c>
      <c r="K145" s="10">
        <f t="shared" si="16"/>
        <v>240662.29954000883</v>
      </c>
      <c r="L145" s="10">
        <f t="shared" si="20"/>
        <v>0</v>
      </c>
      <c r="M145" s="10">
        <f>'D) Ecrêtage'!C144</f>
        <v>163508.07491244882</v>
      </c>
      <c r="N145" s="10">
        <f t="shared" si="17"/>
        <v>216710.73093803338</v>
      </c>
      <c r="O145" s="55">
        <f t="shared" si="18"/>
        <v>457373.0304780422</v>
      </c>
      <c r="P145" s="219"/>
      <c r="Q145" s="220"/>
      <c r="R145" s="216"/>
      <c r="S145" s="216"/>
      <c r="T145" s="221"/>
    </row>
    <row r="146" spans="1:20" s="215" customFormat="1" x14ac:dyDescent="0.25">
      <c r="A146" s="310">
        <f>'A) Base RI'!A147</f>
        <v>5637</v>
      </c>
      <c r="B146" s="228" t="str">
        <f>'A) Base RI'!B147</f>
        <v>Lavigny</v>
      </c>
      <c r="C146" s="244">
        <v>0</v>
      </c>
      <c r="D146" s="217">
        <f>'B) D RI'!AA147</f>
        <v>999</v>
      </c>
      <c r="E146" s="218">
        <f>'B) D RI'!S147</f>
        <v>74.5</v>
      </c>
      <c r="F146" s="10">
        <f>'B) D RI'!R147</f>
        <v>2646811.4673075443</v>
      </c>
      <c r="G146" s="10">
        <f>'B) D RI'!U147</f>
        <v>35527.670702114687</v>
      </c>
      <c r="H146" s="41">
        <f>'B) D RI'!T147</f>
        <v>2453867.8839742113</v>
      </c>
      <c r="I146" s="10">
        <f t="shared" si="19"/>
        <v>65875.647891925139</v>
      </c>
      <c r="J146" s="31">
        <f t="shared" si="15"/>
        <v>82761.320908939349</v>
      </c>
      <c r="K146" s="10">
        <f t="shared" si="16"/>
        <v>65875.647891925139</v>
      </c>
      <c r="L146" s="10">
        <f t="shared" si="20"/>
        <v>16885.673017014211</v>
      </c>
      <c r="M146" s="10">
        <f>'D) Ecrêtage'!C145</f>
        <v>35527.670702114687</v>
      </c>
      <c r="N146" s="10">
        <f t="shared" si="17"/>
        <v>47087.75080682477</v>
      </c>
      <c r="O146" s="55">
        <f t="shared" si="18"/>
        <v>112963.39869874991</v>
      </c>
      <c r="P146" s="219"/>
      <c r="Q146" s="220"/>
      <c r="R146" s="216"/>
      <c r="S146" s="216"/>
      <c r="T146" s="221"/>
    </row>
    <row r="147" spans="1:20" s="215" customFormat="1" x14ac:dyDescent="0.25">
      <c r="A147" s="310">
        <f>'A) Base RI'!A148</f>
        <v>5638</v>
      </c>
      <c r="B147" s="228" t="str">
        <f>'A) Base RI'!B148</f>
        <v>Lonay</v>
      </c>
      <c r="C147" s="244">
        <v>0</v>
      </c>
      <c r="D147" s="217">
        <f>'B) D RI'!AA148</f>
        <v>2593</v>
      </c>
      <c r="E147" s="218">
        <f>'B) D RI'!S148</f>
        <v>55</v>
      </c>
      <c r="F147" s="10">
        <f>'B) D RI'!R148</f>
        <v>8624061.8867259324</v>
      </c>
      <c r="G147" s="10">
        <f>'B) D RI'!U148</f>
        <v>156801.12521319877</v>
      </c>
      <c r="H147" s="41">
        <f>'B) D RI'!T148</f>
        <v>7955542.8867259324</v>
      </c>
      <c r="I147" s="10">
        <f t="shared" si="19"/>
        <v>289292.46860821574</v>
      </c>
      <c r="J147" s="31">
        <f t="shared" si="15"/>
        <v>214814.92003691665</v>
      </c>
      <c r="K147" s="10">
        <f t="shared" si="16"/>
        <v>214814.92003691665</v>
      </c>
      <c r="L147" s="10">
        <f t="shared" si="20"/>
        <v>0</v>
      </c>
      <c r="M147" s="10">
        <f>'D) Ecrêtage'!C146</f>
        <v>156801.12521319877</v>
      </c>
      <c r="N147" s="10">
        <f t="shared" si="17"/>
        <v>207821.45759500511</v>
      </c>
      <c r="O147" s="55">
        <f t="shared" si="18"/>
        <v>422636.37763192179</v>
      </c>
      <c r="P147" s="219"/>
      <c r="Q147" s="220"/>
      <c r="R147" s="216"/>
      <c r="S147" s="216"/>
      <c r="T147" s="221"/>
    </row>
    <row r="148" spans="1:20" s="215" customFormat="1" x14ac:dyDescent="0.25">
      <c r="A148" s="310">
        <f>'A) Base RI'!A149</f>
        <v>5639</v>
      </c>
      <c r="B148" s="228" t="str">
        <f>'A) Base RI'!B149</f>
        <v>Lully</v>
      </c>
      <c r="C148" s="244">
        <v>0</v>
      </c>
      <c r="D148" s="217">
        <f>'B) D RI'!AA149</f>
        <v>790</v>
      </c>
      <c r="E148" s="218">
        <f>'B) D RI'!S149</f>
        <v>61</v>
      </c>
      <c r="F148" s="10">
        <f>'B) D RI'!R149</f>
        <v>2728752.668185438</v>
      </c>
      <c r="G148" s="10">
        <f>'B) D RI'!U149</f>
        <v>44733.650298121938</v>
      </c>
      <c r="H148" s="41">
        <f>'B) D RI'!T149</f>
        <v>2529045.898185438</v>
      </c>
      <c r="I148" s="10">
        <f t="shared" si="19"/>
        <v>82919.537645424192</v>
      </c>
      <c r="J148" s="31">
        <f t="shared" si="15"/>
        <v>65446.890408470557</v>
      </c>
      <c r="K148" s="10">
        <f t="shared" si="16"/>
        <v>65446.890408470557</v>
      </c>
      <c r="L148" s="10">
        <f t="shared" si="20"/>
        <v>0</v>
      </c>
      <c r="M148" s="10">
        <f>'D) Ecrêtage'!C147</f>
        <v>44733.650298121938</v>
      </c>
      <c r="N148" s="10">
        <f t="shared" si="17"/>
        <v>59289.194486713997</v>
      </c>
      <c r="O148" s="55">
        <f t="shared" si="18"/>
        <v>124736.08489518455</v>
      </c>
      <c r="P148" s="219"/>
      <c r="Q148" s="220"/>
      <c r="R148" s="216"/>
      <c r="S148" s="216"/>
      <c r="T148" s="221"/>
    </row>
    <row r="149" spans="1:20" s="215" customFormat="1" x14ac:dyDescent="0.25">
      <c r="A149" s="310">
        <f>'A) Base RI'!A150</f>
        <v>5640</v>
      </c>
      <c r="B149" s="228" t="str">
        <f>'A) Base RI'!B150</f>
        <v>Lussy-sur-Morges</v>
      </c>
      <c r="C149" s="244">
        <v>1</v>
      </c>
      <c r="D149" s="217">
        <f>'B) D RI'!AA150</f>
        <v>687</v>
      </c>
      <c r="E149" s="218">
        <f>'B) D RI'!S150</f>
        <v>66</v>
      </c>
      <c r="F149" s="10">
        <f>'B) D RI'!R150</f>
        <v>3512136.5321309119</v>
      </c>
      <c r="G149" s="10">
        <f>'B) D RI'!U150</f>
        <v>53214.189880771395</v>
      </c>
      <c r="H149" s="41">
        <f>'B) D RI'!T150</f>
        <v>3318528.3321309122</v>
      </c>
      <c r="I149" s="10">
        <f t="shared" si="19"/>
        <v>100561.46461002764</v>
      </c>
      <c r="J149" s="31">
        <f t="shared" si="15"/>
        <v>56913.941405847181</v>
      </c>
      <c r="K149" s="10">
        <f t="shared" si="16"/>
        <v>0</v>
      </c>
      <c r="L149" s="10">
        <f t="shared" si="20"/>
        <v>56913.941405847181</v>
      </c>
      <c r="M149" s="10">
        <f>'D) Ecrêtage'!C148</f>
        <v>53214.189880771395</v>
      </c>
      <c r="N149" s="10">
        <f t="shared" si="17"/>
        <v>70529.152713174437</v>
      </c>
      <c r="O149" s="55">
        <f t="shared" si="18"/>
        <v>70529.152713174437</v>
      </c>
      <c r="P149" s="219"/>
      <c r="Q149" s="220"/>
      <c r="R149" s="216"/>
      <c r="S149" s="216"/>
      <c r="T149" s="221"/>
    </row>
    <row r="150" spans="1:20" s="215" customFormat="1" x14ac:dyDescent="0.25">
      <c r="A150" s="310">
        <f>'A) Base RI'!A151</f>
        <v>5642</v>
      </c>
      <c r="B150" s="228" t="str">
        <f>'A) Base RI'!B151</f>
        <v>Morges</v>
      </c>
      <c r="C150" s="244">
        <v>1</v>
      </c>
      <c r="D150" s="217">
        <f>'B) D RI'!AA151</f>
        <v>15725</v>
      </c>
      <c r="E150" s="218">
        <f>'B) D RI'!S151</f>
        <v>68.5</v>
      </c>
      <c r="F150" s="10">
        <f>'B) D RI'!R151</f>
        <v>49956430.453821771</v>
      </c>
      <c r="G150" s="10">
        <f>'B) D RI'!U151</f>
        <v>729290.95553024486</v>
      </c>
      <c r="H150" s="41">
        <f>'B) D RI'!T151</f>
        <v>46355082.603821777</v>
      </c>
      <c r="I150" s="10">
        <f t="shared" si="19"/>
        <v>1353433.0687247233</v>
      </c>
      <c r="J150" s="31">
        <f t="shared" si="15"/>
        <v>1302724.4957888601</v>
      </c>
      <c r="K150" s="10">
        <f t="shared" si="16"/>
        <v>0</v>
      </c>
      <c r="L150" s="10">
        <f t="shared" si="20"/>
        <v>1302724.4957888601</v>
      </c>
      <c r="M150" s="10">
        <f>'D) Ecrêtage'!C149</f>
        <v>729290.95553024486</v>
      </c>
      <c r="N150" s="10">
        <f t="shared" si="17"/>
        <v>966589.42455338803</v>
      </c>
      <c r="O150" s="55">
        <f t="shared" si="18"/>
        <v>966589.42455338803</v>
      </c>
      <c r="P150" s="219"/>
      <c r="Q150" s="220"/>
      <c r="R150" s="216"/>
      <c r="S150" s="216"/>
      <c r="T150" s="221"/>
    </row>
    <row r="151" spans="1:20" s="215" customFormat="1" x14ac:dyDescent="0.25">
      <c r="A151" s="310">
        <f>'A) Base RI'!A152</f>
        <v>5643</v>
      </c>
      <c r="B151" s="228" t="str">
        <f>'A) Base RI'!B152</f>
        <v>Préverenges</v>
      </c>
      <c r="C151" s="244">
        <v>1</v>
      </c>
      <c r="D151" s="217">
        <f>'B) D RI'!AA152</f>
        <v>5298</v>
      </c>
      <c r="E151" s="218">
        <f>'B) D RI'!S152</f>
        <v>64</v>
      </c>
      <c r="F151" s="10">
        <f>'B) D RI'!R152</f>
        <v>16429858.760314597</v>
      </c>
      <c r="G151" s="10">
        <f>'B) D RI'!U152</f>
        <v>256716.54312991558</v>
      </c>
      <c r="H151" s="41">
        <f>'B) D RI'!T152</f>
        <v>15215832.960314596</v>
      </c>
      <c r="I151" s="10">
        <f t="shared" si="19"/>
        <v>475494.78000983113</v>
      </c>
      <c r="J151" s="31">
        <f t="shared" si="15"/>
        <v>438908.38656212279</v>
      </c>
      <c r="K151" s="10">
        <f t="shared" si="16"/>
        <v>0</v>
      </c>
      <c r="L151" s="10">
        <f t="shared" si="20"/>
        <v>438908.38656212279</v>
      </c>
      <c r="M151" s="10">
        <f>'D) Ecrêtage'!C150</f>
        <v>256716.54312991558</v>
      </c>
      <c r="N151" s="10">
        <f t="shared" si="17"/>
        <v>340247.59777373844</v>
      </c>
      <c r="O151" s="55">
        <f t="shared" si="18"/>
        <v>340247.59777373844</v>
      </c>
      <c r="P151" s="219"/>
      <c r="Q151" s="220"/>
      <c r="R151" s="216"/>
      <c r="S151" s="216"/>
      <c r="T151" s="221"/>
    </row>
    <row r="152" spans="1:20" s="215" customFormat="1" x14ac:dyDescent="0.25">
      <c r="A152" s="310">
        <f>'A) Base RI'!A153</f>
        <v>5644</v>
      </c>
      <c r="B152" s="228" t="str">
        <f>'A) Base RI'!B153</f>
        <v>Reverolle</v>
      </c>
      <c r="C152" s="244">
        <v>0</v>
      </c>
      <c r="D152" s="217">
        <f>'B) D RI'!AA153</f>
        <v>399</v>
      </c>
      <c r="E152" s="218">
        <f>'B) D RI'!S153</f>
        <v>76</v>
      </c>
      <c r="F152" s="10">
        <f>'B) D RI'!R153</f>
        <v>1020317.6777035492</v>
      </c>
      <c r="G152" s="10">
        <f>'B) D RI'!U153</f>
        <v>13425.23260136249</v>
      </c>
      <c r="H152" s="41">
        <f>'B) D RI'!T153</f>
        <v>943415.2277035492</v>
      </c>
      <c r="I152" s="10">
        <f t="shared" si="19"/>
        <v>24826.716518514451</v>
      </c>
      <c r="J152" s="31">
        <f t="shared" si="15"/>
        <v>33054.821864531332</v>
      </c>
      <c r="K152" s="10">
        <f t="shared" si="16"/>
        <v>24826.716518514451</v>
      </c>
      <c r="L152" s="10">
        <f t="shared" si="20"/>
        <v>8228.1053460168805</v>
      </c>
      <c r="M152" s="10">
        <f>'D) Ecrêtage'!C151</f>
        <v>13425.23260136249</v>
      </c>
      <c r="N152" s="10">
        <f t="shared" si="17"/>
        <v>17793.567514095121</v>
      </c>
      <c r="O152" s="55">
        <f t="shared" si="18"/>
        <v>42620.284032609576</v>
      </c>
      <c r="P152" s="219"/>
      <c r="Q152" s="220"/>
      <c r="R152" s="216"/>
      <c r="S152" s="216"/>
      <c r="T152" s="221"/>
    </row>
    <row r="153" spans="1:20" s="215" customFormat="1" x14ac:dyDescent="0.25">
      <c r="A153" s="310">
        <f>'A) Base RI'!A154</f>
        <v>5645</v>
      </c>
      <c r="B153" s="228" t="str">
        <f>'A) Base RI'!B154</f>
        <v>Romanel-sur-Morges</v>
      </c>
      <c r="C153" s="244">
        <v>0</v>
      </c>
      <c r="D153" s="217">
        <f>'B) D RI'!AA154</f>
        <v>458</v>
      </c>
      <c r="E153" s="218">
        <f>'B) D RI'!S154</f>
        <v>56</v>
      </c>
      <c r="F153" s="10">
        <f>'B) D RI'!R154</f>
        <v>1356871.749527141</v>
      </c>
      <c r="G153" s="10">
        <f>'B) D RI'!U154</f>
        <v>24229.852670127519</v>
      </c>
      <c r="H153" s="41">
        <f>'B) D RI'!T154</f>
        <v>1189758.0245271409</v>
      </c>
      <c r="I153" s="10">
        <f t="shared" si="19"/>
        <v>42491.35801882646</v>
      </c>
      <c r="J153" s="31">
        <f t="shared" si="15"/>
        <v>37942.627603898116</v>
      </c>
      <c r="K153" s="10">
        <f t="shared" si="16"/>
        <v>37942.627603898116</v>
      </c>
      <c r="L153" s="10">
        <f t="shared" si="20"/>
        <v>0</v>
      </c>
      <c r="M153" s="10">
        <f>'D) Ecrêtage'!C152</f>
        <v>24229.852670127519</v>
      </c>
      <c r="N153" s="10">
        <f t="shared" si="17"/>
        <v>32113.821201037303</v>
      </c>
      <c r="O153" s="55">
        <f t="shared" si="18"/>
        <v>70056.448804935411</v>
      </c>
      <c r="P153" s="219"/>
      <c r="Q153" s="220"/>
      <c r="R153" s="216"/>
      <c r="S153" s="216"/>
      <c r="T153" s="221"/>
    </row>
    <row r="154" spans="1:20" s="215" customFormat="1" x14ac:dyDescent="0.25">
      <c r="A154" s="310">
        <f>'A) Base RI'!A155</f>
        <v>5646</v>
      </c>
      <c r="B154" s="228" t="str">
        <f>'A) Base RI'!B155</f>
        <v>Saint-Prex</v>
      </c>
      <c r="C154" s="244">
        <v>1</v>
      </c>
      <c r="D154" s="217">
        <f>'B) D RI'!AA155</f>
        <v>5684</v>
      </c>
      <c r="E154" s="218">
        <f>'B) D RI'!S155</f>
        <v>55</v>
      </c>
      <c r="F154" s="10">
        <f>'B) D RI'!R155</f>
        <v>25392636.15113458</v>
      </c>
      <c r="G154" s="10">
        <f>'B) D RI'!U155</f>
        <v>461684.29365699238</v>
      </c>
      <c r="H154" s="41">
        <f>'B) D RI'!T155</f>
        <v>23666868.301134579</v>
      </c>
      <c r="I154" s="10">
        <f t="shared" si="19"/>
        <v>860613.39276853018</v>
      </c>
      <c r="J154" s="31">
        <f t="shared" si="15"/>
        <v>470886.23428069195</v>
      </c>
      <c r="K154" s="10">
        <f t="shared" si="16"/>
        <v>0</v>
      </c>
      <c r="L154" s="10">
        <f t="shared" si="20"/>
        <v>470886.23428069195</v>
      </c>
      <c r="M154" s="10">
        <f>'D) Ecrêtage'!C153</f>
        <v>461684.29365699238</v>
      </c>
      <c r="N154" s="10">
        <f t="shared" si="17"/>
        <v>611908.25465096906</v>
      </c>
      <c r="O154" s="55">
        <f t="shared" si="18"/>
        <v>611908.25465096906</v>
      </c>
      <c r="P154" s="219"/>
      <c r="Q154" s="220"/>
      <c r="R154" s="216"/>
      <c r="S154" s="216"/>
      <c r="T154" s="221"/>
    </row>
    <row r="155" spans="1:20" s="215" customFormat="1" x14ac:dyDescent="0.25">
      <c r="A155" s="310">
        <f>'A) Base RI'!A156</f>
        <v>5648</v>
      </c>
      <c r="B155" s="228" t="str">
        <f>'A) Base RI'!B156</f>
        <v>Saint-Sulpice</v>
      </c>
      <c r="C155" s="244">
        <v>1</v>
      </c>
      <c r="D155" s="217">
        <f>'B) D RI'!AA156</f>
        <v>4669</v>
      </c>
      <c r="E155" s="218">
        <f>'B) D RI'!S156</f>
        <v>55</v>
      </c>
      <c r="F155" s="10">
        <f>'B) D RI'!R156</f>
        <v>19799120.868297115</v>
      </c>
      <c r="G155" s="10">
        <f>'B) D RI'!U156</f>
        <v>359984.01578722027</v>
      </c>
      <c r="H155" s="41">
        <f>'B) D RI'!T156</f>
        <v>18344120.868297115</v>
      </c>
      <c r="I155" s="10">
        <f t="shared" si="19"/>
        <v>667058.9406653496</v>
      </c>
      <c r="J155" s="31">
        <f t="shared" si="15"/>
        <v>386799.40673056839</v>
      </c>
      <c r="K155" s="10">
        <f t="shared" si="16"/>
        <v>0</v>
      </c>
      <c r="L155" s="10">
        <f t="shared" si="20"/>
        <v>386799.40673056839</v>
      </c>
      <c r="M155" s="10">
        <f>'D) Ecrêtage'!C154</f>
        <v>359984.01578722027</v>
      </c>
      <c r="N155" s="10">
        <f t="shared" si="17"/>
        <v>477116.49243640818</v>
      </c>
      <c r="O155" s="55">
        <f t="shared" si="18"/>
        <v>477116.49243640818</v>
      </c>
      <c r="P155" s="219"/>
      <c r="Q155" s="220"/>
      <c r="R155" s="216"/>
      <c r="S155" s="216"/>
      <c r="T155" s="221"/>
    </row>
    <row r="156" spans="1:20" s="215" customFormat="1" x14ac:dyDescent="0.25">
      <c r="A156" s="310">
        <f>'A) Base RI'!A157</f>
        <v>5649</v>
      </c>
      <c r="B156" s="228" t="str">
        <f>'A) Base RI'!B157</f>
        <v>Tolochenaz</v>
      </c>
      <c r="C156" s="244">
        <v>1</v>
      </c>
      <c r="D156" s="217">
        <f>'B) D RI'!AA157</f>
        <v>1933</v>
      </c>
      <c r="E156" s="218">
        <f>'B) D RI'!S157</f>
        <v>65</v>
      </c>
      <c r="F156" s="10">
        <f>'B) D RI'!R157</f>
        <v>7409912.8041161532</v>
      </c>
      <c r="G156" s="10">
        <f>'B) D RI'!U157</f>
        <v>113998.65852486389</v>
      </c>
      <c r="H156" s="41">
        <f>'B) D RI'!T157</f>
        <v>6808482.0041161533</v>
      </c>
      <c r="I156" s="10">
        <f t="shared" si="19"/>
        <v>209491.75397280473</v>
      </c>
      <c r="J156" s="31">
        <f t="shared" si="15"/>
        <v>160137.77108806782</v>
      </c>
      <c r="K156" s="10">
        <f t="shared" si="16"/>
        <v>0</v>
      </c>
      <c r="L156" s="10">
        <f t="shared" si="20"/>
        <v>160137.77108806782</v>
      </c>
      <c r="M156" s="10">
        <f>'D) Ecrêtage'!C155</f>
        <v>113998.65852486389</v>
      </c>
      <c r="N156" s="10">
        <f t="shared" si="17"/>
        <v>151091.81994899511</v>
      </c>
      <c r="O156" s="55">
        <f t="shared" si="18"/>
        <v>151091.81994899511</v>
      </c>
      <c r="P156" s="219"/>
      <c r="Q156" s="220"/>
      <c r="R156" s="216"/>
      <c r="S156" s="216"/>
      <c r="T156" s="221"/>
    </row>
    <row r="157" spans="1:20" s="215" customFormat="1" x14ac:dyDescent="0.25">
      <c r="A157" s="310">
        <f>'A) Base RI'!A158</f>
        <v>5650</v>
      </c>
      <c r="B157" s="228" t="str">
        <f>'A) Base RI'!B158</f>
        <v>Vaux-sur-Morges</v>
      </c>
      <c r="C157" s="244">
        <v>0</v>
      </c>
      <c r="D157" s="217">
        <f>'B) D RI'!AA158</f>
        <v>184</v>
      </c>
      <c r="E157" s="218">
        <f>'B) D RI'!S158</f>
        <v>56</v>
      </c>
      <c r="F157" s="10">
        <f>'B) D RI'!R158</f>
        <v>10365842.234816272</v>
      </c>
      <c r="G157" s="10">
        <f>'B) D RI'!U158</f>
        <v>185104.32562171915</v>
      </c>
      <c r="H157" s="41">
        <f>'B) D RI'!T158</f>
        <v>10321615.274816271</v>
      </c>
      <c r="I157" s="10">
        <f t="shared" si="19"/>
        <v>368629.11695772398</v>
      </c>
      <c r="J157" s="31">
        <f t="shared" si="15"/>
        <v>15243.326373618458</v>
      </c>
      <c r="K157" s="10">
        <f t="shared" si="16"/>
        <v>15243.326373618458</v>
      </c>
      <c r="L157" s="10">
        <f t="shared" si="20"/>
        <v>0</v>
      </c>
      <c r="M157" s="10">
        <f>'D) Ecrêtage'!C156</f>
        <v>185104.32562171915</v>
      </c>
      <c r="N157" s="10">
        <f t="shared" si="17"/>
        <v>245334.02235182442</v>
      </c>
      <c r="O157" s="55">
        <f t="shared" si="18"/>
        <v>260577.34872544286</v>
      </c>
      <c r="P157" s="219"/>
      <c r="Q157" s="220"/>
      <c r="R157" s="216"/>
      <c r="S157" s="216"/>
      <c r="T157" s="221"/>
    </row>
    <row r="158" spans="1:20" s="215" customFormat="1" x14ac:dyDescent="0.25">
      <c r="A158" s="310">
        <f>'A) Base RI'!A159</f>
        <v>5651</v>
      </c>
      <c r="B158" s="228" t="str">
        <f>'A) Base RI'!B159</f>
        <v>Villars-Sainte-Croix</v>
      </c>
      <c r="C158" s="244">
        <v>1</v>
      </c>
      <c r="D158" s="217">
        <f>'B) D RI'!AA159</f>
        <v>963</v>
      </c>
      <c r="E158" s="218">
        <f>'B) D RI'!S159</f>
        <v>59</v>
      </c>
      <c r="F158" s="10">
        <f>'B) D RI'!R159</f>
        <v>2969293.7664355845</v>
      </c>
      <c r="G158" s="10">
        <f>'B) D RI'!U159</f>
        <v>50327.012990433635</v>
      </c>
      <c r="H158" s="41">
        <f>'B) D RI'!T159</f>
        <v>2619414.6164355846</v>
      </c>
      <c r="I158" s="10">
        <f t="shared" si="19"/>
        <v>88793.715811375747</v>
      </c>
      <c r="J158" s="31">
        <f t="shared" si="15"/>
        <v>79778.930966274871</v>
      </c>
      <c r="K158" s="10">
        <f t="shared" si="16"/>
        <v>0</v>
      </c>
      <c r="L158" s="10">
        <f t="shared" si="20"/>
        <v>79778.930966274871</v>
      </c>
      <c r="M158" s="10">
        <f>'D) Ecrêtage'!C157</f>
        <v>50327.012990433635</v>
      </c>
      <c r="N158" s="10">
        <f t="shared" si="17"/>
        <v>66702.539167711817</v>
      </c>
      <c r="O158" s="55">
        <f t="shared" si="18"/>
        <v>66702.539167711817</v>
      </c>
      <c r="P158" s="219"/>
      <c r="Q158" s="220"/>
      <c r="R158" s="216"/>
      <c r="S158" s="216"/>
      <c r="T158" s="221"/>
    </row>
    <row r="159" spans="1:20" s="215" customFormat="1" x14ac:dyDescent="0.25">
      <c r="A159" s="310">
        <f>'A) Base RI'!A160</f>
        <v>5652</v>
      </c>
      <c r="B159" s="228" t="str">
        <f>'A) Base RI'!B160</f>
        <v>Villars-sous-Yens</v>
      </c>
      <c r="C159" s="244">
        <v>0</v>
      </c>
      <c r="D159" s="217">
        <f>'B) D RI'!AA160</f>
        <v>608</v>
      </c>
      <c r="E159" s="218">
        <f>'B) D RI'!S160</f>
        <v>76</v>
      </c>
      <c r="F159" s="10">
        <f>'B) D RI'!R160</f>
        <v>2254566.4037559992</v>
      </c>
      <c r="G159" s="10">
        <f>'B) D RI'!U160</f>
        <v>29665.347417842095</v>
      </c>
      <c r="H159" s="41">
        <f>'B) D RI'!T160</f>
        <v>2144720.7954226658</v>
      </c>
      <c r="I159" s="10">
        <f t="shared" si="19"/>
        <v>56440.020932175416</v>
      </c>
      <c r="J159" s="31">
        <f t="shared" si="15"/>
        <v>50369.252365000124</v>
      </c>
      <c r="K159" s="10">
        <f t="shared" si="16"/>
        <v>50369.252365000124</v>
      </c>
      <c r="L159" s="10">
        <f t="shared" si="20"/>
        <v>0</v>
      </c>
      <c r="M159" s="10">
        <f>'D) Ecrêtage'!C158</f>
        <v>29665.347417842095</v>
      </c>
      <c r="N159" s="10">
        <f t="shared" si="17"/>
        <v>39317.930480764284</v>
      </c>
      <c r="O159" s="55">
        <f t="shared" si="18"/>
        <v>89687.182845764415</v>
      </c>
      <c r="P159" s="219"/>
      <c r="Q159" s="220"/>
      <c r="R159" s="216"/>
      <c r="S159" s="216"/>
      <c r="T159" s="221"/>
    </row>
    <row r="160" spans="1:20" s="215" customFormat="1" x14ac:dyDescent="0.25">
      <c r="A160" s="310">
        <f>'A) Base RI'!A161</f>
        <v>5653</v>
      </c>
      <c r="B160" s="228" t="str">
        <f>'A) Base RI'!B161</f>
        <v>Vufflens-le-Château</v>
      </c>
      <c r="C160" s="244">
        <v>0</v>
      </c>
      <c r="D160" s="217">
        <f>'B) D RI'!AA161</f>
        <v>886</v>
      </c>
      <c r="E160" s="218">
        <f>'B) D RI'!S161</f>
        <v>55</v>
      </c>
      <c r="F160" s="10">
        <f>'B) D RI'!R161</f>
        <v>3389580.4226024048</v>
      </c>
      <c r="G160" s="10">
        <f>'B) D RI'!U161</f>
        <v>61628.734956407359</v>
      </c>
      <c r="H160" s="41">
        <f>'B) D RI'!T161</f>
        <v>3142549.9226024048</v>
      </c>
      <c r="I160" s="10">
        <f t="shared" si="19"/>
        <v>114274.54264008744</v>
      </c>
      <c r="J160" s="31">
        <f t="shared" si="15"/>
        <v>73399.930255575833</v>
      </c>
      <c r="K160" s="10">
        <f t="shared" si="16"/>
        <v>73399.930255575833</v>
      </c>
      <c r="L160" s="10">
        <f t="shared" si="20"/>
        <v>0</v>
      </c>
      <c r="M160" s="10">
        <f>'D) Ecrêtage'!C159</f>
        <v>61628.734956407359</v>
      </c>
      <c r="N160" s="10">
        <f t="shared" si="17"/>
        <v>81681.642979043652</v>
      </c>
      <c r="O160" s="55">
        <f t="shared" si="18"/>
        <v>155081.57323461949</v>
      </c>
      <c r="P160" s="219"/>
      <c r="Q160" s="220"/>
      <c r="R160" s="216"/>
      <c r="S160" s="216"/>
      <c r="T160" s="221"/>
    </row>
    <row r="161" spans="1:20" s="215" customFormat="1" x14ac:dyDescent="0.25">
      <c r="A161" s="310">
        <f>'A) Base RI'!A162</f>
        <v>5654</v>
      </c>
      <c r="B161" s="228" t="str">
        <f>'A) Base RI'!B162</f>
        <v>Vullierens</v>
      </c>
      <c r="C161" s="244">
        <v>0</v>
      </c>
      <c r="D161" s="217">
        <f>'B) D RI'!AA162</f>
        <v>507</v>
      </c>
      <c r="E161" s="218">
        <f>'B) D RI'!S162</f>
        <v>76</v>
      </c>
      <c r="F161" s="10">
        <f>'B) D RI'!R162</f>
        <v>1455215.7221728708</v>
      </c>
      <c r="G161" s="10">
        <f>'B) D RI'!U162</f>
        <v>19147.575291748301</v>
      </c>
      <c r="H161" s="41">
        <f>'B) D RI'!T162</f>
        <v>1358820.9221728707</v>
      </c>
      <c r="I161" s="10">
        <f t="shared" si="19"/>
        <v>35758.445320338702</v>
      </c>
      <c r="J161" s="31">
        <f t="shared" si="15"/>
        <v>42001.991692524774</v>
      </c>
      <c r="K161" s="10">
        <f t="shared" si="16"/>
        <v>35758.445320338702</v>
      </c>
      <c r="L161" s="10">
        <f t="shared" si="20"/>
        <v>6243.5463721860724</v>
      </c>
      <c r="M161" s="10">
        <f>'D) Ecrêtage'!C160</f>
        <v>19147.575291748301</v>
      </c>
      <c r="N161" s="10">
        <f t="shared" si="17"/>
        <v>25377.860019376189</v>
      </c>
      <c r="O161" s="55">
        <f t="shared" si="18"/>
        <v>61136.305339714891</v>
      </c>
      <c r="P161" s="219"/>
      <c r="Q161" s="220"/>
      <c r="R161" s="216"/>
      <c r="S161" s="216"/>
      <c r="T161" s="221"/>
    </row>
    <row r="162" spans="1:20" s="215" customFormat="1" x14ac:dyDescent="0.25">
      <c r="A162" s="310">
        <f>'A) Base RI'!A163</f>
        <v>5655</v>
      </c>
      <c r="B162" s="228" t="str">
        <f>'A) Base RI'!B163</f>
        <v>Yens</v>
      </c>
      <c r="C162" s="244">
        <v>0</v>
      </c>
      <c r="D162" s="217">
        <f>'B) D RI'!AA163</f>
        <v>1429</v>
      </c>
      <c r="E162" s="218">
        <f>'B) D RI'!S163</f>
        <v>73</v>
      </c>
      <c r="F162" s="10">
        <f>'B) D RI'!R163</f>
        <v>6285114.4401357248</v>
      </c>
      <c r="G162" s="10">
        <f>'B) D RI'!U163</f>
        <v>86097.458084051032</v>
      </c>
      <c r="H162" s="41">
        <f>'B) D RI'!T163</f>
        <v>5869275.5901357252</v>
      </c>
      <c r="I162" s="10">
        <f t="shared" si="19"/>
        <v>160802.07096262262</v>
      </c>
      <c r="J162" s="31">
        <f t="shared" si="15"/>
        <v>118384.31189076509</v>
      </c>
      <c r="K162" s="10">
        <f t="shared" si="16"/>
        <v>118384.31189076509</v>
      </c>
      <c r="L162" s="10">
        <f t="shared" si="20"/>
        <v>0</v>
      </c>
      <c r="M162" s="10">
        <f>'D) Ecrêtage'!C161</f>
        <v>86097.458084051032</v>
      </c>
      <c r="N162" s="10">
        <f t="shared" si="17"/>
        <v>114112.05888939758</v>
      </c>
      <c r="O162" s="55">
        <f t="shared" si="18"/>
        <v>232496.37078016269</v>
      </c>
      <c r="P162" s="219"/>
      <c r="Q162" s="220"/>
      <c r="R162" s="216"/>
      <c r="S162" s="216"/>
      <c r="T162" s="221"/>
    </row>
    <row r="163" spans="1:20" s="215" customFormat="1" x14ac:dyDescent="0.25">
      <c r="A163" s="310">
        <f>'A) Base RI'!A164</f>
        <v>5661</v>
      </c>
      <c r="B163" s="228" t="str">
        <f>'A) Base RI'!B164</f>
        <v>Boulens</v>
      </c>
      <c r="C163" s="244">
        <v>0</v>
      </c>
      <c r="D163" s="217">
        <f>'B) D RI'!AA164</f>
        <v>384</v>
      </c>
      <c r="E163" s="218">
        <f>'B) D RI'!S164</f>
        <v>79</v>
      </c>
      <c r="F163" s="10">
        <f>'B) D RI'!R164</f>
        <v>809125.67480647389</v>
      </c>
      <c r="G163" s="10">
        <f>'B) D RI'!U164</f>
        <v>10242.097149449037</v>
      </c>
      <c r="H163" s="41">
        <f>'B) D RI'!T164</f>
        <v>757611.67480647389</v>
      </c>
      <c r="I163" s="10">
        <f t="shared" si="19"/>
        <v>19180.042400163897</v>
      </c>
      <c r="J163" s="31">
        <f t="shared" si="15"/>
        <v>31812.159388421132</v>
      </c>
      <c r="K163" s="10">
        <f t="shared" si="16"/>
        <v>19180.042400163897</v>
      </c>
      <c r="L163" s="10">
        <f t="shared" si="20"/>
        <v>12632.116988257236</v>
      </c>
      <c r="M163" s="10">
        <f>'D) Ecrêtage'!C162</f>
        <v>10242.097149449037</v>
      </c>
      <c r="N163" s="10">
        <f t="shared" si="17"/>
        <v>13574.695688784359</v>
      </c>
      <c r="O163" s="55">
        <f t="shared" si="18"/>
        <v>32754.738088948256</v>
      </c>
      <c r="P163" s="219"/>
      <c r="Q163" s="220"/>
      <c r="R163" s="216"/>
      <c r="S163" s="216"/>
      <c r="T163" s="221"/>
    </row>
    <row r="164" spans="1:20" s="215" customFormat="1" x14ac:dyDescent="0.25">
      <c r="A164" s="310">
        <f>'A) Base RI'!A165</f>
        <v>5663</v>
      </c>
      <c r="B164" s="228" t="str">
        <f>'A) Base RI'!B165</f>
        <v>Bussy-sur-Moudon</v>
      </c>
      <c r="C164" s="244">
        <v>0</v>
      </c>
      <c r="D164" s="217">
        <f>'B) D RI'!AA165</f>
        <v>214</v>
      </c>
      <c r="E164" s="218">
        <f>'B) D RI'!S165</f>
        <v>80</v>
      </c>
      <c r="F164" s="10">
        <f>'B) D RI'!R165</f>
        <v>422048.621510053</v>
      </c>
      <c r="G164" s="10">
        <f>'B) D RI'!U165</f>
        <v>5275.6077688756623</v>
      </c>
      <c r="H164" s="41">
        <f>'B) D RI'!T165</f>
        <v>391290.17151005298</v>
      </c>
      <c r="I164" s="10">
        <f t="shared" si="19"/>
        <v>9782.2542877513242</v>
      </c>
      <c r="J164" s="31">
        <f t="shared" si="15"/>
        <v>17728.651325838859</v>
      </c>
      <c r="K164" s="10">
        <f t="shared" si="16"/>
        <v>9782.2542877513242</v>
      </c>
      <c r="L164" s="10">
        <f t="shared" si="20"/>
        <v>7946.3970380875344</v>
      </c>
      <c r="M164" s="10">
        <f>'D) Ecrêtage'!C163</f>
        <v>5275.6077688756623</v>
      </c>
      <c r="N164" s="10">
        <f t="shared" si="17"/>
        <v>6992.1978859306328</v>
      </c>
      <c r="O164" s="55">
        <f t="shared" si="18"/>
        <v>16774.452173681959</v>
      </c>
      <c r="P164" s="219"/>
      <c r="Q164" s="220"/>
      <c r="R164" s="216"/>
      <c r="S164" s="216"/>
      <c r="T164" s="221"/>
    </row>
    <row r="165" spans="1:20" s="215" customFormat="1" x14ac:dyDescent="0.25">
      <c r="A165" s="310">
        <f>'A) Base RI'!A166</f>
        <v>5665</v>
      </c>
      <c r="B165" s="228" t="str">
        <f>'A) Base RI'!B166</f>
        <v>Chavannes-sur-Moudon</v>
      </c>
      <c r="C165" s="244">
        <v>0</v>
      </c>
      <c r="D165" s="217">
        <f>'B) D RI'!AA166</f>
        <v>216</v>
      </c>
      <c r="E165" s="218">
        <f>'B) D RI'!S166</f>
        <v>73</v>
      </c>
      <c r="F165" s="10">
        <f>'B) D RI'!R166</f>
        <v>336329.72789639607</v>
      </c>
      <c r="G165" s="10">
        <f>'B) D RI'!U166</f>
        <v>4607.2565465259731</v>
      </c>
      <c r="H165" s="41">
        <f>'B) D RI'!T166</f>
        <v>312051.42789639608</v>
      </c>
      <c r="I165" s="10">
        <f t="shared" si="19"/>
        <v>8549.3541889423577</v>
      </c>
      <c r="J165" s="31">
        <f t="shared" si="15"/>
        <v>17894.339655986885</v>
      </c>
      <c r="K165" s="10">
        <f t="shared" si="16"/>
        <v>8549.3541889423577</v>
      </c>
      <c r="L165" s="10">
        <f t="shared" si="20"/>
        <v>9344.9854670445275</v>
      </c>
      <c r="M165" s="10">
        <f>'D) Ecrêtage'!C164</f>
        <v>4607.2565465259731</v>
      </c>
      <c r="N165" s="10">
        <f t="shared" si="17"/>
        <v>6106.3769135029179</v>
      </c>
      <c r="O165" s="55">
        <f t="shared" si="18"/>
        <v>14655.731102445276</v>
      </c>
      <c r="P165" s="219"/>
      <c r="Q165" s="220"/>
      <c r="R165" s="216"/>
      <c r="S165" s="216"/>
      <c r="T165" s="221"/>
    </row>
    <row r="166" spans="1:20" s="215" customFormat="1" x14ac:dyDescent="0.25">
      <c r="A166" s="310">
        <f>'A) Base RI'!A167</f>
        <v>5669</v>
      </c>
      <c r="B166" s="228" t="str">
        <f>'A) Base RI'!B167</f>
        <v>Curtilles</v>
      </c>
      <c r="C166" s="244">
        <v>0</v>
      </c>
      <c r="D166" s="217">
        <f>'B) D RI'!AA167</f>
        <v>313</v>
      </c>
      <c r="E166" s="218">
        <f>'B) D RI'!S167</f>
        <v>75</v>
      </c>
      <c r="F166" s="10">
        <f>'B) D RI'!R167</f>
        <v>579787.32930266846</v>
      </c>
      <c r="G166" s="10">
        <f>'B) D RI'!U167</f>
        <v>7730.4977240355793</v>
      </c>
      <c r="H166" s="41">
        <f>'B) D RI'!T167</f>
        <v>532810.92930266855</v>
      </c>
      <c r="I166" s="10">
        <f t="shared" si="19"/>
        <v>14208.291448071161</v>
      </c>
      <c r="J166" s="31">
        <f t="shared" si="15"/>
        <v>25930.223668166182</v>
      </c>
      <c r="K166" s="10">
        <f t="shared" si="16"/>
        <v>14208.291448071161</v>
      </c>
      <c r="L166" s="10">
        <f t="shared" si="20"/>
        <v>11721.932220095021</v>
      </c>
      <c r="M166" s="10">
        <f>'D) Ecrêtage'!C165</f>
        <v>7730.4977240355793</v>
      </c>
      <c r="N166" s="10">
        <f t="shared" si="17"/>
        <v>10245.865919390168</v>
      </c>
      <c r="O166" s="55">
        <f t="shared" si="18"/>
        <v>24454.157367461328</v>
      </c>
      <c r="P166" s="219"/>
      <c r="Q166" s="220"/>
      <c r="R166" s="216"/>
      <c r="S166" s="216"/>
      <c r="T166" s="221"/>
    </row>
    <row r="167" spans="1:20" s="215" customFormat="1" x14ac:dyDescent="0.25">
      <c r="A167" s="310">
        <f>'A) Base RI'!A168</f>
        <v>5671</v>
      </c>
      <c r="B167" s="228" t="str">
        <f>'A) Base RI'!B168</f>
        <v>Dompierre</v>
      </c>
      <c r="C167" s="244">
        <v>0</v>
      </c>
      <c r="D167" s="217">
        <f>'B) D RI'!AA168</f>
        <v>239</v>
      </c>
      <c r="E167" s="218">
        <f>'B) D RI'!S168</f>
        <v>80</v>
      </c>
      <c r="F167" s="10">
        <f>'B) D RI'!R168</f>
        <v>488594.52065604203</v>
      </c>
      <c r="G167" s="10">
        <f>'B) D RI'!U168</f>
        <v>6107.4315082005251</v>
      </c>
      <c r="H167" s="41">
        <f>'B) D RI'!T168</f>
        <v>455745.82065604202</v>
      </c>
      <c r="I167" s="10">
        <f t="shared" si="19"/>
        <v>11393.645516401051</v>
      </c>
      <c r="J167" s="31">
        <f t="shared" si="15"/>
        <v>19799.755452689194</v>
      </c>
      <c r="K167" s="10">
        <f t="shared" si="16"/>
        <v>11393.645516401051</v>
      </c>
      <c r="L167" s="10">
        <f t="shared" si="20"/>
        <v>8406.1099362881432</v>
      </c>
      <c r="M167" s="10">
        <f>'D) Ecrêtage'!C166</f>
        <v>6107.4315082005251</v>
      </c>
      <c r="N167" s="10">
        <f t="shared" si="17"/>
        <v>8094.6824614307907</v>
      </c>
      <c r="O167" s="55">
        <f t="shared" si="18"/>
        <v>19488.327977831843</v>
      </c>
      <c r="P167" s="219"/>
      <c r="Q167" s="220"/>
      <c r="R167" s="216"/>
      <c r="S167" s="216"/>
      <c r="T167" s="221"/>
    </row>
    <row r="168" spans="1:20" s="215" customFormat="1" x14ac:dyDescent="0.25">
      <c r="A168" s="310">
        <f>'A) Base RI'!A169</f>
        <v>5673</v>
      </c>
      <c r="B168" s="228" t="str">
        <f>'A) Base RI'!B169</f>
        <v>Hermenches</v>
      </c>
      <c r="C168" s="244">
        <v>0</v>
      </c>
      <c r="D168" s="217">
        <f>'B) D RI'!AA169</f>
        <v>364</v>
      </c>
      <c r="E168" s="218">
        <f>'B) D RI'!S169</f>
        <v>75</v>
      </c>
      <c r="F168" s="10">
        <f>'B) D RI'!R169</f>
        <v>695666.00391995127</v>
      </c>
      <c r="G168" s="10">
        <f>'B) D RI'!U169</f>
        <v>9275.5467189326828</v>
      </c>
      <c r="H168" s="41">
        <f>'B) D RI'!T169</f>
        <v>648829.50391995127</v>
      </c>
      <c r="I168" s="10">
        <f t="shared" si="19"/>
        <v>17302.120104532034</v>
      </c>
      <c r="J168" s="31">
        <f t="shared" si="15"/>
        <v>30155.276086940863</v>
      </c>
      <c r="K168" s="10">
        <f t="shared" si="16"/>
        <v>17302.120104532034</v>
      </c>
      <c r="L168" s="10">
        <f t="shared" si="20"/>
        <v>12853.155982408829</v>
      </c>
      <c r="M168" s="10">
        <f>'D) Ecrêtage'!C167</f>
        <v>9275.5467189326828</v>
      </c>
      <c r="N168" s="10">
        <f t="shared" si="17"/>
        <v>12293.64672286737</v>
      </c>
      <c r="O168" s="55">
        <f t="shared" si="18"/>
        <v>29595.766827399406</v>
      </c>
      <c r="P168" s="219"/>
      <c r="Q168" s="220"/>
      <c r="R168" s="216"/>
      <c r="S168" s="216"/>
      <c r="T168" s="221"/>
    </row>
    <row r="169" spans="1:20" s="215" customFormat="1" x14ac:dyDescent="0.25">
      <c r="A169" s="310">
        <f>'A) Base RI'!A170</f>
        <v>5674</v>
      </c>
      <c r="B169" s="228" t="str">
        <f>'A) Base RI'!B170</f>
        <v>Lovatens</v>
      </c>
      <c r="C169" s="244">
        <v>0</v>
      </c>
      <c r="D169" s="217">
        <f>'B) D RI'!AA170</f>
        <v>146</v>
      </c>
      <c r="E169" s="218">
        <f>'B) D RI'!S170</f>
        <v>75</v>
      </c>
      <c r="F169" s="10">
        <f>'B) D RI'!R170</f>
        <v>245399.47394475946</v>
      </c>
      <c r="G169" s="10">
        <f>'B) D RI'!U170</f>
        <v>3271.992985930126</v>
      </c>
      <c r="H169" s="41">
        <f>'B) D RI'!T170</f>
        <v>227337.61680190233</v>
      </c>
      <c r="I169" s="10">
        <f t="shared" si="19"/>
        <v>6062.3364480507289</v>
      </c>
      <c r="J169" s="31">
        <f t="shared" si="15"/>
        <v>12095.248100805951</v>
      </c>
      <c r="K169" s="10">
        <f t="shared" si="16"/>
        <v>6062.3364480507289</v>
      </c>
      <c r="L169" s="10">
        <f t="shared" si="20"/>
        <v>6032.9116527552223</v>
      </c>
      <c r="M169" s="10">
        <f>'D) Ecrêtage'!C168</f>
        <v>3271.992985930126</v>
      </c>
      <c r="N169" s="10">
        <f t="shared" si="17"/>
        <v>4336.6420403684288</v>
      </c>
      <c r="O169" s="55">
        <f t="shared" si="18"/>
        <v>10398.978488419158</v>
      </c>
      <c r="P169" s="219"/>
      <c r="Q169" s="220"/>
      <c r="R169" s="216"/>
      <c r="S169" s="216"/>
      <c r="T169" s="221"/>
    </row>
    <row r="170" spans="1:20" s="215" customFormat="1" x14ac:dyDescent="0.25">
      <c r="A170" s="310">
        <f>'A) Base RI'!A171</f>
        <v>5675</v>
      </c>
      <c r="B170" s="228" t="str">
        <f>'A) Base RI'!B171</f>
        <v>Lucens</v>
      </c>
      <c r="C170" s="244">
        <v>0</v>
      </c>
      <c r="D170" s="217">
        <f>'B) D RI'!AA171</f>
        <v>4199</v>
      </c>
      <c r="E170" s="218">
        <f>'B) D RI'!S171</f>
        <v>69</v>
      </c>
      <c r="F170" s="10">
        <f>'B) D RI'!R171</f>
        <v>6219869.8908374449</v>
      </c>
      <c r="G170" s="10">
        <f>'B) D RI'!U171</f>
        <v>90143.04189619486</v>
      </c>
      <c r="H170" s="41">
        <f>'B) D RI'!T171</f>
        <v>5540441.6181101725</v>
      </c>
      <c r="I170" s="10">
        <f t="shared" ref="I170" si="21">+H170/E170*$I$5</f>
        <v>160592.51066986006</v>
      </c>
      <c r="J170" s="31">
        <f t="shared" ref="J170" si="22">+$I$315/$D$315*D170</f>
        <v>347862.64914578211</v>
      </c>
      <c r="K170" s="10">
        <f t="shared" ref="K170" si="23">IF(C170=1,0,IF(J170&gt;I170,I170,J170))</f>
        <v>160592.51066986006</v>
      </c>
      <c r="L170" s="10">
        <f t="shared" ref="L170" si="24">+J170-K170</f>
        <v>187270.13847592205</v>
      </c>
      <c r="M170" s="10">
        <f>'D) Ecrêtage'!C169</f>
        <v>90143.04189619486</v>
      </c>
      <c r="N170" s="10">
        <f t="shared" ref="N170" si="25">+$N$5*M170</f>
        <v>119474.00462492292</v>
      </c>
      <c r="O170" s="55">
        <f t="shared" ref="O170" si="26">+N170+K170</f>
        <v>280066.51529478299</v>
      </c>
      <c r="P170" s="219"/>
      <c r="Q170" s="220"/>
      <c r="R170" s="216"/>
      <c r="S170" s="216"/>
      <c r="T170" s="221"/>
    </row>
    <row r="171" spans="1:20" s="215" customFormat="1" x14ac:dyDescent="0.25">
      <c r="A171" s="310">
        <f>'A) Base RI'!A172</f>
        <v>5678</v>
      </c>
      <c r="B171" s="228" t="str">
        <f>'A) Base RI'!B172</f>
        <v>Moudon</v>
      </c>
      <c r="C171" s="244">
        <v>0</v>
      </c>
      <c r="D171" s="217">
        <f>'B) D RI'!AA172</f>
        <v>6135</v>
      </c>
      <c r="E171" s="218">
        <f>'B) D RI'!S172</f>
        <v>75</v>
      </c>
      <c r="F171" s="10">
        <f>'B) D RI'!R172</f>
        <v>8681419.7222104482</v>
      </c>
      <c r="G171" s="10">
        <f>'B) D RI'!U172</f>
        <v>115752.26296280598</v>
      </c>
      <c r="H171" s="41">
        <f>'B) D RI'!T172</f>
        <v>7781463.6222104495</v>
      </c>
      <c r="I171" s="10">
        <f t="shared" si="19"/>
        <v>207505.69659227866</v>
      </c>
      <c r="J171" s="31">
        <f t="shared" ref="J171:J218" si="27">+$I$315/$D$315*D171</f>
        <v>508248.95272907196</v>
      </c>
      <c r="K171" s="10">
        <f t="shared" si="16"/>
        <v>207505.69659227866</v>
      </c>
      <c r="L171" s="10">
        <f t="shared" si="20"/>
        <v>300743.25613679329</v>
      </c>
      <c r="M171" s="10">
        <f>'D) Ecrêtage'!C170</f>
        <v>115752.26296280598</v>
      </c>
      <c r="N171" s="10">
        <f t="shared" si="17"/>
        <v>153416.01647400524</v>
      </c>
      <c r="O171" s="55">
        <f t="shared" si="18"/>
        <v>360921.7130662839</v>
      </c>
      <c r="P171" s="219"/>
      <c r="Q171" s="220"/>
      <c r="R171" s="216"/>
      <c r="S171" s="216"/>
      <c r="T171" s="221"/>
    </row>
    <row r="172" spans="1:20" s="215" customFormat="1" x14ac:dyDescent="0.25">
      <c r="A172" s="310">
        <f>'A) Base RI'!A173</f>
        <v>5680</v>
      </c>
      <c r="B172" s="228" t="str">
        <f>'A) Base RI'!B173</f>
        <v>Ogens</v>
      </c>
      <c r="C172" s="244">
        <v>0</v>
      </c>
      <c r="D172" s="217">
        <f>'B) D RI'!AA173</f>
        <v>299</v>
      </c>
      <c r="E172" s="218">
        <f>'B) D RI'!S173</f>
        <v>78</v>
      </c>
      <c r="F172" s="10">
        <f>'B) D RI'!R173</f>
        <v>501157.59820177651</v>
      </c>
      <c r="G172" s="10">
        <f>'B) D RI'!U173</f>
        <v>6425.0974128432881</v>
      </c>
      <c r="H172" s="41">
        <f>'B) D RI'!T173</f>
        <v>456764.76486844319</v>
      </c>
      <c r="I172" s="10">
        <f t="shared" si="19"/>
        <v>11711.917047908801</v>
      </c>
      <c r="J172" s="31">
        <f t="shared" si="27"/>
        <v>24770.405357129996</v>
      </c>
      <c r="K172" s="10">
        <f t="shared" si="16"/>
        <v>11711.917047908801</v>
      </c>
      <c r="L172" s="10">
        <f t="shared" si="20"/>
        <v>13058.488309221195</v>
      </c>
      <c r="M172" s="10">
        <f>'D) Ecrêtage'!C171</f>
        <v>6425.0974128432881</v>
      </c>
      <c r="N172" s="10">
        <f t="shared" si="17"/>
        <v>8515.7112725527277</v>
      </c>
      <c r="O172" s="55">
        <f t="shared" si="18"/>
        <v>20227.628320461528</v>
      </c>
      <c r="P172" s="219"/>
      <c r="Q172" s="220"/>
      <c r="R172" s="216"/>
      <c r="S172" s="216"/>
      <c r="T172" s="221"/>
    </row>
    <row r="173" spans="1:20" s="215" customFormat="1" x14ac:dyDescent="0.25">
      <c r="A173" s="310">
        <f>'A) Base RI'!A174</f>
        <v>5683</v>
      </c>
      <c r="B173" s="228" t="str">
        <f>'A) Base RI'!B174</f>
        <v>Prévonloup</v>
      </c>
      <c r="C173" s="244">
        <v>0</v>
      </c>
      <c r="D173" s="217">
        <f>'B) D RI'!AA174</f>
        <v>184</v>
      </c>
      <c r="E173" s="218">
        <f>'B) D RI'!S174</f>
        <v>74</v>
      </c>
      <c r="F173" s="10">
        <f>'B) D RI'!R174</f>
        <v>276742.18715203425</v>
      </c>
      <c r="G173" s="10">
        <f>'B) D RI'!U174</f>
        <v>3739.7592858383009</v>
      </c>
      <c r="H173" s="41">
        <f>'B) D RI'!T174</f>
        <v>254107.18715203425</v>
      </c>
      <c r="I173" s="10">
        <f t="shared" si="19"/>
        <v>6867.7618149198443</v>
      </c>
      <c r="J173" s="31">
        <f t="shared" si="27"/>
        <v>15243.326373618458</v>
      </c>
      <c r="K173" s="10">
        <f t="shared" si="16"/>
        <v>6867.7618149198443</v>
      </c>
      <c r="L173" s="10">
        <f t="shared" si="20"/>
        <v>8375.5645586986138</v>
      </c>
      <c r="M173" s="10">
        <f>'D) Ecrêtage'!C172</f>
        <v>3739.7592858383009</v>
      </c>
      <c r="N173" s="10">
        <f t="shared" si="17"/>
        <v>4956.6112792916992</v>
      </c>
      <c r="O173" s="55">
        <f t="shared" si="18"/>
        <v>11824.373094211544</v>
      </c>
      <c r="P173" s="219"/>
      <c r="Q173" s="220"/>
      <c r="R173" s="216"/>
      <c r="S173" s="216"/>
      <c r="T173" s="221"/>
    </row>
    <row r="174" spans="1:20" s="215" customFormat="1" x14ac:dyDescent="0.25">
      <c r="A174" s="310">
        <f>'A) Base RI'!A175</f>
        <v>5684</v>
      </c>
      <c r="B174" s="228" t="str">
        <f>'A) Base RI'!B175</f>
        <v>Rossenges</v>
      </c>
      <c r="C174" s="244">
        <v>0</v>
      </c>
      <c r="D174" s="217">
        <f>'B) D RI'!AA175</f>
        <v>65</v>
      </c>
      <c r="E174" s="218">
        <f>'B) D RI'!S175</f>
        <v>75</v>
      </c>
      <c r="F174" s="10">
        <f>'B) D RI'!R175</f>
        <v>147000.40868492526</v>
      </c>
      <c r="G174" s="10">
        <f>'B) D RI'!U175</f>
        <v>1960.0054491323369</v>
      </c>
      <c r="H174" s="41">
        <f>'B) D RI'!T175</f>
        <v>138923.03368492526</v>
      </c>
      <c r="I174" s="10">
        <f t="shared" si="19"/>
        <v>3704.6142315980069</v>
      </c>
      <c r="J174" s="31">
        <f t="shared" si="27"/>
        <v>5384.8707298108684</v>
      </c>
      <c r="K174" s="10">
        <f t="shared" si="16"/>
        <v>3704.6142315980069</v>
      </c>
      <c r="L174" s="10">
        <f t="shared" si="20"/>
        <v>1680.2564982128615</v>
      </c>
      <c r="M174" s="10">
        <f>'D) Ecrêtage'!C173</f>
        <v>1960.0054491323369</v>
      </c>
      <c r="N174" s="10">
        <f t="shared" si="17"/>
        <v>2597.7568003992087</v>
      </c>
      <c r="O174" s="55">
        <f t="shared" si="18"/>
        <v>6302.3710319972161</v>
      </c>
      <c r="P174" s="219"/>
      <c r="Q174" s="220"/>
      <c r="R174" s="216"/>
      <c r="S174" s="216"/>
      <c r="T174" s="221"/>
    </row>
    <row r="175" spans="1:20" s="215" customFormat="1" x14ac:dyDescent="0.25">
      <c r="A175" s="310">
        <f>'A) Base RI'!A176</f>
        <v>5688</v>
      </c>
      <c r="B175" s="228" t="str">
        <f>'A) Base RI'!B176</f>
        <v>Syens</v>
      </c>
      <c r="C175" s="244">
        <v>0</v>
      </c>
      <c r="D175" s="217">
        <f>'B) D RI'!AA176</f>
        <v>159</v>
      </c>
      <c r="E175" s="218">
        <f>'B) D RI'!S176</f>
        <v>75.599999999999994</v>
      </c>
      <c r="F175" s="10">
        <f>'B) D RI'!R176</f>
        <v>284752.71048889519</v>
      </c>
      <c r="G175" s="10">
        <f>'B) D RI'!U176</f>
        <v>3766.5702445621059</v>
      </c>
      <c r="H175" s="41">
        <f>'B) D RI'!T176</f>
        <v>260803.21048889516</v>
      </c>
      <c r="I175" s="10">
        <f t="shared" si="19"/>
        <v>6899.5558330395552</v>
      </c>
      <c r="J175" s="31">
        <f t="shared" si="27"/>
        <v>13172.222246768124</v>
      </c>
      <c r="K175" s="10">
        <f t="shared" si="16"/>
        <v>6899.5558330395552</v>
      </c>
      <c r="L175" s="10">
        <f t="shared" si="20"/>
        <v>6272.6664137285688</v>
      </c>
      <c r="M175" s="10">
        <f>'D) Ecrêtage'!C174</f>
        <v>3766.5702445621059</v>
      </c>
      <c r="N175" s="10">
        <f t="shared" si="17"/>
        <v>4992.1460531265466</v>
      </c>
      <c r="O175" s="55">
        <f t="shared" si="18"/>
        <v>11891.701886166102</v>
      </c>
      <c r="P175" s="219"/>
      <c r="Q175" s="220"/>
      <c r="R175" s="216"/>
      <c r="S175" s="216"/>
      <c r="T175" s="221"/>
    </row>
    <row r="176" spans="1:20" s="215" customFormat="1" x14ac:dyDescent="0.25">
      <c r="A176" s="310">
        <f>'A) Base RI'!A177</f>
        <v>5690</v>
      </c>
      <c r="B176" s="228" t="str">
        <f>'A) Base RI'!B177</f>
        <v>Villars-le-Comte</v>
      </c>
      <c r="C176" s="244">
        <v>0</v>
      </c>
      <c r="D176" s="217">
        <f>'B) D RI'!AA177</f>
        <v>132</v>
      </c>
      <c r="E176" s="218">
        <f>'B) D RI'!S177</f>
        <v>70</v>
      </c>
      <c r="F176" s="10">
        <f>'B) D RI'!R177</f>
        <v>284681.10400898248</v>
      </c>
      <c r="G176" s="10">
        <f>'B) D RI'!U177</f>
        <v>4066.8729144140357</v>
      </c>
      <c r="H176" s="41">
        <f>'B) D RI'!T177</f>
        <v>263589.71234231582</v>
      </c>
      <c r="I176" s="10">
        <f t="shared" si="19"/>
        <v>7531.1346383518803</v>
      </c>
      <c r="J176" s="31">
        <f t="shared" si="27"/>
        <v>10935.429789769763</v>
      </c>
      <c r="K176" s="10">
        <f t="shared" si="16"/>
        <v>7531.1346383518803</v>
      </c>
      <c r="L176" s="10">
        <f t="shared" si="20"/>
        <v>3404.2951514178831</v>
      </c>
      <c r="M176" s="10">
        <f>'D) Ecrêtage'!C175</f>
        <v>4066.8729144140357</v>
      </c>
      <c r="N176" s="10">
        <f t="shared" si="17"/>
        <v>5390.1619377921907</v>
      </c>
      <c r="O176" s="55">
        <f t="shared" si="18"/>
        <v>12921.296576144072</v>
      </c>
      <c r="P176" s="219"/>
      <c r="Q176" s="220"/>
      <c r="R176" s="216"/>
      <c r="S176" s="216"/>
      <c r="T176" s="221"/>
    </row>
    <row r="177" spans="1:20" s="215" customFormat="1" x14ac:dyDescent="0.25">
      <c r="A177" s="310">
        <f>'A) Base RI'!A178</f>
        <v>5692</v>
      </c>
      <c r="B177" s="228" t="str">
        <f>'A) Base RI'!B178</f>
        <v>Vucherens</v>
      </c>
      <c r="C177" s="244">
        <v>0</v>
      </c>
      <c r="D177" s="217">
        <f>'B) D RI'!AA178</f>
        <v>577</v>
      </c>
      <c r="E177" s="218">
        <f>'B) D RI'!S178</f>
        <v>79</v>
      </c>
      <c r="F177" s="10">
        <f>'B) D RI'!R178</f>
        <v>1278375.0249320928</v>
      </c>
      <c r="G177" s="10">
        <f>'B) D RI'!U178</f>
        <v>16181.962340912567</v>
      </c>
      <c r="H177" s="41">
        <f>'B) D RI'!T178</f>
        <v>1187893.3749320928</v>
      </c>
      <c r="I177" s="10">
        <f t="shared" si="19"/>
        <v>30073.249998280833</v>
      </c>
      <c r="J177" s="31">
        <f t="shared" si="27"/>
        <v>47801.083247705712</v>
      </c>
      <c r="K177" s="10">
        <f t="shared" si="16"/>
        <v>30073.249998280833</v>
      </c>
      <c r="L177" s="10">
        <f t="shared" si="20"/>
        <v>17727.833249424879</v>
      </c>
      <c r="M177" s="10">
        <f>'D) Ecrêtage'!C176</f>
        <v>16181.962340912567</v>
      </c>
      <c r="N177" s="10">
        <f t="shared" si="17"/>
        <v>21447.288696834254</v>
      </c>
      <c r="O177" s="55">
        <f t="shared" si="18"/>
        <v>51520.538695115087</v>
      </c>
      <c r="P177" s="219"/>
      <c r="Q177" s="220"/>
      <c r="R177" s="216"/>
      <c r="S177" s="216"/>
      <c r="T177" s="221"/>
    </row>
    <row r="178" spans="1:20" s="215" customFormat="1" x14ac:dyDescent="0.25">
      <c r="A178" s="310">
        <f>'A) Base RI'!A179</f>
        <v>5693</v>
      </c>
      <c r="B178" s="228" t="str">
        <f>'A) Base RI'!B179</f>
        <v>Montanaire</v>
      </c>
      <c r="C178" s="244">
        <v>0</v>
      </c>
      <c r="D178" s="217">
        <f>'B) D RI'!AA179</f>
        <v>2685</v>
      </c>
      <c r="E178" s="218">
        <f>'B) D RI'!S179</f>
        <v>72</v>
      </c>
      <c r="F178" s="10">
        <f>'B) D RI'!R179</f>
        <v>4981667.7842560085</v>
      </c>
      <c r="G178" s="10">
        <f>'B) D RI'!U179</f>
        <v>69189.830336889005</v>
      </c>
      <c r="H178" s="41">
        <f>'B) D RI'!T179</f>
        <v>4603297.4842560086</v>
      </c>
      <c r="I178" s="10">
        <f t="shared" si="19"/>
        <v>127869.37456266691</v>
      </c>
      <c r="J178" s="31">
        <f t="shared" si="27"/>
        <v>222436.58322372587</v>
      </c>
      <c r="K178" s="10">
        <f t="shared" si="16"/>
        <v>127869.37456266691</v>
      </c>
      <c r="L178" s="10">
        <f t="shared" si="20"/>
        <v>94567.208661058961</v>
      </c>
      <c r="M178" s="10">
        <f>'D) Ecrêtage'!C177</f>
        <v>69189.830336889005</v>
      </c>
      <c r="N178" s="10">
        <f t="shared" si="17"/>
        <v>91702.986007354295</v>
      </c>
      <c r="O178" s="55">
        <f t="shared" si="18"/>
        <v>219572.36057002121</v>
      </c>
      <c r="P178" s="219"/>
      <c r="Q178" s="220"/>
      <c r="R178" s="216"/>
      <c r="S178" s="216"/>
      <c r="T178" s="221"/>
    </row>
    <row r="179" spans="1:20" s="215" customFormat="1" x14ac:dyDescent="0.25">
      <c r="A179" s="310">
        <f>'A) Base RI'!A180</f>
        <v>5701</v>
      </c>
      <c r="B179" s="228" t="str">
        <f>'A) Base RI'!B180</f>
        <v>Arnex-sur-Nyon</v>
      </c>
      <c r="C179" s="244">
        <v>0</v>
      </c>
      <c r="D179" s="217">
        <f>'B) D RI'!AA180</f>
        <v>235</v>
      </c>
      <c r="E179" s="218">
        <f>'B) D RI'!S180</f>
        <v>70</v>
      </c>
      <c r="F179" s="10">
        <f>'B) D RI'!R180</f>
        <v>944590.61396162724</v>
      </c>
      <c r="G179" s="10">
        <f>'B) D RI'!U180</f>
        <v>13494.151628023246</v>
      </c>
      <c r="H179" s="41">
        <f>'B) D RI'!T180</f>
        <v>874104.11396162724</v>
      </c>
      <c r="I179" s="10">
        <f t="shared" si="19"/>
        <v>24974.403256046491</v>
      </c>
      <c r="J179" s="31">
        <f t="shared" si="27"/>
        <v>19468.378792393141</v>
      </c>
      <c r="K179" s="10">
        <f t="shared" si="16"/>
        <v>19468.378792393141</v>
      </c>
      <c r="L179" s="10">
        <f t="shared" si="20"/>
        <v>0</v>
      </c>
      <c r="M179" s="10">
        <f>'D) Ecrêtage'!C178</f>
        <v>13494.151628023246</v>
      </c>
      <c r="N179" s="10">
        <f t="shared" si="17"/>
        <v>17884.91158166602</v>
      </c>
      <c r="O179" s="55">
        <f t="shared" si="18"/>
        <v>37353.290374059157</v>
      </c>
      <c r="P179" s="219"/>
      <c r="Q179" s="220"/>
      <c r="R179" s="216"/>
      <c r="S179" s="216"/>
      <c r="T179" s="221"/>
    </row>
    <row r="180" spans="1:20" s="215" customFormat="1" x14ac:dyDescent="0.25">
      <c r="A180" s="310">
        <f>'A) Base RI'!A181</f>
        <v>5702</v>
      </c>
      <c r="B180" s="228" t="str">
        <f>'A) Base RI'!B181</f>
        <v>Arzier-Le Muids</v>
      </c>
      <c r="C180" s="244">
        <v>0</v>
      </c>
      <c r="D180" s="217">
        <f>'B) D RI'!AA181</f>
        <v>2697</v>
      </c>
      <c r="E180" s="218">
        <f>'B) D RI'!S181</f>
        <v>64</v>
      </c>
      <c r="F180" s="10">
        <f>'B) D RI'!R181</f>
        <v>11275990.343345407</v>
      </c>
      <c r="G180" s="10">
        <f>'B) D RI'!U181</f>
        <v>176187.34911477199</v>
      </c>
      <c r="H180" s="41">
        <f>'B) D RI'!T181</f>
        <v>10501011.560012074</v>
      </c>
      <c r="I180" s="10">
        <f t="shared" si="19"/>
        <v>328156.61125037732</v>
      </c>
      <c r="J180" s="31">
        <f t="shared" si="27"/>
        <v>223430.71320461403</v>
      </c>
      <c r="K180" s="10">
        <f t="shared" si="16"/>
        <v>223430.71320461403</v>
      </c>
      <c r="L180" s="10">
        <f t="shared" si="20"/>
        <v>0</v>
      </c>
      <c r="M180" s="10">
        <f>'D) Ecrêtage'!C179</f>
        <v>176187.34911477199</v>
      </c>
      <c r="N180" s="10">
        <f t="shared" si="17"/>
        <v>233515.61829066408</v>
      </c>
      <c r="O180" s="55">
        <f t="shared" si="18"/>
        <v>456946.33149527811</v>
      </c>
      <c r="P180" s="219"/>
      <c r="Q180" s="220"/>
      <c r="R180" s="216"/>
      <c r="S180" s="216"/>
      <c r="T180" s="221"/>
    </row>
    <row r="181" spans="1:20" s="215" customFormat="1" x14ac:dyDescent="0.25">
      <c r="A181" s="310">
        <f>'A) Base RI'!A182</f>
        <v>5703</v>
      </c>
      <c r="B181" s="228" t="str">
        <f>'A) Base RI'!B182</f>
        <v>Bassins</v>
      </c>
      <c r="C181" s="244">
        <v>0</v>
      </c>
      <c r="D181" s="217">
        <f>'B) D RI'!AA182</f>
        <v>1347</v>
      </c>
      <c r="E181" s="218">
        <f>'B) D RI'!S182</f>
        <v>74</v>
      </c>
      <c r="F181" s="10">
        <f>'B) D RI'!R182</f>
        <v>4092247.2600489445</v>
      </c>
      <c r="G181" s="10">
        <f>'B) D RI'!U182</f>
        <v>55300.638649310058</v>
      </c>
      <c r="H181" s="41">
        <f>'B) D RI'!T182</f>
        <v>3784488.7814775161</v>
      </c>
      <c r="I181" s="10">
        <f t="shared" si="19"/>
        <v>102283.48058047341</v>
      </c>
      <c r="J181" s="31">
        <f t="shared" si="27"/>
        <v>111591.090354696</v>
      </c>
      <c r="K181" s="10">
        <f t="shared" si="16"/>
        <v>102283.48058047341</v>
      </c>
      <c r="L181" s="10">
        <f t="shared" si="20"/>
        <v>9307.6097742225975</v>
      </c>
      <c r="M181" s="10">
        <f>'D) Ecrêtage'!C180</f>
        <v>55300.638649310058</v>
      </c>
      <c r="N181" s="10">
        <f t="shared" si="17"/>
        <v>73294.495268500104</v>
      </c>
      <c r="O181" s="55">
        <f t="shared" si="18"/>
        <v>175577.9758489735</v>
      </c>
      <c r="P181" s="219"/>
      <c r="Q181" s="220"/>
      <c r="R181" s="216"/>
      <c r="S181" s="216"/>
      <c r="T181" s="221"/>
    </row>
    <row r="182" spans="1:20" s="215" customFormat="1" x14ac:dyDescent="0.25">
      <c r="A182" s="310">
        <f>'A) Base RI'!A183</f>
        <v>5704</v>
      </c>
      <c r="B182" s="228" t="str">
        <f>'A) Base RI'!B183</f>
        <v>Begnins</v>
      </c>
      <c r="C182" s="244">
        <v>0</v>
      </c>
      <c r="D182" s="217">
        <f>'B) D RI'!AA183</f>
        <v>1952</v>
      </c>
      <c r="E182" s="218">
        <f>'B) D RI'!S183</f>
        <v>64</v>
      </c>
      <c r="F182" s="10">
        <f>'B) D RI'!R183</f>
        <v>7835868.0687370468</v>
      </c>
      <c r="G182" s="10">
        <f>'B) D RI'!U183</f>
        <v>122435.43857401636</v>
      </c>
      <c r="H182" s="41">
        <f>'B) D RI'!T183</f>
        <v>7319013.935403714</v>
      </c>
      <c r="I182" s="10">
        <f t="shared" si="19"/>
        <v>228719.18548136606</v>
      </c>
      <c r="J182" s="31">
        <f t="shared" si="27"/>
        <v>161711.81022447409</v>
      </c>
      <c r="K182" s="10">
        <f t="shared" si="16"/>
        <v>161711.81022447409</v>
      </c>
      <c r="L182" s="10">
        <f t="shared" si="20"/>
        <v>0</v>
      </c>
      <c r="M182" s="10">
        <f>'D) Ecrêtage'!C181</f>
        <v>122435.43857401636</v>
      </c>
      <c r="N182" s="10">
        <f t="shared" si="17"/>
        <v>162273.78005826951</v>
      </c>
      <c r="O182" s="55">
        <f t="shared" si="18"/>
        <v>323985.59028274356</v>
      </c>
      <c r="P182" s="219"/>
      <c r="Q182" s="220"/>
      <c r="R182" s="216"/>
      <c r="S182" s="216"/>
      <c r="T182" s="221"/>
    </row>
    <row r="183" spans="1:20" s="215" customFormat="1" x14ac:dyDescent="0.25">
      <c r="A183" s="310">
        <f>'A) Base RI'!A184</f>
        <v>5705</v>
      </c>
      <c r="B183" s="228" t="str">
        <f>'A) Base RI'!B184</f>
        <v>Bogis-Bossey</v>
      </c>
      <c r="C183" s="244">
        <v>0</v>
      </c>
      <c r="D183" s="217">
        <f>'B) D RI'!AA184</f>
        <v>867</v>
      </c>
      <c r="E183" s="218">
        <f>'B) D RI'!S184</f>
        <v>70</v>
      </c>
      <c r="F183" s="10">
        <f>'B) D RI'!R184</f>
        <v>3454994.0062511233</v>
      </c>
      <c r="G183" s="10">
        <f>'B) D RI'!U184</f>
        <v>49357.057232158906</v>
      </c>
      <c r="H183" s="41">
        <f>'B) D RI'!T184</f>
        <v>3228875.1062511234</v>
      </c>
      <c r="I183" s="10">
        <f t="shared" si="19"/>
        <v>92253.574464317804</v>
      </c>
      <c r="J183" s="31">
        <f t="shared" si="27"/>
        <v>71825.891119169581</v>
      </c>
      <c r="K183" s="10">
        <f t="shared" si="16"/>
        <v>71825.891119169581</v>
      </c>
      <c r="L183" s="10">
        <f t="shared" si="20"/>
        <v>0</v>
      </c>
      <c r="M183" s="10">
        <f>'D) Ecrêtage'!C182</f>
        <v>49357.057232158906</v>
      </c>
      <c r="N183" s="10">
        <f t="shared" si="17"/>
        <v>65416.976840188698</v>
      </c>
      <c r="O183" s="55">
        <f t="shared" si="18"/>
        <v>137242.86795935826</v>
      </c>
      <c r="P183" s="219"/>
      <c r="Q183" s="220"/>
      <c r="R183" s="216"/>
      <c r="S183" s="216"/>
      <c r="T183" s="221"/>
    </row>
    <row r="184" spans="1:20" s="215" customFormat="1" x14ac:dyDescent="0.25">
      <c r="A184" s="310">
        <f>'A) Base RI'!A185</f>
        <v>5706</v>
      </c>
      <c r="B184" s="228" t="str">
        <f>'A) Base RI'!B185</f>
        <v>Borex</v>
      </c>
      <c r="C184" s="244">
        <v>0</v>
      </c>
      <c r="D184" s="217">
        <f>'B) D RI'!AA185</f>
        <v>1140</v>
      </c>
      <c r="E184" s="218">
        <f>'B) D RI'!S185</f>
        <v>58</v>
      </c>
      <c r="F184" s="10">
        <f>'B) D RI'!R185</f>
        <v>4107257.9450585446</v>
      </c>
      <c r="G184" s="10">
        <f>'B) D RI'!U185</f>
        <v>70814.792156181808</v>
      </c>
      <c r="H184" s="41">
        <f>'B) D RI'!T185</f>
        <v>3847723.178391878</v>
      </c>
      <c r="I184" s="10">
        <f t="shared" si="19"/>
        <v>132680.10959971993</v>
      </c>
      <c r="J184" s="31">
        <f t="shared" si="27"/>
        <v>94442.348184375238</v>
      </c>
      <c r="K184" s="10">
        <f t="shared" si="16"/>
        <v>94442.348184375238</v>
      </c>
      <c r="L184" s="10">
        <f t="shared" si="20"/>
        <v>0</v>
      </c>
      <c r="M184" s="10">
        <f>'D) Ecrêtage'!C183</f>
        <v>70814.792156181808</v>
      </c>
      <c r="N184" s="10">
        <f t="shared" si="17"/>
        <v>93856.681864845727</v>
      </c>
      <c r="O184" s="55">
        <f t="shared" si="18"/>
        <v>188299.03004922095</v>
      </c>
      <c r="P184" s="219"/>
      <c r="Q184" s="220"/>
      <c r="R184" s="216"/>
      <c r="S184" s="216"/>
      <c r="T184" s="221"/>
    </row>
    <row r="185" spans="1:20" s="215" customFormat="1" x14ac:dyDescent="0.25">
      <c r="A185" s="310">
        <f>'A) Base RI'!A186</f>
        <v>5707</v>
      </c>
      <c r="B185" s="228" t="str">
        <f>'A) Base RI'!B186</f>
        <v>Chavannes-de-Bogis</v>
      </c>
      <c r="C185" s="244">
        <v>0</v>
      </c>
      <c r="D185" s="217">
        <f>'B) D RI'!AA186</f>
        <v>1281</v>
      </c>
      <c r="E185" s="218">
        <f>'B) D RI'!S186</f>
        <v>59</v>
      </c>
      <c r="F185" s="10">
        <f>'B) D RI'!R186</f>
        <v>4423688.5837505255</v>
      </c>
      <c r="G185" s="10">
        <f>'B) D RI'!U186</f>
        <v>74977.772605941107</v>
      </c>
      <c r="H185" s="41">
        <f>'B) D RI'!T186</f>
        <v>3901384.3170838589</v>
      </c>
      <c r="I185" s="10">
        <f t="shared" si="19"/>
        <v>132250.31583335114</v>
      </c>
      <c r="J185" s="31">
        <f t="shared" si="27"/>
        <v>106123.37545981111</v>
      </c>
      <c r="K185" s="10">
        <f t="shared" si="16"/>
        <v>106123.37545981111</v>
      </c>
      <c r="L185" s="10">
        <f t="shared" si="20"/>
        <v>0</v>
      </c>
      <c r="M185" s="10">
        <f>'D) Ecrêtage'!C184</f>
        <v>74977.772605941107</v>
      </c>
      <c r="N185" s="10">
        <f t="shared" si="17"/>
        <v>99374.223042130994</v>
      </c>
      <c r="O185" s="55">
        <f t="shared" si="18"/>
        <v>205497.59850194212</v>
      </c>
      <c r="P185" s="219"/>
      <c r="Q185" s="220"/>
      <c r="R185" s="216"/>
      <c r="S185" s="216"/>
      <c r="T185" s="221"/>
    </row>
    <row r="186" spans="1:20" s="215" customFormat="1" x14ac:dyDescent="0.25">
      <c r="A186" s="310">
        <f>'A) Base RI'!A187</f>
        <v>5708</v>
      </c>
      <c r="B186" s="228" t="str">
        <f>'A) Base RI'!B187</f>
        <v>Chavannes-des-Bois</v>
      </c>
      <c r="C186" s="244">
        <v>0</v>
      </c>
      <c r="D186" s="217">
        <f>'B) D RI'!AA187</f>
        <v>964</v>
      </c>
      <c r="E186" s="218">
        <f>'B) D RI'!S187</f>
        <v>63</v>
      </c>
      <c r="F186" s="10">
        <f>'B) D RI'!R187</f>
        <v>3593769.500315927</v>
      </c>
      <c r="G186" s="10">
        <f>'B) D RI'!U187</f>
        <v>57043.960322475032</v>
      </c>
      <c r="H186" s="41">
        <f>'B) D RI'!T187</f>
        <v>3316100.0836492605</v>
      </c>
      <c r="I186" s="10">
        <f t="shared" si="19"/>
        <v>105273.01852854795</v>
      </c>
      <c r="J186" s="31">
        <f t="shared" si="27"/>
        <v>79861.775131348884</v>
      </c>
      <c r="K186" s="10">
        <f t="shared" si="16"/>
        <v>79861.775131348884</v>
      </c>
      <c r="L186" s="10">
        <f t="shared" si="20"/>
        <v>0</v>
      </c>
      <c r="M186" s="10">
        <f>'D) Ecrêtage'!C185</f>
        <v>57043.960322475032</v>
      </c>
      <c r="N186" s="10">
        <f t="shared" si="17"/>
        <v>75605.063197661962</v>
      </c>
      <c r="O186" s="55">
        <f t="shared" si="18"/>
        <v>155466.83832901085</v>
      </c>
      <c r="P186" s="219"/>
      <c r="Q186" s="220"/>
      <c r="R186" s="216"/>
      <c r="S186" s="216"/>
      <c r="T186" s="221"/>
    </row>
    <row r="187" spans="1:20" s="215" customFormat="1" x14ac:dyDescent="0.25">
      <c r="A187" s="310">
        <f>'A) Base RI'!A188</f>
        <v>5709</v>
      </c>
      <c r="B187" s="228" t="str">
        <f>'A) Base RI'!B188</f>
        <v>Chéserex</v>
      </c>
      <c r="C187" s="244">
        <v>0</v>
      </c>
      <c r="D187" s="217">
        <f>'B) D RI'!AA188</f>
        <v>1227</v>
      </c>
      <c r="E187" s="218">
        <f>'B) D RI'!S188</f>
        <v>57</v>
      </c>
      <c r="F187" s="10">
        <f>'B) D RI'!R188</f>
        <v>6048606.6875144644</v>
      </c>
      <c r="G187" s="10">
        <f>'B) D RI'!U188</f>
        <v>106115.90679849937</v>
      </c>
      <c r="H187" s="41">
        <f>'B) D RI'!T188</f>
        <v>5705497.3875144646</v>
      </c>
      <c r="I187" s="10">
        <f t="shared" si="19"/>
        <v>200192.8907899812</v>
      </c>
      <c r="J187" s="31">
        <f t="shared" si="27"/>
        <v>101649.79054581439</v>
      </c>
      <c r="K187" s="10">
        <f t="shared" si="16"/>
        <v>101649.79054581439</v>
      </c>
      <c r="L187" s="10">
        <f t="shared" si="20"/>
        <v>0</v>
      </c>
      <c r="M187" s="10">
        <f>'D) Ecrêtage'!C186</f>
        <v>106115.90679849937</v>
      </c>
      <c r="N187" s="10">
        <f t="shared" si="17"/>
        <v>140644.15924882356</v>
      </c>
      <c r="O187" s="55">
        <f t="shared" si="18"/>
        <v>242293.94979463797</v>
      </c>
      <c r="P187" s="219"/>
      <c r="Q187" s="220"/>
      <c r="R187" s="216"/>
      <c r="S187" s="216"/>
      <c r="T187" s="221"/>
    </row>
    <row r="188" spans="1:20" s="215" customFormat="1" x14ac:dyDescent="0.25">
      <c r="A188" s="310">
        <f>'A) Base RI'!A189</f>
        <v>5710</v>
      </c>
      <c r="B188" s="228" t="str">
        <f>'A) Base RI'!B189</f>
        <v>Coinsins</v>
      </c>
      <c r="C188" s="244">
        <v>0</v>
      </c>
      <c r="D188" s="217">
        <f>'B) D RI'!AA189</f>
        <v>499</v>
      </c>
      <c r="E188" s="218">
        <f>'B) D RI'!S189</f>
        <v>51</v>
      </c>
      <c r="F188" s="10">
        <f>'B) D RI'!R189</f>
        <v>6941635.1740842136</v>
      </c>
      <c r="G188" s="10">
        <f>'B) D RI'!U189</f>
        <v>136110.49360949438</v>
      </c>
      <c r="H188" s="41">
        <f>'B) D RI'!T189</f>
        <v>6805118.5240842141</v>
      </c>
      <c r="I188" s="10">
        <f t="shared" si="19"/>
        <v>266867.39310134173</v>
      </c>
      <c r="J188" s="31">
        <f t="shared" si="27"/>
        <v>41339.238371932668</v>
      </c>
      <c r="K188" s="10">
        <f t="shared" si="16"/>
        <v>41339.238371932668</v>
      </c>
      <c r="L188" s="10">
        <f t="shared" si="20"/>
        <v>0</v>
      </c>
      <c r="M188" s="10">
        <f>'D) Ecrêtage'!C187</f>
        <v>136110.49360949438</v>
      </c>
      <c r="N188" s="10">
        <f t="shared" si="17"/>
        <v>180398.45783912597</v>
      </c>
      <c r="O188" s="55">
        <f t="shared" si="18"/>
        <v>221737.69621105865</v>
      </c>
      <c r="P188" s="219"/>
      <c r="Q188" s="220"/>
      <c r="R188" s="216"/>
      <c r="S188" s="216"/>
      <c r="T188" s="221"/>
    </row>
    <row r="189" spans="1:20" s="215" customFormat="1" x14ac:dyDescent="0.25">
      <c r="A189" s="310">
        <f>'A) Base RI'!A190</f>
        <v>5711</v>
      </c>
      <c r="B189" s="228" t="str">
        <f>'A) Base RI'!B190</f>
        <v>Commugny</v>
      </c>
      <c r="C189" s="244">
        <v>0</v>
      </c>
      <c r="D189" s="217">
        <f>'B) D RI'!AA190</f>
        <v>2877</v>
      </c>
      <c r="E189" s="218">
        <f>'B) D RI'!S190</f>
        <v>57</v>
      </c>
      <c r="F189" s="10">
        <f>'B) D RI'!R190</f>
        <v>15829409.031447919</v>
      </c>
      <c r="G189" s="10">
        <f>'B) D RI'!U190</f>
        <v>277708.93037627928</v>
      </c>
      <c r="H189" s="41">
        <f>'B) D RI'!T190</f>
        <v>14943027.304524843</v>
      </c>
      <c r="I189" s="10">
        <f t="shared" si="19"/>
        <v>524316.74752718746</v>
      </c>
      <c r="J189" s="31">
        <f t="shared" si="27"/>
        <v>238342.66291793645</v>
      </c>
      <c r="K189" s="10">
        <f t="shared" si="16"/>
        <v>238342.66291793645</v>
      </c>
      <c r="L189" s="10">
        <f t="shared" si="20"/>
        <v>0</v>
      </c>
      <c r="M189" s="10">
        <f>'D) Ecrêtage'!C188</f>
        <v>277708.93037627928</v>
      </c>
      <c r="N189" s="10">
        <f t="shared" si="17"/>
        <v>368070.53915892483</v>
      </c>
      <c r="O189" s="55">
        <f t="shared" si="18"/>
        <v>606413.20207686129</v>
      </c>
      <c r="P189" s="219"/>
      <c r="Q189" s="220"/>
      <c r="R189" s="216"/>
      <c r="S189" s="216"/>
      <c r="T189" s="221"/>
    </row>
    <row r="190" spans="1:20" s="215" customFormat="1" x14ac:dyDescent="0.25">
      <c r="A190" s="310">
        <f>'A) Base RI'!A191</f>
        <v>5712</v>
      </c>
      <c r="B190" s="228" t="str">
        <f>'A) Base RI'!B191</f>
        <v>Coppet</v>
      </c>
      <c r="C190" s="244">
        <v>0</v>
      </c>
      <c r="D190" s="217">
        <f>'B) D RI'!AA191</f>
        <v>3126</v>
      </c>
      <c r="E190" s="218">
        <f>'B) D RI'!S191</f>
        <v>53</v>
      </c>
      <c r="F190" s="10">
        <f>'B) D RI'!R191</f>
        <v>17889338.698859107</v>
      </c>
      <c r="G190" s="10">
        <f>'B) D RI'!U191</f>
        <v>337534.69243130391</v>
      </c>
      <c r="H190" s="41">
        <f>'B) D RI'!T191</f>
        <v>16726196.198859109</v>
      </c>
      <c r="I190" s="10">
        <f t="shared" si="19"/>
        <v>631177.21505128709</v>
      </c>
      <c r="J190" s="31">
        <f t="shared" si="27"/>
        <v>258970.86002136578</v>
      </c>
      <c r="K190" s="10">
        <f t="shared" si="16"/>
        <v>258970.86002136578</v>
      </c>
      <c r="L190" s="10">
        <f t="shared" si="20"/>
        <v>0</v>
      </c>
      <c r="M190" s="10">
        <f>'D) Ecrêtage'!C189</f>
        <v>337534.69243130391</v>
      </c>
      <c r="N190" s="10">
        <f t="shared" si="17"/>
        <v>447362.55351852975</v>
      </c>
      <c r="O190" s="55">
        <f t="shared" si="18"/>
        <v>706333.41353989556</v>
      </c>
      <c r="P190" s="219"/>
      <c r="Q190" s="220"/>
      <c r="R190" s="216"/>
      <c r="S190" s="216"/>
      <c r="T190" s="221"/>
    </row>
    <row r="191" spans="1:20" s="215" customFormat="1" x14ac:dyDescent="0.25">
      <c r="A191" s="310">
        <f>'A) Base RI'!A192</f>
        <v>5713</v>
      </c>
      <c r="B191" s="228" t="str">
        <f>'A) Base RI'!B192</f>
        <v>Crans-près-Céligny</v>
      </c>
      <c r="C191" s="244">
        <v>1</v>
      </c>
      <c r="D191" s="217">
        <f>'B) D RI'!AA192</f>
        <v>2193</v>
      </c>
      <c r="E191" s="218">
        <f>'B) D RI'!S192</f>
        <v>53</v>
      </c>
      <c r="F191" s="10">
        <f>'B) D RI'!R192</f>
        <v>14477414.929365952</v>
      </c>
      <c r="G191" s="10">
        <f>'B) D RI'!U192</f>
        <v>273158.77225218777</v>
      </c>
      <c r="H191" s="41">
        <f>'B) D RI'!T192</f>
        <v>13667081.179365952</v>
      </c>
      <c r="I191" s="10">
        <f t="shared" si="19"/>
        <v>515738.91242890386</v>
      </c>
      <c r="J191" s="31">
        <f t="shared" si="27"/>
        <v>181677.25400731131</v>
      </c>
      <c r="K191" s="10">
        <f t="shared" si="16"/>
        <v>0</v>
      </c>
      <c r="L191" s="10">
        <f t="shared" si="20"/>
        <v>181677.25400731131</v>
      </c>
      <c r="M191" s="10">
        <f>'D) Ecrêtage'!C190</f>
        <v>273158.77225218777</v>
      </c>
      <c r="N191" s="10">
        <f t="shared" si="17"/>
        <v>362039.83949174633</v>
      </c>
      <c r="O191" s="55">
        <f t="shared" si="18"/>
        <v>362039.83949174633</v>
      </c>
      <c r="P191" s="219"/>
      <c r="Q191" s="220"/>
      <c r="R191" s="216"/>
      <c r="S191" s="216"/>
      <c r="T191" s="221"/>
    </row>
    <row r="192" spans="1:20" s="215" customFormat="1" x14ac:dyDescent="0.25">
      <c r="A192" s="310">
        <f>'A) Base RI'!A193</f>
        <v>5714</v>
      </c>
      <c r="B192" s="228" t="str">
        <f>'A) Base RI'!B193</f>
        <v>Crassier</v>
      </c>
      <c r="C192" s="244">
        <v>0</v>
      </c>
      <c r="D192" s="217">
        <f>'B) D RI'!AA193</f>
        <v>1175</v>
      </c>
      <c r="E192" s="218">
        <f>'B) D RI'!S193</f>
        <v>64</v>
      </c>
      <c r="F192" s="10">
        <f>'B) D RI'!R193</f>
        <v>4765705.4493649239</v>
      </c>
      <c r="G192" s="10">
        <f>'B) D RI'!U193</f>
        <v>74464.147646326936</v>
      </c>
      <c r="H192" s="41">
        <f>'B) D RI'!T193</f>
        <v>4488186.6493649241</v>
      </c>
      <c r="I192" s="10">
        <f t="shared" si="19"/>
        <v>140255.83279265388</v>
      </c>
      <c r="J192" s="31">
        <f t="shared" si="27"/>
        <v>97341.893961965703</v>
      </c>
      <c r="K192" s="10">
        <f t="shared" si="16"/>
        <v>97341.893961965703</v>
      </c>
      <c r="L192" s="10">
        <f t="shared" si="20"/>
        <v>0</v>
      </c>
      <c r="M192" s="10">
        <f>'D) Ecrêtage'!C191</f>
        <v>74464.147646326936</v>
      </c>
      <c r="N192" s="10">
        <f t="shared" si="17"/>
        <v>98693.473541009385</v>
      </c>
      <c r="O192" s="55">
        <f t="shared" si="18"/>
        <v>196035.3675029751</v>
      </c>
      <c r="P192" s="219"/>
      <c r="Q192" s="220"/>
      <c r="R192" s="216"/>
      <c r="S192" s="216"/>
      <c r="T192" s="221"/>
    </row>
    <row r="193" spans="1:20" s="215" customFormat="1" x14ac:dyDescent="0.25">
      <c r="A193" s="310">
        <f>'A) Base RI'!A194</f>
        <v>5715</v>
      </c>
      <c r="B193" s="228" t="str">
        <f>'A) Base RI'!B194</f>
        <v>Duillier</v>
      </c>
      <c r="C193" s="244">
        <v>0</v>
      </c>
      <c r="D193" s="217">
        <f>'B) D RI'!AA194</f>
        <v>1085</v>
      </c>
      <c r="E193" s="218">
        <f>'B) D RI'!S194</f>
        <v>66</v>
      </c>
      <c r="F193" s="10">
        <f>'B) D RI'!R194</f>
        <v>5118734.7951069772</v>
      </c>
      <c r="G193" s="10">
        <f>'B) D RI'!U194</f>
        <v>77556.587804651164</v>
      </c>
      <c r="H193" s="41">
        <f>'B) D RI'!T194</f>
        <v>4859559.1451069769</v>
      </c>
      <c r="I193" s="10">
        <f t="shared" si="19"/>
        <v>147259.36803354474</v>
      </c>
      <c r="J193" s="31">
        <f t="shared" si="27"/>
        <v>89885.919105304492</v>
      </c>
      <c r="K193" s="10">
        <f t="shared" ref="K193:K253" si="28">IF(C193=1,0,IF(J193&gt;I193,I193,J193))</f>
        <v>89885.919105304492</v>
      </c>
      <c r="L193" s="10">
        <f t="shared" si="20"/>
        <v>0</v>
      </c>
      <c r="M193" s="10">
        <f>'D) Ecrêtage'!C192</f>
        <v>77556.587804651164</v>
      </c>
      <c r="N193" s="10">
        <f t="shared" ref="N193:N253" si="29">+$N$5*M193</f>
        <v>102792.139417</v>
      </c>
      <c r="O193" s="55">
        <f t="shared" ref="O193:O253" si="30">+N193+K193</f>
        <v>192678.05852230449</v>
      </c>
      <c r="P193" s="219"/>
      <c r="Q193" s="220"/>
      <c r="R193" s="216"/>
      <c r="S193" s="216"/>
      <c r="T193" s="221"/>
    </row>
    <row r="194" spans="1:20" s="215" customFormat="1" x14ac:dyDescent="0.25">
      <c r="A194" s="310">
        <f>'A) Base RI'!A195</f>
        <v>5716</v>
      </c>
      <c r="B194" s="228" t="str">
        <f>'A) Base RI'!B195</f>
        <v>Eysins</v>
      </c>
      <c r="C194" s="244">
        <v>0</v>
      </c>
      <c r="D194" s="217">
        <f>'B) D RI'!AA195</f>
        <v>1618</v>
      </c>
      <c r="E194" s="218">
        <f>'B) D RI'!S195</f>
        <v>61</v>
      </c>
      <c r="F194" s="10">
        <f>'B) D RI'!R195</f>
        <v>10856893.660063429</v>
      </c>
      <c r="G194" s="10">
        <f>'B) D RI'!U195</f>
        <v>177981.86327972834</v>
      </c>
      <c r="H194" s="41">
        <f>'B) D RI'!T195</f>
        <v>10053488.71006343</v>
      </c>
      <c r="I194" s="10">
        <f t="shared" ref="I194:I254" si="31">+H194/E194*$I$5</f>
        <v>329622.58065781737</v>
      </c>
      <c r="J194" s="31">
        <f t="shared" si="27"/>
        <v>134041.85908975362</v>
      </c>
      <c r="K194" s="10">
        <f t="shared" si="28"/>
        <v>134041.85908975362</v>
      </c>
      <c r="L194" s="10">
        <f t="shared" ref="L194:L254" si="32">+J194-K194</f>
        <v>0</v>
      </c>
      <c r="M194" s="10">
        <f>'D) Ecrêtage'!C193</f>
        <v>177981.86327972834</v>
      </c>
      <c r="N194" s="10">
        <f t="shared" si="29"/>
        <v>235894.03584939675</v>
      </c>
      <c r="O194" s="55">
        <f t="shared" si="30"/>
        <v>369935.89493915037</v>
      </c>
      <c r="P194" s="219"/>
      <c r="Q194" s="220"/>
      <c r="R194" s="216"/>
      <c r="S194" s="216"/>
      <c r="T194" s="221"/>
    </row>
    <row r="195" spans="1:20" s="215" customFormat="1" x14ac:dyDescent="0.25">
      <c r="A195" s="310">
        <f>'A) Base RI'!A196</f>
        <v>5717</v>
      </c>
      <c r="B195" s="228" t="str">
        <f>'A) Base RI'!B196</f>
        <v>Founex</v>
      </c>
      <c r="C195" s="244">
        <v>0</v>
      </c>
      <c r="D195" s="217">
        <f>'B) D RI'!AA196</f>
        <v>3790</v>
      </c>
      <c r="E195" s="218">
        <f>'B) D RI'!S196</f>
        <v>57</v>
      </c>
      <c r="F195" s="10">
        <f>'B) D RI'!R196</f>
        <v>21245409.671624806</v>
      </c>
      <c r="G195" s="10">
        <f>'B) D RI'!U196</f>
        <v>372726.48546710185</v>
      </c>
      <c r="H195" s="41">
        <f>'B) D RI'!T196</f>
        <v>19940374.721624807</v>
      </c>
      <c r="I195" s="10">
        <f t="shared" si="31"/>
        <v>699662.27093420376</v>
      </c>
      <c r="J195" s="31">
        <f t="shared" si="27"/>
        <v>313979.38563051063</v>
      </c>
      <c r="K195" s="10">
        <f t="shared" si="28"/>
        <v>313979.38563051063</v>
      </c>
      <c r="L195" s="10">
        <f t="shared" si="32"/>
        <v>0</v>
      </c>
      <c r="M195" s="10">
        <f>'D) Ecrêtage'!C194</f>
        <v>372726.48546710185</v>
      </c>
      <c r="N195" s="10">
        <f t="shared" si="29"/>
        <v>494005.13796514733</v>
      </c>
      <c r="O195" s="55">
        <f t="shared" si="30"/>
        <v>807984.5235956579</v>
      </c>
      <c r="P195" s="219"/>
      <c r="Q195" s="220"/>
      <c r="R195" s="216"/>
      <c r="S195" s="216"/>
      <c r="T195" s="221"/>
    </row>
    <row r="196" spans="1:20" s="215" customFormat="1" x14ac:dyDescent="0.25">
      <c r="A196" s="310">
        <f>'A) Base RI'!A197</f>
        <v>5718</v>
      </c>
      <c r="B196" s="228" t="str">
        <f>'A) Base RI'!B197</f>
        <v>Genolier</v>
      </c>
      <c r="C196" s="244">
        <v>0</v>
      </c>
      <c r="D196" s="217">
        <f>'B) D RI'!AA197</f>
        <v>1961</v>
      </c>
      <c r="E196" s="218">
        <f>'B) D RI'!S197</f>
        <v>55</v>
      </c>
      <c r="F196" s="10">
        <f>'B) D RI'!R197</f>
        <v>9386653.0019457545</v>
      </c>
      <c r="G196" s="10">
        <f>'B) D RI'!U197</f>
        <v>170666.41821719555</v>
      </c>
      <c r="H196" s="41">
        <f>'B) D RI'!T197</f>
        <v>8695089.6019457541</v>
      </c>
      <c r="I196" s="10">
        <f t="shared" si="31"/>
        <v>316185.07643439109</v>
      </c>
      <c r="J196" s="31">
        <f t="shared" si="27"/>
        <v>162457.40771014019</v>
      </c>
      <c r="K196" s="10">
        <f t="shared" si="28"/>
        <v>162457.40771014019</v>
      </c>
      <c r="L196" s="10">
        <f t="shared" si="32"/>
        <v>0</v>
      </c>
      <c r="M196" s="10">
        <f>'D) Ecrêtage'!C195</f>
        <v>170666.41821719555</v>
      </c>
      <c r="N196" s="10">
        <f t="shared" si="29"/>
        <v>226198.2734383514</v>
      </c>
      <c r="O196" s="55">
        <f t="shared" si="30"/>
        <v>388655.68114849157</v>
      </c>
      <c r="P196" s="219"/>
      <c r="Q196" s="220"/>
      <c r="R196" s="216"/>
      <c r="S196" s="216"/>
      <c r="T196" s="221"/>
    </row>
    <row r="197" spans="1:20" s="215" customFormat="1" x14ac:dyDescent="0.25">
      <c r="A197" s="310">
        <f>'A) Base RI'!A198</f>
        <v>5719</v>
      </c>
      <c r="B197" s="228" t="str">
        <f>'A) Base RI'!B198</f>
        <v>Gingins</v>
      </c>
      <c r="C197" s="244">
        <v>0</v>
      </c>
      <c r="D197" s="217">
        <f>'B) D RI'!AA198</f>
        <v>1226</v>
      </c>
      <c r="E197" s="218">
        <f>'B) D RI'!S198</f>
        <v>57</v>
      </c>
      <c r="F197" s="10">
        <f>'B) D RI'!R198</f>
        <v>6298822.2313148687</v>
      </c>
      <c r="G197" s="10">
        <f>'B) D RI'!U198</f>
        <v>110505.6531809626</v>
      </c>
      <c r="H197" s="41">
        <f>'B) D RI'!T198</f>
        <v>5901614.881314869</v>
      </c>
      <c r="I197" s="10">
        <f t="shared" si="31"/>
        <v>207074.20636192523</v>
      </c>
      <c r="J197" s="31">
        <f t="shared" si="27"/>
        <v>101566.94638074038</v>
      </c>
      <c r="K197" s="10">
        <f t="shared" si="28"/>
        <v>101566.94638074038</v>
      </c>
      <c r="L197" s="10">
        <f t="shared" si="32"/>
        <v>0</v>
      </c>
      <c r="M197" s="10">
        <f>'D) Ecrêtage'!C196</f>
        <v>110505.6531809626</v>
      </c>
      <c r="N197" s="10">
        <f t="shared" si="29"/>
        <v>146462.25201082064</v>
      </c>
      <c r="O197" s="55">
        <f t="shared" si="30"/>
        <v>248029.19839156102</v>
      </c>
      <c r="P197" s="219"/>
      <c r="Q197" s="220"/>
      <c r="R197" s="216"/>
      <c r="S197" s="216"/>
      <c r="T197" s="221"/>
    </row>
    <row r="198" spans="1:20" s="215" customFormat="1" x14ac:dyDescent="0.25">
      <c r="A198" s="310">
        <f>'A) Base RI'!A199</f>
        <v>5720</v>
      </c>
      <c r="B198" s="228" t="str">
        <f>'A) Base RI'!B199</f>
        <v>Givrins</v>
      </c>
      <c r="C198" s="244">
        <v>0</v>
      </c>
      <c r="D198" s="217">
        <f>'B) D RI'!AA199</f>
        <v>1033</v>
      </c>
      <c r="E198" s="218">
        <f>'B) D RI'!S199</f>
        <v>67</v>
      </c>
      <c r="F198" s="10">
        <f>'B) D RI'!R199</f>
        <v>4487678.7847200306</v>
      </c>
      <c r="G198" s="10">
        <f>'B) D RI'!U199</f>
        <v>66980.280368955675</v>
      </c>
      <c r="H198" s="41">
        <f>'B) D RI'!T199</f>
        <v>4196932.3402755866</v>
      </c>
      <c r="I198" s="10">
        <f t="shared" si="31"/>
        <v>125281.56239628617</v>
      </c>
      <c r="J198" s="31">
        <f t="shared" si="27"/>
        <v>85578.022521455801</v>
      </c>
      <c r="K198" s="10">
        <f t="shared" si="28"/>
        <v>85578.022521455801</v>
      </c>
      <c r="L198" s="10">
        <f t="shared" si="32"/>
        <v>0</v>
      </c>
      <c r="M198" s="10">
        <f>'D) Ecrêtage'!C197</f>
        <v>66980.280368955675</v>
      </c>
      <c r="N198" s="10">
        <f t="shared" si="29"/>
        <v>88774.487284270843</v>
      </c>
      <c r="O198" s="55">
        <f t="shared" si="30"/>
        <v>174352.50980572664</v>
      </c>
      <c r="P198" s="219"/>
      <c r="Q198" s="220"/>
      <c r="R198" s="216"/>
      <c r="S198" s="216"/>
      <c r="T198" s="221"/>
    </row>
    <row r="199" spans="1:20" s="215" customFormat="1" x14ac:dyDescent="0.25">
      <c r="A199" s="310">
        <f>'A) Base RI'!A200</f>
        <v>5721</v>
      </c>
      <c r="B199" s="228" t="str">
        <f>'A) Base RI'!B200</f>
        <v>Gland</v>
      </c>
      <c r="C199" s="244">
        <v>0</v>
      </c>
      <c r="D199" s="217">
        <f>'B) D RI'!AA200</f>
        <v>13101</v>
      </c>
      <c r="E199" s="218">
        <f>'B) D RI'!S200</f>
        <v>62.5</v>
      </c>
      <c r="F199" s="10">
        <f>'B) D RI'!R200</f>
        <v>39757526.041155718</v>
      </c>
      <c r="G199" s="10">
        <f>'B) D RI'!U200</f>
        <v>636120.41665849148</v>
      </c>
      <c r="H199" s="41">
        <f>'B) D RI'!T200</f>
        <v>36533753.741155721</v>
      </c>
      <c r="I199" s="10">
        <f t="shared" si="31"/>
        <v>1169080.1197169831</v>
      </c>
      <c r="J199" s="31">
        <f t="shared" si="27"/>
        <v>1085341.406634649</v>
      </c>
      <c r="K199" s="10">
        <f t="shared" si="28"/>
        <v>1085341.406634649</v>
      </c>
      <c r="L199" s="10">
        <f t="shared" si="32"/>
        <v>0</v>
      </c>
      <c r="M199" s="10">
        <f>'D) Ecrêtage'!C198</f>
        <v>636120.41665849148</v>
      </c>
      <c r="N199" s="10">
        <f t="shared" si="29"/>
        <v>843102.82860637119</v>
      </c>
      <c r="O199" s="55">
        <f t="shared" si="30"/>
        <v>1928444.2352410201</v>
      </c>
      <c r="P199" s="219"/>
      <c r="Q199" s="220"/>
      <c r="R199" s="216"/>
      <c r="S199" s="216"/>
      <c r="T199" s="221"/>
    </row>
    <row r="200" spans="1:20" s="215" customFormat="1" x14ac:dyDescent="0.25">
      <c r="A200" s="310">
        <f>'A) Base RI'!A201</f>
        <v>5722</v>
      </c>
      <c r="B200" s="228" t="str">
        <f>'A) Base RI'!B201</f>
        <v>Grens</v>
      </c>
      <c r="C200" s="244">
        <v>0</v>
      </c>
      <c r="D200" s="217">
        <f>'B) D RI'!AA201</f>
        <v>391</v>
      </c>
      <c r="E200" s="218">
        <f>'B) D RI'!S201</f>
        <v>62</v>
      </c>
      <c r="F200" s="10">
        <f>'B) D RI'!R201</f>
        <v>1367836.8106602288</v>
      </c>
      <c r="G200" s="10">
        <f>'B) D RI'!U201</f>
        <v>22061.884042906917</v>
      </c>
      <c r="H200" s="41">
        <f>'B) D RI'!T201</f>
        <v>1278283.1106602286</v>
      </c>
      <c r="I200" s="10">
        <f t="shared" si="31"/>
        <v>41234.939053555761</v>
      </c>
      <c r="J200" s="31">
        <f t="shared" si="27"/>
        <v>32392.068543939225</v>
      </c>
      <c r="K200" s="10">
        <f t="shared" si="28"/>
        <v>32392.068543939225</v>
      </c>
      <c r="L200" s="10">
        <f t="shared" si="32"/>
        <v>0</v>
      </c>
      <c r="M200" s="10">
        <f>'D) Ecrêtage'!C199</f>
        <v>22061.884042906917</v>
      </c>
      <c r="N200" s="10">
        <f t="shared" si="29"/>
        <v>29240.433656677367</v>
      </c>
      <c r="O200" s="55">
        <f t="shared" si="30"/>
        <v>61632.502200616596</v>
      </c>
      <c r="P200" s="219"/>
      <c r="Q200" s="220"/>
      <c r="R200" s="216"/>
      <c r="S200" s="216"/>
      <c r="T200" s="221"/>
    </row>
    <row r="201" spans="1:20" s="215" customFormat="1" x14ac:dyDescent="0.25">
      <c r="A201" s="310">
        <f>'A) Base RI'!A202</f>
        <v>5723</v>
      </c>
      <c r="B201" s="228" t="str">
        <f>'A) Base RI'!B202</f>
        <v>Mies</v>
      </c>
      <c r="C201" s="244">
        <v>0</v>
      </c>
      <c r="D201" s="217">
        <f>'B) D RI'!AA202</f>
        <v>2075</v>
      </c>
      <c r="E201" s="218">
        <f>'B) D RI'!S202</f>
        <v>49</v>
      </c>
      <c r="F201" s="10">
        <f>'B) D RI'!R202</f>
        <v>24928906.571284615</v>
      </c>
      <c r="G201" s="10">
        <f>'B) D RI'!U202</f>
        <v>508753.19533233909</v>
      </c>
      <c r="H201" s="41">
        <f>'B) D RI'!T202</f>
        <v>24109773.021284614</v>
      </c>
      <c r="I201" s="10">
        <f t="shared" si="31"/>
        <v>984072.36821569852</v>
      </c>
      <c r="J201" s="31">
        <f t="shared" si="27"/>
        <v>171901.64252857774</v>
      </c>
      <c r="K201" s="10">
        <f t="shared" si="28"/>
        <v>171901.64252857774</v>
      </c>
      <c r="L201" s="10">
        <f t="shared" si="32"/>
        <v>0</v>
      </c>
      <c r="M201" s="10">
        <f>'D) Ecrêtage'!C200</f>
        <v>508753.19533233909</v>
      </c>
      <c r="N201" s="10">
        <f t="shared" si="29"/>
        <v>674292.55030105624</v>
      </c>
      <c r="O201" s="55">
        <f t="shared" si="30"/>
        <v>846194.19282963395</v>
      </c>
      <c r="P201" s="219"/>
      <c r="Q201" s="220"/>
      <c r="R201" s="216"/>
      <c r="S201" s="216"/>
      <c r="T201" s="221"/>
    </row>
    <row r="202" spans="1:20" s="215" customFormat="1" x14ac:dyDescent="0.25">
      <c r="A202" s="310">
        <f>'A) Base RI'!A203</f>
        <v>5724</v>
      </c>
      <c r="B202" s="228" t="str">
        <f>'A) Base RI'!B203</f>
        <v>Nyon</v>
      </c>
      <c r="C202" s="244">
        <v>1</v>
      </c>
      <c r="D202" s="217">
        <f>'B) D RI'!AA203</f>
        <v>21239</v>
      </c>
      <c r="E202" s="218">
        <f>'B) D RI'!S203</f>
        <v>61</v>
      </c>
      <c r="F202" s="10">
        <f>'B) D RI'!R203</f>
        <v>78363585.863088503</v>
      </c>
      <c r="G202" s="10">
        <f>'B) D RI'!U203</f>
        <v>1284648.9485752215</v>
      </c>
      <c r="H202" s="41">
        <f>'B) D RI'!T203</f>
        <v>72427300.574626967</v>
      </c>
      <c r="I202" s="10">
        <f t="shared" si="31"/>
        <v>2374665.5926107201</v>
      </c>
      <c r="J202" s="31">
        <f t="shared" si="27"/>
        <v>1759527.2220069699</v>
      </c>
      <c r="K202" s="10">
        <f t="shared" si="28"/>
        <v>0</v>
      </c>
      <c r="L202" s="10">
        <f t="shared" si="32"/>
        <v>1759527.2220069699</v>
      </c>
      <c r="M202" s="10">
        <f>'D) Ecrêtage'!C201</f>
        <v>1284648.9485752215</v>
      </c>
      <c r="N202" s="10">
        <f t="shared" si="29"/>
        <v>1702651.1552630132</v>
      </c>
      <c r="O202" s="55">
        <f t="shared" si="30"/>
        <v>1702651.1552630132</v>
      </c>
      <c r="P202" s="219"/>
      <c r="Q202" s="220"/>
      <c r="R202" s="216"/>
      <c r="S202" s="216"/>
      <c r="T202" s="221"/>
    </row>
    <row r="203" spans="1:20" s="215" customFormat="1" x14ac:dyDescent="0.25">
      <c r="A203" s="310">
        <f>'A) Base RI'!A204</f>
        <v>5725</v>
      </c>
      <c r="B203" s="228" t="str">
        <f>'A) Base RI'!B204</f>
        <v>Prangins</v>
      </c>
      <c r="C203" s="244">
        <v>1</v>
      </c>
      <c r="D203" s="217">
        <f>'B) D RI'!AA204</f>
        <v>4040</v>
      </c>
      <c r="E203" s="218">
        <f>'B) D RI'!S204</f>
        <v>56</v>
      </c>
      <c r="F203" s="10">
        <f>'B) D RI'!R204</f>
        <v>18559779.344425183</v>
      </c>
      <c r="G203" s="10">
        <f>'B) D RI'!U204</f>
        <v>331424.63115044968</v>
      </c>
      <c r="H203" s="41">
        <f>'B) D RI'!T204</f>
        <v>17369016.737282325</v>
      </c>
      <c r="I203" s="10">
        <f t="shared" si="31"/>
        <v>620322.02633151156</v>
      </c>
      <c r="J203" s="31">
        <f t="shared" si="27"/>
        <v>334690.42689901398</v>
      </c>
      <c r="K203" s="10">
        <f t="shared" si="28"/>
        <v>0</v>
      </c>
      <c r="L203" s="10">
        <f t="shared" si="32"/>
        <v>334690.42689901398</v>
      </c>
      <c r="M203" s="10">
        <f>'D) Ecrêtage'!C202</f>
        <v>331424.63115044968</v>
      </c>
      <c r="N203" s="10">
        <f t="shared" si="29"/>
        <v>439264.38560260815</v>
      </c>
      <c r="O203" s="55">
        <f t="shared" si="30"/>
        <v>439264.38560260815</v>
      </c>
      <c r="P203" s="219"/>
      <c r="Q203" s="220"/>
      <c r="R203" s="216"/>
      <c r="S203" s="216"/>
      <c r="T203" s="221"/>
    </row>
    <row r="204" spans="1:20" s="215" customFormat="1" x14ac:dyDescent="0.25">
      <c r="A204" s="310">
        <f>'A) Base RI'!A205</f>
        <v>5726</v>
      </c>
      <c r="B204" s="228" t="str">
        <f>'A) Base RI'!B205</f>
        <v>La Rippe</v>
      </c>
      <c r="C204" s="244">
        <v>0</v>
      </c>
      <c r="D204" s="217">
        <f>'B) D RI'!AA205</f>
        <v>1161</v>
      </c>
      <c r="E204" s="218">
        <f>'B) D RI'!S205</f>
        <v>65</v>
      </c>
      <c r="F204" s="10">
        <f>'B) D RI'!R205</f>
        <v>3885417.513083355</v>
      </c>
      <c r="G204" s="10">
        <f>'B) D RI'!U205</f>
        <v>59775.654047436234</v>
      </c>
      <c r="H204" s="41">
        <f>'B) D RI'!T205</f>
        <v>3624633.3130833553</v>
      </c>
      <c r="I204" s="10">
        <f t="shared" si="31"/>
        <v>111527.17886410325</v>
      </c>
      <c r="J204" s="31">
        <f t="shared" si="27"/>
        <v>96182.075650929517</v>
      </c>
      <c r="K204" s="10">
        <f t="shared" si="28"/>
        <v>96182.075650929517</v>
      </c>
      <c r="L204" s="10">
        <f t="shared" si="32"/>
        <v>0</v>
      </c>
      <c r="M204" s="10">
        <f>'D) Ecrêtage'!C203</f>
        <v>59775.654047436234</v>
      </c>
      <c r="N204" s="10">
        <f t="shared" si="29"/>
        <v>79225.602086350875</v>
      </c>
      <c r="O204" s="55">
        <f t="shared" si="30"/>
        <v>175407.67773728038</v>
      </c>
      <c r="P204" s="219"/>
      <c r="Q204" s="220"/>
      <c r="R204" s="216"/>
      <c r="S204" s="216"/>
      <c r="T204" s="221"/>
    </row>
    <row r="205" spans="1:20" s="215" customFormat="1" x14ac:dyDescent="0.25">
      <c r="A205" s="310">
        <f>'A) Base RI'!A206</f>
        <v>5727</v>
      </c>
      <c r="B205" s="228" t="str">
        <f>'A) Base RI'!B206</f>
        <v>Saint-Cergue</v>
      </c>
      <c r="C205" s="244">
        <v>0</v>
      </c>
      <c r="D205" s="217">
        <f>'B) D RI'!AA206</f>
        <v>2583</v>
      </c>
      <c r="E205" s="218">
        <f>'B) D RI'!S206</f>
        <v>66</v>
      </c>
      <c r="F205" s="10">
        <f>'B) D RI'!R206</f>
        <v>5599282.7128852587</v>
      </c>
      <c r="G205" s="10">
        <f>'B) D RI'!U206</f>
        <v>84837.616861897855</v>
      </c>
      <c r="H205" s="41">
        <f>'B) D RI'!T206</f>
        <v>5091072.1462185923</v>
      </c>
      <c r="I205" s="10">
        <f t="shared" si="31"/>
        <v>154274.91352177551</v>
      </c>
      <c r="J205" s="31">
        <f t="shared" si="27"/>
        <v>213986.47838617652</v>
      </c>
      <c r="K205" s="10">
        <f t="shared" si="28"/>
        <v>154274.91352177551</v>
      </c>
      <c r="L205" s="10">
        <f t="shared" si="32"/>
        <v>59711.564864401007</v>
      </c>
      <c r="M205" s="10">
        <f>'D) Ecrêtage'!C204</f>
        <v>84837.616861897855</v>
      </c>
      <c r="N205" s="10">
        <f t="shared" si="29"/>
        <v>112442.2874590577</v>
      </c>
      <c r="O205" s="55">
        <f t="shared" si="30"/>
        <v>266717.20098083321</v>
      </c>
      <c r="P205" s="219"/>
      <c r="Q205" s="220"/>
      <c r="R205" s="216"/>
      <c r="S205" s="216"/>
      <c r="T205" s="221"/>
    </row>
    <row r="206" spans="1:20" s="215" customFormat="1" x14ac:dyDescent="0.25">
      <c r="A206" s="310">
        <f>'A) Base RI'!A207</f>
        <v>5728</v>
      </c>
      <c r="B206" s="228" t="str">
        <f>'A) Base RI'!B207</f>
        <v>Signy-Avenex</v>
      </c>
      <c r="C206" s="244">
        <v>0</v>
      </c>
      <c r="D206" s="217">
        <f>'B) D RI'!AA207</f>
        <v>592</v>
      </c>
      <c r="E206" s="218">
        <f>'B) D RI'!S207</f>
        <v>58</v>
      </c>
      <c r="F206" s="10">
        <f>'B) D RI'!R207</f>
        <v>2531243.5315995072</v>
      </c>
      <c r="G206" s="10">
        <f>'B) D RI'!U207</f>
        <v>43642.129855163919</v>
      </c>
      <c r="H206" s="41">
        <f>'B) D RI'!T207</f>
        <v>2266853.081599507</v>
      </c>
      <c r="I206" s="10">
        <f t="shared" si="31"/>
        <v>78167.347641362314</v>
      </c>
      <c r="J206" s="31">
        <f t="shared" si="27"/>
        <v>49043.745723815911</v>
      </c>
      <c r="K206" s="10">
        <f t="shared" si="28"/>
        <v>49043.745723815911</v>
      </c>
      <c r="L206" s="10">
        <f t="shared" si="32"/>
        <v>0</v>
      </c>
      <c r="M206" s="10">
        <f>'D) Ecrêtage'!C205</f>
        <v>43642.129855163919</v>
      </c>
      <c r="N206" s="10">
        <f t="shared" si="29"/>
        <v>57842.512461047088</v>
      </c>
      <c r="O206" s="55">
        <f t="shared" si="30"/>
        <v>106886.25818486299</v>
      </c>
      <c r="P206" s="219"/>
      <c r="Q206" s="220"/>
      <c r="R206" s="216"/>
      <c r="S206" s="216"/>
      <c r="T206" s="221"/>
    </row>
    <row r="207" spans="1:20" s="215" customFormat="1" x14ac:dyDescent="0.25">
      <c r="A207" s="310">
        <f>'A) Base RI'!A208</f>
        <v>5729</v>
      </c>
      <c r="B207" s="228" t="str">
        <f>'A) Base RI'!B208</f>
        <v>Tannay</v>
      </c>
      <c r="C207" s="244">
        <v>0</v>
      </c>
      <c r="D207" s="217">
        <f>'B) D RI'!AA208</f>
        <v>1593</v>
      </c>
      <c r="E207" s="218">
        <f>'B) D RI'!S208</f>
        <v>61</v>
      </c>
      <c r="F207" s="10">
        <f>'B) D RI'!R208</f>
        <v>8588123.8388307951</v>
      </c>
      <c r="G207" s="10">
        <f>'B) D RI'!U208</f>
        <v>140788.91539066879</v>
      </c>
      <c r="H207" s="41">
        <f>'B) D RI'!T208</f>
        <v>8051122.8554974627</v>
      </c>
      <c r="I207" s="10">
        <f t="shared" si="31"/>
        <v>263971.24116385123</v>
      </c>
      <c r="J207" s="31">
        <f t="shared" si="27"/>
        <v>131970.75496290327</v>
      </c>
      <c r="K207" s="10">
        <f t="shared" si="28"/>
        <v>131970.75496290327</v>
      </c>
      <c r="L207" s="10">
        <f t="shared" si="32"/>
        <v>0</v>
      </c>
      <c r="M207" s="10">
        <f>'D) Ecrêtage'!C206</f>
        <v>140788.91539066879</v>
      </c>
      <c r="N207" s="10">
        <f t="shared" si="29"/>
        <v>186599.15590481844</v>
      </c>
      <c r="O207" s="55">
        <f t="shared" si="30"/>
        <v>318569.91086772172</v>
      </c>
      <c r="P207" s="219"/>
      <c r="Q207" s="220"/>
      <c r="R207" s="216"/>
      <c r="S207" s="216"/>
      <c r="T207" s="221"/>
    </row>
    <row r="208" spans="1:20" s="215" customFormat="1" x14ac:dyDescent="0.25">
      <c r="A208" s="310">
        <f>'A) Base RI'!A209</f>
        <v>5730</v>
      </c>
      <c r="B208" s="228" t="str">
        <f>'A) Base RI'!B209</f>
        <v>Trélex</v>
      </c>
      <c r="C208" s="244">
        <v>0</v>
      </c>
      <c r="D208" s="217">
        <f>'B) D RI'!AA209</f>
        <v>1408</v>
      </c>
      <c r="E208" s="218">
        <f>'B) D RI'!S209</f>
        <v>57</v>
      </c>
      <c r="F208" s="10">
        <f>'B) D RI'!R209</f>
        <v>9084953.8971814793</v>
      </c>
      <c r="G208" s="10">
        <f>'B) D RI'!U209</f>
        <v>159385.15609090315</v>
      </c>
      <c r="H208" s="41">
        <f>'B) D RI'!T209</f>
        <v>8664491.19718148</v>
      </c>
      <c r="I208" s="10">
        <f t="shared" si="31"/>
        <v>304017.23498882388</v>
      </c>
      <c r="J208" s="31">
        <f t="shared" si="27"/>
        <v>116644.58442421081</v>
      </c>
      <c r="K208" s="10">
        <f t="shared" si="28"/>
        <v>116644.58442421081</v>
      </c>
      <c r="L208" s="10">
        <f t="shared" si="32"/>
        <v>0</v>
      </c>
      <c r="M208" s="10">
        <f>'D) Ecrêtage'!C207</f>
        <v>159385.15609090315</v>
      </c>
      <c r="N208" s="10">
        <f t="shared" si="29"/>
        <v>211246.28673921473</v>
      </c>
      <c r="O208" s="55">
        <f t="shared" si="30"/>
        <v>327890.87116342556</v>
      </c>
      <c r="P208" s="219"/>
      <c r="Q208" s="220"/>
      <c r="R208" s="216"/>
      <c r="S208" s="216"/>
      <c r="T208" s="221"/>
    </row>
    <row r="209" spans="1:20" s="215" customFormat="1" x14ac:dyDescent="0.25">
      <c r="A209" s="310">
        <f>'A) Base RI'!A210</f>
        <v>5731</v>
      </c>
      <c r="B209" s="228" t="str">
        <f>'A) Base RI'!B210</f>
        <v>Le Vaud</v>
      </c>
      <c r="C209" s="244">
        <v>0</v>
      </c>
      <c r="D209" s="217">
        <f>'B) D RI'!AA210</f>
        <v>1319</v>
      </c>
      <c r="E209" s="218">
        <f>'B) D RI'!S210</f>
        <v>75</v>
      </c>
      <c r="F209" s="10">
        <f>'B) D RI'!R210</f>
        <v>3959031.3522467152</v>
      </c>
      <c r="G209" s="10">
        <f>'B) D RI'!U210</f>
        <v>52787.084696622871</v>
      </c>
      <c r="H209" s="41">
        <f>'B) D RI'!T210</f>
        <v>3702343.0855800486</v>
      </c>
      <c r="I209" s="10">
        <f t="shared" si="31"/>
        <v>98729.148948801303</v>
      </c>
      <c r="J209" s="31">
        <f t="shared" si="27"/>
        <v>109271.45373262362</v>
      </c>
      <c r="K209" s="10">
        <f t="shared" si="28"/>
        <v>98729.148948801303</v>
      </c>
      <c r="L209" s="10">
        <f t="shared" si="32"/>
        <v>10542.304783822314</v>
      </c>
      <c r="M209" s="10">
        <f>'D) Ecrêtage'!C208</f>
        <v>52787.084696622871</v>
      </c>
      <c r="N209" s="10">
        <f t="shared" si="29"/>
        <v>69963.075002982994</v>
      </c>
      <c r="O209" s="55">
        <f t="shared" si="30"/>
        <v>168692.22395178431</v>
      </c>
      <c r="P209" s="219"/>
      <c r="Q209" s="220"/>
      <c r="R209" s="216"/>
      <c r="S209" s="216"/>
      <c r="T209" s="221"/>
    </row>
    <row r="210" spans="1:20" s="215" customFormat="1" x14ac:dyDescent="0.25">
      <c r="A210" s="310">
        <f>'A) Base RI'!A211</f>
        <v>5732</v>
      </c>
      <c r="B210" s="228" t="str">
        <f>'A) Base RI'!B211</f>
        <v>Vich</v>
      </c>
      <c r="C210" s="244">
        <v>0</v>
      </c>
      <c r="D210" s="217">
        <f>'B) D RI'!AA211</f>
        <v>1039</v>
      </c>
      <c r="E210" s="218">
        <f>'B) D RI'!S211</f>
        <v>67</v>
      </c>
      <c r="F210" s="10">
        <f>'B) D RI'!R211</f>
        <v>4266503.7129118526</v>
      </c>
      <c r="G210" s="10">
        <f>'B) D RI'!U211</f>
        <v>63679.159894206758</v>
      </c>
      <c r="H210" s="41">
        <f>'B) D RI'!T211</f>
        <v>3940127.0129118529</v>
      </c>
      <c r="I210" s="10">
        <f t="shared" si="31"/>
        <v>117615.73172871202</v>
      </c>
      <c r="J210" s="31">
        <f t="shared" si="27"/>
        <v>86075.087511899881</v>
      </c>
      <c r="K210" s="10">
        <f t="shared" si="28"/>
        <v>86075.087511899881</v>
      </c>
      <c r="L210" s="10">
        <f t="shared" si="32"/>
        <v>0</v>
      </c>
      <c r="M210" s="10">
        <f>'D) Ecrêtage'!C209</f>
        <v>63679.159894206758</v>
      </c>
      <c r="N210" s="10">
        <f t="shared" si="29"/>
        <v>84399.240181762885</v>
      </c>
      <c r="O210" s="55">
        <f t="shared" si="30"/>
        <v>170474.32769366278</v>
      </c>
      <c r="P210" s="219"/>
      <c r="Q210" s="220"/>
      <c r="R210" s="216"/>
      <c r="S210" s="216"/>
      <c r="T210" s="221"/>
    </row>
    <row r="211" spans="1:20" s="215" customFormat="1" x14ac:dyDescent="0.25">
      <c r="A211" s="310">
        <f>'A) Base RI'!A212</f>
        <v>5741</v>
      </c>
      <c r="B211" s="228" t="str">
        <f>'A) Base RI'!B212</f>
        <v>L'Abergement</v>
      </c>
      <c r="C211" s="244">
        <v>0</v>
      </c>
      <c r="D211" s="217">
        <f>'B) D RI'!AA212</f>
        <v>248</v>
      </c>
      <c r="E211" s="218">
        <f>'B) D RI'!S212</f>
        <v>81</v>
      </c>
      <c r="F211" s="10">
        <f>'B) D RI'!R212</f>
        <v>600846.61753385642</v>
      </c>
      <c r="G211" s="10">
        <f>'B) D RI'!U212</f>
        <v>7417.8594757266228</v>
      </c>
      <c r="H211" s="41">
        <f>'B) D RI'!T212</f>
        <v>563726.36753385642</v>
      </c>
      <c r="I211" s="10">
        <f t="shared" si="31"/>
        <v>13919.169568737196</v>
      </c>
      <c r="J211" s="31">
        <f t="shared" si="27"/>
        <v>20545.352938355314</v>
      </c>
      <c r="K211" s="10">
        <f t="shared" si="28"/>
        <v>13919.169568737196</v>
      </c>
      <c r="L211" s="10">
        <f t="shared" si="32"/>
        <v>6626.1833696181184</v>
      </c>
      <c r="M211" s="10">
        <f>'D) Ecrêtage'!C210</f>
        <v>7417.8594757266228</v>
      </c>
      <c r="N211" s="10">
        <f t="shared" si="29"/>
        <v>9831.5006756766779</v>
      </c>
      <c r="O211" s="55">
        <f t="shared" si="30"/>
        <v>23750.670244413872</v>
      </c>
      <c r="P211" s="219"/>
      <c r="Q211" s="220"/>
      <c r="R211" s="216"/>
      <c r="S211" s="216"/>
      <c r="T211" s="221"/>
    </row>
    <row r="212" spans="1:20" s="215" customFormat="1" x14ac:dyDescent="0.25">
      <c r="A212" s="310">
        <f>'A) Base RI'!A213</f>
        <v>5742</v>
      </c>
      <c r="B212" s="228" t="str">
        <f>'A) Base RI'!B213</f>
        <v>Agiez</v>
      </c>
      <c r="C212" s="244">
        <v>0</v>
      </c>
      <c r="D212" s="217">
        <f>'B) D RI'!AA213</f>
        <v>327</v>
      </c>
      <c r="E212" s="218">
        <f>'B) D RI'!S213</f>
        <v>76</v>
      </c>
      <c r="F212" s="10">
        <f>'B) D RI'!R213</f>
        <v>687361.4311053385</v>
      </c>
      <c r="G212" s="10">
        <f>'B) D RI'!U213</f>
        <v>9044.2293566491917</v>
      </c>
      <c r="H212" s="41">
        <f>'B) D RI'!T213</f>
        <v>636585.63110533846</v>
      </c>
      <c r="I212" s="10">
        <f t="shared" si="31"/>
        <v>16752.253450140484</v>
      </c>
      <c r="J212" s="31">
        <f t="shared" si="27"/>
        <v>27090.041979202368</v>
      </c>
      <c r="K212" s="10">
        <f t="shared" si="28"/>
        <v>16752.253450140484</v>
      </c>
      <c r="L212" s="10">
        <f t="shared" si="32"/>
        <v>10337.788529061883</v>
      </c>
      <c r="M212" s="10">
        <f>'D) Ecrêtage'!C211</f>
        <v>9044.2293566491917</v>
      </c>
      <c r="N212" s="10">
        <f t="shared" si="29"/>
        <v>11987.062753323633</v>
      </c>
      <c r="O212" s="55">
        <f t="shared" si="30"/>
        <v>28739.316203464117</v>
      </c>
      <c r="P212" s="219"/>
      <c r="Q212" s="220"/>
      <c r="R212" s="216"/>
      <c r="S212" s="216"/>
      <c r="T212" s="221"/>
    </row>
    <row r="213" spans="1:20" s="215" customFormat="1" x14ac:dyDescent="0.25">
      <c r="A213" s="310">
        <f>'A) Base RI'!A214</f>
        <v>5743</v>
      </c>
      <c r="B213" s="228" t="str">
        <f>'A) Base RI'!B214</f>
        <v>Arnex-sur-Orbe</v>
      </c>
      <c r="C213" s="244">
        <v>0</v>
      </c>
      <c r="D213" s="217">
        <f>'B) D RI'!AA214</f>
        <v>631</v>
      </c>
      <c r="E213" s="218">
        <f>'B) D RI'!S214</f>
        <v>73</v>
      </c>
      <c r="F213" s="10">
        <f>'B) D RI'!R214</f>
        <v>1341745.427851524</v>
      </c>
      <c r="G213" s="10">
        <f>'B) D RI'!U214</f>
        <v>18380.074354130466</v>
      </c>
      <c r="H213" s="41">
        <f>'B) D RI'!T214</f>
        <v>1258010.490351524</v>
      </c>
      <c r="I213" s="10">
        <f t="shared" si="31"/>
        <v>34466.040831548598</v>
      </c>
      <c r="J213" s="31">
        <f t="shared" si="27"/>
        <v>52274.66816170243</v>
      </c>
      <c r="K213" s="10">
        <f t="shared" si="28"/>
        <v>34466.040831548598</v>
      </c>
      <c r="L213" s="10">
        <f t="shared" si="32"/>
        <v>17808.627330153831</v>
      </c>
      <c r="M213" s="10">
        <f>'D) Ecrêtage'!C212</f>
        <v>18380.074354130466</v>
      </c>
      <c r="N213" s="10">
        <f t="shared" si="29"/>
        <v>24360.627755612782</v>
      </c>
      <c r="O213" s="55">
        <f t="shared" si="30"/>
        <v>58826.668587161381</v>
      </c>
      <c r="P213" s="219"/>
      <c r="Q213" s="220"/>
      <c r="R213" s="216"/>
      <c r="S213" s="216"/>
      <c r="T213" s="221"/>
    </row>
    <row r="214" spans="1:20" s="215" customFormat="1" x14ac:dyDescent="0.25">
      <c r="A214" s="310">
        <f>'A) Base RI'!A215</f>
        <v>5744</v>
      </c>
      <c r="B214" s="228" t="str">
        <f>'A) Base RI'!B215</f>
        <v>Ballaigues</v>
      </c>
      <c r="C214" s="244">
        <v>0</v>
      </c>
      <c r="D214" s="217">
        <f>'B) D RI'!AA215</f>
        <v>1075</v>
      </c>
      <c r="E214" s="218">
        <f>'B) D RI'!S215</f>
        <v>66</v>
      </c>
      <c r="F214" s="10">
        <f>'B) D RI'!R215</f>
        <v>2419861.9500608724</v>
      </c>
      <c r="G214" s="10">
        <f>'B) D RI'!U215</f>
        <v>36664.575000922312</v>
      </c>
      <c r="H214" s="41">
        <f>'B) D RI'!T215</f>
        <v>2244752.0500608725</v>
      </c>
      <c r="I214" s="10">
        <f t="shared" si="31"/>
        <v>68022.789395784013</v>
      </c>
      <c r="J214" s="31">
        <f t="shared" si="27"/>
        <v>89057.47745456436</v>
      </c>
      <c r="K214" s="10">
        <f t="shared" si="28"/>
        <v>68022.789395784013</v>
      </c>
      <c r="L214" s="10">
        <f t="shared" si="32"/>
        <v>21034.688058780346</v>
      </c>
      <c r="M214" s="10">
        <f>'D) Ecrêtage'!C213</f>
        <v>36664.575000922312</v>
      </c>
      <c r="N214" s="10">
        <f t="shared" si="29"/>
        <v>48594.583797997337</v>
      </c>
      <c r="O214" s="55">
        <f t="shared" si="30"/>
        <v>116617.37319378136</v>
      </c>
      <c r="P214" s="219"/>
      <c r="Q214" s="220"/>
      <c r="R214" s="216"/>
      <c r="S214" s="216"/>
      <c r="T214" s="221"/>
    </row>
    <row r="215" spans="1:20" s="215" customFormat="1" x14ac:dyDescent="0.25">
      <c r="A215" s="310">
        <f>'A) Base RI'!A216</f>
        <v>5745</v>
      </c>
      <c r="B215" s="228" t="str">
        <f>'A) Base RI'!B216</f>
        <v>Baulmes</v>
      </c>
      <c r="C215" s="244">
        <v>0</v>
      </c>
      <c r="D215" s="217">
        <f>'B) D RI'!AA216</f>
        <v>1027</v>
      </c>
      <c r="E215" s="218">
        <f>'B) D RI'!S216</f>
        <v>78</v>
      </c>
      <c r="F215" s="10">
        <f>'B) D RI'!R216</f>
        <v>2064107.7096060535</v>
      </c>
      <c r="G215" s="10">
        <f>'B) D RI'!U216</f>
        <v>26462.919353923764</v>
      </c>
      <c r="H215" s="41">
        <f>'B) D RI'!T216</f>
        <v>1939683.1096060534</v>
      </c>
      <c r="I215" s="10">
        <f t="shared" si="31"/>
        <v>49735.464348873167</v>
      </c>
      <c r="J215" s="31">
        <f t="shared" si="27"/>
        <v>85080.957531011722</v>
      </c>
      <c r="K215" s="10">
        <f t="shared" si="28"/>
        <v>49735.464348873167</v>
      </c>
      <c r="L215" s="10">
        <f t="shared" si="32"/>
        <v>35345.493182138554</v>
      </c>
      <c r="M215" s="10">
        <f>'D) Ecrêtage'!C214</f>
        <v>26462.919353923764</v>
      </c>
      <c r="N215" s="10">
        <f t="shared" si="29"/>
        <v>35073.488566321721</v>
      </c>
      <c r="O215" s="55">
        <f t="shared" si="30"/>
        <v>84808.952915194881</v>
      </c>
      <c r="P215" s="219"/>
      <c r="Q215" s="220"/>
      <c r="R215" s="216"/>
      <c r="S215" s="216"/>
      <c r="T215" s="221"/>
    </row>
    <row r="216" spans="1:20" s="215" customFormat="1" x14ac:dyDescent="0.25">
      <c r="A216" s="310">
        <f>'A) Base RI'!A217</f>
        <v>5746</v>
      </c>
      <c r="B216" s="228" t="str">
        <f>'A) Base RI'!B217</f>
        <v>Bavois</v>
      </c>
      <c r="C216" s="244">
        <v>0</v>
      </c>
      <c r="D216" s="217">
        <f>'B) D RI'!AA217</f>
        <v>942</v>
      </c>
      <c r="E216" s="218">
        <f>'B) D RI'!S217</f>
        <v>73</v>
      </c>
      <c r="F216" s="10">
        <f>'B) D RI'!R217</f>
        <v>1938439.2886723639</v>
      </c>
      <c r="G216" s="10">
        <f>'B) D RI'!U217</f>
        <v>26553.96285852553</v>
      </c>
      <c r="H216" s="41">
        <f>'B) D RI'!T217</f>
        <v>1768174.8720056971</v>
      </c>
      <c r="I216" s="10">
        <f t="shared" si="31"/>
        <v>48443.14717823828</v>
      </c>
      <c r="J216" s="31">
        <f t="shared" si="27"/>
        <v>78039.203499720592</v>
      </c>
      <c r="K216" s="10">
        <f t="shared" si="28"/>
        <v>48443.14717823828</v>
      </c>
      <c r="L216" s="10">
        <f t="shared" si="32"/>
        <v>29596.056321482312</v>
      </c>
      <c r="M216" s="10">
        <f>'D) Ecrêtage'!C215</f>
        <v>26553.96285852553</v>
      </c>
      <c r="N216" s="10">
        <f t="shared" si="29"/>
        <v>35194.156028402562</v>
      </c>
      <c r="O216" s="55">
        <f t="shared" si="30"/>
        <v>83637.303206640849</v>
      </c>
      <c r="P216" s="219"/>
      <c r="Q216" s="220"/>
      <c r="R216" s="216"/>
      <c r="S216" s="216"/>
      <c r="T216" s="221"/>
    </row>
    <row r="217" spans="1:20" s="215" customFormat="1" x14ac:dyDescent="0.25">
      <c r="A217" s="310">
        <f>'A) Base RI'!A218</f>
        <v>5747</v>
      </c>
      <c r="B217" s="228" t="str">
        <f>'A) Base RI'!B218</f>
        <v>Bofflens</v>
      </c>
      <c r="C217" s="244">
        <v>0</v>
      </c>
      <c r="D217" s="217">
        <f>'B) D RI'!AA218</f>
        <v>196</v>
      </c>
      <c r="E217" s="218">
        <f>'B) D RI'!S218</f>
        <v>69</v>
      </c>
      <c r="F217" s="10">
        <f>'B) D RI'!R218</f>
        <v>343339.46982694644</v>
      </c>
      <c r="G217" s="10">
        <f>'B) D RI'!U218</f>
        <v>4975.9343453180645</v>
      </c>
      <c r="H217" s="41">
        <f>'B) D RI'!T218</f>
        <v>314342.71982694644</v>
      </c>
      <c r="I217" s="10">
        <f t="shared" si="31"/>
        <v>9111.3831833897511</v>
      </c>
      <c r="J217" s="31">
        <f t="shared" si="27"/>
        <v>16237.456354506619</v>
      </c>
      <c r="K217" s="10">
        <f t="shared" si="28"/>
        <v>9111.3831833897511</v>
      </c>
      <c r="L217" s="10">
        <f t="shared" si="32"/>
        <v>7126.0731711168683</v>
      </c>
      <c r="M217" s="10">
        <f>'D) Ecrêtage'!C216</f>
        <v>4975.9343453180645</v>
      </c>
      <c r="N217" s="10">
        <f t="shared" si="29"/>
        <v>6595.0159932525885</v>
      </c>
      <c r="O217" s="55">
        <f t="shared" si="30"/>
        <v>15706.399176642339</v>
      </c>
      <c r="P217" s="219"/>
      <c r="Q217" s="220"/>
      <c r="R217" s="216"/>
      <c r="S217" s="216"/>
      <c r="T217" s="221"/>
    </row>
    <row r="218" spans="1:20" s="215" customFormat="1" x14ac:dyDescent="0.25">
      <c r="A218" s="310">
        <f>'A) Base RI'!A219</f>
        <v>5748</v>
      </c>
      <c r="B218" s="228" t="str">
        <f>'A) Base RI'!B219</f>
        <v>Bretonnières</v>
      </c>
      <c r="C218" s="244">
        <v>0</v>
      </c>
      <c r="D218" s="217">
        <f>'B) D RI'!AA219</f>
        <v>265</v>
      </c>
      <c r="E218" s="218">
        <f>'B) D RI'!S219</f>
        <v>72</v>
      </c>
      <c r="F218" s="10">
        <f>'B) D RI'!R219</f>
        <v>399446.47944159748</v>
      </c>
      <c r="G218" s="10">
        <f>'B) D RI'!U219</f>
        <v>5547.867770022187</v>
      </c>
      <c r="H218" s="41">
        <f>'B) D RI'!T219</f>
        <v>361613.56277493079</v>
      </c>
      <c r="I218" s="10">
        <f t="shared" si="31"/>
        <v>10044.821188192522</v>
      </c>
      <c r="J218" s="31">
        <f t="shared" si="27"/>
        <v>21953.70374461354</v>
      </c>
      <c r="K218" s="10">
        <f t="shared" si="28"/>
        <v>10044.821188192522</v>
      </c>
      <c r="L218" s="10">
        <f t="shared" si="32"/>
        <v>11908.882556421018</v>
      </c>
      <c r="M218" s="10">
        <f>'D) Ecrêtage'!C217</f>
        <v>5547.867770022187</v>
      </c>
      <c r="N218" s="10">
        <f t="shared" si="29"/>
        <v>7353.0465099832736</v>
      </c>
      <c r="O218" s="55">
        <f t="shared" si="30"/>
        <v>17397.867698175796</v>
      </c>
      <c r="P218" s="219"/>
      <c r="Q218" s="220"/>
      <c r="R218" s="216"/>
      <c r="S218" s="216"/>
      <c r="T218" s="221"/>
    </row>
    <row r="219" spans="1:20" s="215" customFormat="1" x14ac:dyDescent="0.25">
      <c r="A219" s="310">
        <f>'A) Base RI'!A220</f>
        <v>5749</v>
      </c>
      <c r="B219" s="228" t="str">
        <f>'A) Base RI'!B220</f>
        <v>Chavornay</v>
      </c>
      <c r="C219" s="244">
        <v>0</v>
      </c>
      <c r="D219" s="217">
        <f>'B) D RI'!AA220</f>
        <v>4996</v>
      </c>
      <c r="E219" s="218">
        <f>'B) D RI'!S220</f>
        <v>72</v>
      </c>
      <c r="F219" s="10">
        <f>'B) D RI'!R220</f>
        <v>9843324.8425631095</v>
      </c>
      <c r="G219" s="10">
        <f>'B) D RI'!U220</f>
        <v>136712.84503559873</v>
      </c>
      <c r="H219" s="41">
        <f>'B) D RI'!T220</f>
        <v>9003303.4425631091</v>
      </c>
      <c r="I219" s="10">
        <f t="shared" ref="I219" si="33">+H219/E219*$I$5</f>
        <v>250091.76229341968</v>
      </c>
      <c r="J219" s="31">
        <f t="shared" ref="J219" si="34">+$I$315/$D$315*D219</f>
        <v>413889.44870977075</v>
      </c>
      <c r="K219" s="10">
        <f t="shared" ref="K219" si="35">IF(C219=1,0,IF(J219&gt;I219,I219,J219))</f>
        <v>250091.76229341968</v>
      </c>
      <c r="L219" s="10">
        <f t="shared" ref="L219" si="36">+J219-K219</f>
        <v>163797.68641635106</v>
      </c>
      <c r="M219" s="10">
        <f>'D) Ecrêtage'!C218</f>
        <v>136712.84503559873</v>
      </c>
      <c r="N219" s="10">
        <f t="shared" ref="N219" si="37">+$N$5*M219</f>
        <v>181196.80384070746</v>
      </c>
      <c r="O219" s="55">
        <f t="shared" ref="O219" si="38">+N219+K219</f>
        <v>431288.56613412715</v>
      </c>
      <c r="P219" s="219"/>
      <c r="Q219" s="220"/>
      <c r="R219" s="216"/>
      <c r="S219" s="216"/>
      <c r="T219" s="221"/>
    </row>
    <row r="220" spans="1:20" s="215" customFormat="1" x14ac:dyDescent="0.25">
      <c r="A220" s="310">
        <f>'A) Base RI'!A221</f>
        <v>5750</v>
      </c>
      <c r="B220" s="228" t="str">
        <f>'A) Base RI'!B221</f>
        <v>Les Clées</v>
      </c>
      <c r="C220" s="244">
        <v>0</v>
      </c>
      <c r="D220" s="217">
        <f>'B) D RI'!AA221</f>
        <v>185</v>
      </c>
      <c r="E220" s="218">
        <f>'B) D RI'!S221</f>
        <v>80</v>
      </c>
      <c r="F220" s="10">
        <f>'B) D RI'!R221</f>
        <v>412909.01822429913</v>
      </c>
      <c r="G220" s="10">
        <f>'B) D RI'!U221</f>
        <v>5161.3627278037393</v>
      </c>
      <c r="H220" s="41">
        <f>'B) D RI'!T221</f>
        <v>389180.11822429911</v>
      </c>
      <c r="I220" s="10">
        <f t="shared" si="31"/>
        <v>9729.5029556074769</v>
      </c>
      <c r="J220" s="31">
        <f t="shared" ref="J220:J243" si="39">+$I$315/$D$315*D220</f>
        <v>15326.170538692471</v>
      </c>
      <c r="K220" s="10">
        <f t="shared" si="28"/>
        <v>9729.5029556074769</v>
      </c>
      <c r="L220" s="10">
        <f t="shared" si="32"/>
        <v>5596.6675830849945</v>
      </c>
      <c r="M220" s="10">
        <f>'D) Ecrêtage'!C219</f>
        <v>5161.3627278037393</v>
      </c>
      <c r="N220" s="10">
        <f t="shared" si="29"/>
        <v>6840.77951488077</v>
      </c>
      <c r="O220" s="55">
        <f t="shared" si="30"/>
        <v>16570.282470488248</v>
      </c>
      <c r="P220" s="219"/>
      <c r="Q220" s="220"/>
      <c r="R220" s="216"/>
      <c r="S220" s="216"/>
      <c r="T220" s="221"/>
    </row>
    <row r="221" spans="1:20" s="215" customFormat="1" x14ac:dyDescent="0.25">
      <c r="A221" s="310">
        <f>'A) Base RI'!A222</f>
        <v>5752</v>
      </c>
      <c r="B221" s="228" t="str">
        <f>'A) Base RI'!B222</f>
        <v>Croy</v>
      </c>
      <c r="C221" s="244">
        <v>0</v>
      </c>
      <c r="D221" s="217">
        <f>'B) D RI'!AA222</f>
        <v>404</v>
      </c>
      <c r="E221" s="218">
        <f>'B) D RI'!S222</f>
        <v>74</v>
      </c>
      <c r="F221" s="10">
        <f>'B) D RI'!R222</f>
        <v>796029.72412248678</v>
      </c>
      <c r="G221" s="10">
        <f>'B) D RI'!U222</f>
        <v>10757.15843408766</v>
      </c>
      <c r="H221" s="41">
        <f>'B) D RI'!T222</f>
        <v>742033.85269391525</v>
      </c>
      <c r="I221" s="10">
        <f t="shared" si="31"/>
        <v>20054.968991727441</v>
      </c>
      <c r="J221" s="31">
        <f t="shared" si="39"/>
        <v>33469.042689901398</v>
      </c>
      <c r="K221" s="10">
        <f t="shared" si="28"/>
        <v>20054.968991727441</v>
      </c>
      <c r="L221" s="10">
        <f t="shared" si="32"/>
        <v>13414.073698173957</v>
      </c>
      <c r="M221" s="10">
        <f>'D) Ecrêtage'!C220</f>
        <v>10757.15843408766</v>
      </c>
      <c r="N221" s="10">
        <f t="shared" si="29"/>
        <v>14257.348869868445</v>
      </c>
      <c r="O221" s="55">
        <f t="shared" si="30"/>
        <v>34312.31786159589</v>
      </c>
      <c r="P221" s="219"/>
      <c r="Q221" s="220"/>
      <c r="R221" s="216"/>
      <c r="S221" s="216"/>
      <c r="T221" s="221"/>
    </row>
    <row r="222" spans="1:20" s="215" customFormat="1" x14ac:dyDescent="0.25">
      <c r="A222" s="310">
        <f>'A) Base RI'!A223</f>
        <v>5754</v>
      </c>
      <c r="B222" s="228" t="str">
        <f>'A) Base RI'!B223</f>
        <v>Juriens</v>
      </c>
      <c r="C222" s="244">
        <v>0</v>
      </c>
      <c r="D222" s="217">
        <f>'B) D RI'!AA223</f>
        <v>308</v>
      </c>
      <c r="E222" s="218">
        <f>'B) D RI'!S223</f>
        <v>79</v>
      </c>
      <c r="F222" s="10">
        <f>'B) D RI'!R223</f>
        <v>635452.03911625408</v>
      </c>
      <c r="G222" s="10">
        <f>'B) D RI'!U223</f>
        <v>8043.6966976741023</v>
      </c>
      <c r="H222" s="41">
        <f>'B) D RI'!T223</f>
        <v>596166.9391162541</v>
      </c>
      <c r="I222" s="10">
        <f t="shared" si="31"/>
        <v>15092.833901677319</v>
      </c>
      <c r="J222" s="31">
        <f t="shared" si="39"/>
        <v>25516.002842796115</v>
      </c>
      <c r="K222" s="10">
        <f t="shared" si="28"/>
        <v>15092.833901677319</v>
      </c>
      <c r="L222" s="10">
        <f t="shared" si="32"/>
        <v>10423.168941118796</v>
      </c>
      <c r="M222" s="10">
        <f>'D) Ecrêtage'!C221</f>
        <v>8043.6966976741023</v>
      </c>
      <c r="N222" s="10">
        <f t="shared" si="29"/>
        <v>10660.97433860793</v>
      </c>
      <c r="O222" s="55">
        <f t="shared" si="30"/>
        <v>25753.808240285249</v>
      </c>
      <c r="P222" s="219"/>
      <c r="Q222" s="220"/>
      <c r="R222" s="216"/>
      <c r="S222" s="216"/>
      <c r="T222" s="221"/>
    </row>
    <row r="223" spans="1:20" s="215" customFormat="1" x14ac:dyDescent="0.25">
      <c r="A223" s="310">
        <f>'A) Base RI'!A224</f>
        <v>5755</v>
      </c>
      <c r="B223" s="228" t="str">
        <f>'A) Base RI'!B224</f>
        <v>Lignerolle</v>
      </c>
      <c r="C223" s="244">
        <v>0</v>
      </c>
      <c r="D223" s="217">
        <f>'B) D RI'!AA224</f>
        <v>422</v>
      </c>
      <c r="E223" s="218">
        <f>'B) D RI'!S224</f>
        <v>80</v>
      </c>
      <c r="F223" s="10">
        <f>'B) D RI'!R224</f>
        <v>761214.03201996104</v>
      </c>
      <c r="G223" s="10">
        <f>'B) D RI'!U224</f>
        <v>9515.1754002495127</v>
      </c>
      <c r="H223" s="41">
        <f>'B) D RI'!T224</f>
        <v>701368.28916281823</v>
      </c>
      <c r="I223" s="10">
        <f t="shared" si="31"/>
        <v>17534.207229070456</v>
      </c>
      <c r="J223" s="31">
        <f t="shared" si="39"/>
        <v>34960.237661233637</v>
      </c>
      <c r="K223" s="10">
        <f t="shared" si="28"/>
        <v>17534.207229070456</v>
      </c>
      <c r="L223" s="10">
        <f t="shared" si="32"/>
        <v>17426.030432163181</v>
      </c>
      <c r="M223" s="10">
        <f>'D) Ecrêtage'!C222</f>
        <v>9515.1754002495127</v>
      </c>
      <c r="N223" s="10">
        <f t="shared" si="29"/>
        <v>12611.246368693386</v>
      </c>
      <c r="O223" s="55">
        <f t="shared" si="30"/>
        <v>30145.453597763844</v>
      </c>
      <c r="P223" s="219"/>
      <c r="Q223" s="220"/>
      <c r="R223" s="216"/>
      <c r="S223" s="216"/>
      <c r="T223" s="221"/>
    </row>
    <row r="224" spans="1:20" s="215" customFormat="1" x14ac:dyDescent="0.25">
      <c r="A224" s="310">
        <f>'A) Base RI'!A225</f>
        <v>5756</v>
      </c>
      <c r="B224" s="228" t="str">
        <f>'A) Base RI'!B225</f>
        <v>Montcherand</v>
      </c>
      <c r="C224" s="244">
        <v>1</v>
      </c>
      <c r="D224" s="217">
        <f>'B) D RI'!AA225</f>
        <v>489</v>
      </c>
      <c r="E224" s="218">
        <f>'B) D RI'!S225</f>
        <v>72</v>
      </c>
      <c r="F224" s="10">
        <f>'B) D RI'!R225</f>
        <v>1185770.5555770495</v>
      </c>
      <c r="G224" s="10">
        <f>'B) D RI'!U225</f>
        <v>16469.035494125688</v>
      </c>
      <c r="H224" s="41">
        <f>'B) D RI'!T225</f>
        <v>1103548.0555770495</v>
      </c>
      <c r="I224" s="10">
        <f t="shared" si="31"/>
        <v>30654.112654918041</v>
      </c>
      <c r="J224" s="31">
        <f t="shared" si="39"/>
        <v>40510.796721192535</v>
      </c>
      <c r="K224" s="10">
        <f t="shared" si="28"/>
        <v>0</v>
      </c>
      <c r="L224" s="10">
        <f t="shared" si="32"/>
        <v>40510.796721192535</v>
      </c>
      <c r="M224" s="10">
        <f>'D) Ecrêtage'!C223</f>
        <v>16469.035494125688</v>
      </c>
      <c r="N224" s="10">
        <f t="shared" si="29"/>
        <v>21827.770412485381</v>
      </c>
      <c r="O224" s="55">
        <f t="shared" si="30"/>
        <v>21827.770412485381</v>
      </c>
      <c r="P224" s="219"/>
      <c r="Q224" s="220"/>
      <c r="R224" s="216"/>
      <c r="S224" s="216"/>
      <c r="T224" s="221"/>
    </row>
    <row r="225" spans="1:20" s="215" customFormat="1" x14ac:dyDescent="0.25">
      <c r="A225" s="310">
        <f>'A) Base RI'!A226</f>
        <v>5757</v>
      </c>
      <c r="B225" s="228" t="str">
        <f>'A) Base RI'!B226</f>
        <v>Orbe</v>
      </c>
      <c r="C225" s="244">
        <v>1</v>
      </c>
      <c r="D225" s="217">
        <f>'B) D RI'!AA226</f>
        <v>6942</v>
      </c>
      <c r="E225" s="218">
        <f>'B) D RI'!S226</f>
        <v>77</v>
      </c>
      <c r="F225" s="10">
        <f>'B) D RI'!R226</f>
        <v>15773593.777155943</v>
      </c>
      <c r="G225" s="10">
        <f>'B) D RI'!U226</f>
        <v>204851.86723579146</v>
      </c>
      <c r="H225" s="41">
        <f>'B) D RI'!T226</f>
        <v>14403745.727155942</v>
      </c>
      <c r="I225" s="10">
        <f t="shared" si="31"/>
        <v>374123.26564041409</v>
      </c>
      <c r="J225" s="31">
        <f t="shared" si="39"/>
        <v>575104.19394380075</v>
      </c>
      <c r="K225" s="10">
        <f t="shared" si="28"/>
        <v>0</v>
      </c>
      <c r="L225" s="10">
        <f t="shared" si="32"/>
        <v>575104.19394380075</v>
      </c>
      <c r="M225" s="10">
        <f>'D) Ecrêtage'!C224</f>
        <v>204851.86723579146</v>
      </c>
      <c r="N225" s="10">
        <f t="shared" si="29"/>
        <v>271507.06719811913</v>
      </c>
      <c r="O225" s="55">
        <f t="shared" si="30"/>
        <v>271507.06719811913</v>
      </c>
      <c r="P225" s="219"/>
      <c r="Q225" s="220"/>
      <c r="R225" s="216"/>
      <c r="S225" s="216"/>
      <c r="T225" s="221"/>
    </row>
    <row r="226" spans="1:20" s="215" customFormat="1" x14ac:dyDescent="0.25">
      <c r="A226" s="310">
        <f>'A) Base RI'!A227</f>
        <v>5758</v>
      </c>
      <c r="B226" s="228" t="str">
        <f>'A) Base RI'!B227</f>
        <v>La Praz</v>
      </c>
      <c r="C226" s="244">
        <v>0</v>
      </c>
      <c r="D226" s="217">
        <f>'B) D RI'!AA227</f>
        <v>165</v>
      </c>
      <c r="E226" s="218">
        <f>'B) D RI'!S227</f>
        <v>83</v>
      </c>
      <c r="F226" s="10">
        <f>'B) D RI'!R227</f>
        <v>369529.38559333218</v>
      </c>
      <c r="G226" s="10">
        <f>'B) D RI'!U227</f>
        <v>4452.1612722088212</v>
      </c>
      <c r="H226" s="41">
        <f>'B) D RI'!T227</f>
        <v>344810.05225999886</v>
      </c>
      <c r="I226" s="10">
        <f t="shared" si="31"/>
        <v>8308.675958072261</v>
      </c>
      <c r="J226" s="31">
        <f t="shared" si="39"/>
        <v>13669.287237212204</v>
      </c>
      <c r="K226" s="10">
        <f t="shared" si="28"/>
        <v>8308.675958072261</v>
      </c>
      <c r="L226" s="10">
        <f t="shared" si="32"/>
        <v>5360.6112791399428</v>
      </c>
      <c r="M226" s="10">
        <f>'D) Ecrêtage'!C225</f>
        <v>4452.1612722088212</v>
      </c>
      <c r="N226" s="10">
        <f t="shared" si="29"/>
        <v>5900.816360727149</v>
      </c>
      <c r="O226" s="55">
        <f t="shared" si="30"/>
        <v>14209.49231879941</v>
      </c>
      <c r="P226" s="219"/>
      <c r="Q226" s="220"/>
      <c r="R226" s="216"/>
      <c r="S226" s="216"/>
      <c r="T226" s="221"/>
    </row>
    <row r="227" spans="1:20" s="215" customFormat="1" x14ac:dyDescent="0.25">
      <c r="A227" s="310">
        <f>'A) Base RI'!A228</f>
        <v>5759</v>
      </c>
      <c r="B227" s="228" t="str">
        <f>'A) Base RI'!B228</f>
        <v>Premier</v>
      </c>
      <c r="C227" s="244">
        <v>0</v>
      </c>
      <c r="D227" s="217">
        <f>'B) D RI'!AA228</f>
        <v>213</v>
      </c>
      <c r="E227" s="218">
        <f>'B) D RI'!S228</f>
        <v>81</v>
      </c>
      <c r="F227" s="10">
        <f>'B) D RI'!R228</f>
        <v>384336.87195596885</v>
      </c>
      <c r="G227" s="10">
        <f>'B) D RI'!U228</f>
        <v>4744.8996537773928</v>
      </c>
      <c r="H227" s="41">
        <f>'B) D RI'!T228</f>
        <v>357423.42195596884</v>
      </c>
      <c r="I227" s="10">
        <f t="shared" si="31"/>
        <v>8825.2696779251564</v>
      </c>
      <c r="J227" s="31">
        <f t="shared" si="39"/>
        <v>17645.807160764845</v>
      </c>
      <c r="K227" s="10">
        <f t="shared" si="28"/>
        <v>8825.2696779251564</v>
      </c>
      <c r="L227" s="10">
        <f t="shared" si="32"/>
        <v>8820.5374828396889</v>
      </c>
      <c r="M227" s="10">
        <f>'D) Ecrêtage'!C226</f>
        <v>4744.8996537773928</v>
      </c>
      <c r="N227" s="10">
        <f t="shared" si="29"/>
        <v>6288.8066705470828</v>
      </c>
      <c r="O227" s="55">
        <f t="shared" si="30"/>
        <v>15114.076348472239</v>
      </c>
      <c r="P227" s="219"/>
      <c r="Q227" s="220"/>
      <c r="R227" s="216"/>
      <c r="S227" s="216"/>
      <c r="T227" s="221"/>
    </row>
    <row r="228" spans="1:20" s="215" customFormat="1" x14ac:dyDescent="0.25">
      <c r="A228" s="310">
        <f>'A) Base RI'!A229</f>
        <v>5760</v>
      </c>
      <c r="B228" s="228" t="str">
        <f>'A) Base RI'!B229</f>
        <v>Rances</v>
      </c>
      <c r="C228" s="244">
        <v>0</v>
      </c>
      <c r="D228" s="217">
        <f>'B) D RI'!AA229</f>
        <v>482</v>
      </c>
      <c r="E228" s="218">
        <f>'B) D RI'!S229</f>
        <v>78</v>
      </c>
      <c r="F228" s="10">
        <f>'B) D RI'!R229</f>
        <v>890856.69094095961</v>
      </c>
      <c r="G228" s="10">
        <f>'B) D RI'!U229</f>
        <v>11421.2396274482</v>
      </c>
      <c r="H228" s="41">
        <f>'B) D RI'!T229</f>
        <v>821204.92427429301</v>
      </c>
      <c r="I228" s="10">
        <f t="shared" si="31"/>
        <v>21056.536519853667</v>
      </c>
      <c r="J228" s="31">
        <f t="shared" si="39"/>
        <v>39930.887565674442</v>
      </c>
      <c r="K228" s="10">
        <f t="shared" si="28"/>
        <v>21056.536519853667</v>
      </c>
      <c r="L228" s="10">
        <f t="shared" si="32"/>
        <v>18874.351045820775</v>
      </c>
      <c r="M228" s="10">
        <f>'D) Ecrêtage'!C227</f>
        <v>11421.2396274482</v>
      </c>
      <c r="N228" s="10">
        <f t="shared" si="29"/>
        <v>15137.51042086477</v>
      </c>
      <c r="O228" s="55">
        <f t="shared" si="30"/>
        <v>36194.046940718436</v>
      </c>
      <c r="P228" s="219"/>
      <c r="Q228" s="220"/>
      <c r="R228" s="216"/>
      <c r="S228" s="216"/>
      <c r="T228" s="221"/>
    </row>
    <row r="229" spans="1:20" s="215" customFormat="1" x14ac:dyDescent="0.25">
      <c r="A229" s="310">
        <f>'A) Base RI'!A230</f>
        <v>5761</v>
      </c>
      <c r="B229" s="228" t="str">
        <f>'A) Base RI'!B230</f>
        <v>Romainmôtier-Envy</v>
      </c>
      <c r="C229" s="244">
        <v>0</v>
      </c>
      <c r="D229" s="217">
        <f>'B) D RI'!AA230</f>
        <v>540</v>
      </c>
      <c r="E229" s="218">
        <f>'B) D RI'!S230</f>
        <v>81</v>
      </c>
      <c r="F229" s="10">
        <f>'B) D RI'!R230</f>
        <v>1178339.086967519</v>
      </c>
      <c r="G229" s="10">
        <f>'B) D RI'!U230</f>
        <v>14547.39613540147</v>
      </c>
      <c r="H229" s="41">
        <f>'B) D RI'!T230</f>
        <v>1104166.9006038825</v>
      </c>
      <c r="I229" s="10">
        <f t="shared" si="31"/>
        <v>27263.380261824259</v>
      </c>
      <c r="J229" s="31">
        <f t="shared" si="39"/>
        <v>44735.849139967213</v>
      </c>
      <c r="K229" s="10">
        <f t="shared" si="28"/>
        <v>27263.380261824259</v>
      </c>
      <c r="L229" s="10">
        <f t="shared" si="32"/>
        <v>17472.468878142954</v>
      </c>
      <c r="M229" s="10">
        <f>'D) Ecrêtage'!C228</f>
        <v>14547.39613540147</v>
      </c>
      <c r="N229" s="10">
        <f t="shared" si="29"/>
        <v>19280.863354522626</v>
      </c>
      <c r="O229" s="55">
        <f t="shared" si="30"/>
        <v>46544.243616346881</v>
      </c>
      <c r="P229" s="219"/>
      <c r="Q229" s="220"/>
      <c r="R229" s="216"/>
      <c r="S229" s="216"/>
      <c r="T229" s="221"/>
    </row>
    <row r="230" spans="1:20" s="215" customFormat="1" x14ac:dyDescent="0.25">
      <c r="A230" s="310">
        <f>'A) Base RI'!A231</f>
        <v>5762</v>
      </c>
      <c r="B230" s="228" t="str">
        <f>'A) Base RI'!B231</f>
        <v>Sergey</v>
      </c>
      <c r="C230" s="244">
        <v>0</v>
      </c>
      <c r="D230" s="217">
        <f>'B) D RI'!AA231</f>
        <v>146</v>
      </c>
      <c r="E230" s="218">
        <f>'B) D RI'!S231</f>
        <v>78</v>
      </c>
      <c r="F230" s="10">
        <f>'B) D RI'!R231</f>
        <v>293570.88677455991</v>
      </c>
      <c r="G230" s="10">
        <f>'B) D RI'!U231</f>
        <v>3763.729317622563</v>
      </c>
      <c r="H230" s="41">
        <f>'B) D RI'!T231</f>
        <v>273667.28677455994</v>
      </c>
      <c r="I230" s="10">
        <f t="shared" si="31"/>
        <v>7017.1099172964086</v>
      </c>
      <c r="J230" s="31">
        <f t="shared" si="39"/>
        <v>12095.248100805951</v>
      </c>
      <c r="K230" s="10">
        <f t="shared" si="28"/>
        <v>7017.1099172964086</v>
      </c>
      <c r="L230" s="10">
        <f t="shared" si="32"/>
        <v>5078.1381835095426</v>
      </c>
      <c r="M230" s="10">
        <f>'D) Ecrêtage'!C229</f>
        <v>3763.729317622563</v>
      </c>
      <c r="N230" s="10">
        <f t="shared" si="29"/>
        <v>4988.3807384536194</v>
      </c>
      <c r="O230" s="55">
        <f t="shared" si="30"/>
        <v>12005.490655750029</v>
      </c>
      <c r="P230" s="219"/>
      <c r="Q230" s="220"/>
      <c r="R230" s="216"/>
      <c r="S230" s="216"/>
      <c r="T230" s="221"/>
    </row>
    <row r="231" spans="1:20" s="215" customFormat="1" x14ac:dyDescent="0.25">
      <c r="A231" s="310">
        <f>'A) Base RI'!A232</f>
        <v>5763</v>
      </c>
      <c r="B231" s="228" t="str">
        <f>'A) Base RI'!B232</f>
        <v>Valeyres-sous-Rances</v>
      </c>
      <c r="C231" s="244">
        <v>0</v>
      </c>
      <c r="D231" s="217">
        <f>'B) D RI'!AA232</f>
        <v>622</v>
      </c>
      <c r="E231" s="218">
        <f>'B) D RI'!S232</f>
        <v>65</v>
      </c>
      <c r="F231" s="10">
        <f>'B) D RI'!R232</f>
        <v>1359565.7511266526</v>
      </c>
      <c r="G231" s="10">
        <f>'B) D RI'!U232</f>
        <v>20916.396171179269</v>
      </c>
      <c r="H231" s="41">
        <f>'B) D RI'!T232</f>
        <v>1266420.4511266525</v>
      </c>
      <c r="I231" s="10">
        <f t="shared" si="31"/>
        <v>38966.783111589306</v>
      </c>
      <c r="J231" s="31">
        <f t="shared" si="39"/>
        <v>51529.07067603631</v>
      </c>
      <c r="K231" s="10">
        <f t="shared" si="28"/>
        <v>38966.783111589306</v>
      </c>
      <c r="L231" s="10">
        <f t="shared" si="32"/>
        <v>12562.287564447004</v>
      </c>
      <c r="M231" s="10">
        <f>'D) Ecrêtage'!C230</f>
        <v>20916.396171179269</v>
      </c>
      <c r="N231" s="10">
        <f t="shared" si="29"/>
        <v>27722.224148702477</v>
      </c>
      <c r="O231" s="55">
        <f t="shared" si="30"/>
        <v>66689.007260291779</v>
      </c>
      <c r="P231" s="219"/>
      <c r="Q231" s="220"/>
      <c r="R231" s="216"/>
      <c r="S231" s="216"/>
      <c r="T231" s="221"/>
    </row>
    <row r="232" spans="1:20" s="215" customFormat="1" x14ac:dyDescent="0.25">
      <c r="A232" s="310">
        <f>'A) Base RI'!A233</f>
        <v>5764</v>
      </c>
      <c r="B232" s="228" t="str">
        <f>'A) Base RI'!B233</f>
        <v>Vallorbe</v>
      </c>
      <c r="C232" s="244">
        <v>0</v>
      </c>
      <c r="D232" s="217">
        <f>'B) D RI'!AA233</f>
        <v>3852</v>
      </c>
      <c r="E232" s="218">
        <f>'B) D RI'!S233</f>
        <v>73</v>
      </c>
      <c r="F232" s="10">
        <f>'B) D RI'!R233</f>
        <v>6094229.2076477315</v>
      </c>
      <c r="G232" s="10">
        <f>'B) D RI'!U233</f>
        <v>83482.591885585367</v>
      </c>
      <c r="H232" s="41">
        <f>'B) D RI'!T233</f>
        <v>5632010.3576477319</v>
      </c>
      <c r="I232" s="10">
        <f t="shared" si="31"/>
        <v>154301.65363418445</v>
      </c>
      <c r="J232" s="31">
        <f t="shared" si="39"/>
        <v>319115.72386509948</v>
      </c>
      <c r="K232" s="10">
        <f t="shared" si="28"/>
        <v>154301.65363418445</v>
      </c>
      <c r="L232" s="10">
        <f t="shared" si="32"/>
        <v>164814.07023091504</v>
      </c>
      <c r="M232" s="10">
        <f>'D) Ecrêtage'!C231</f>
        <v>83482.591885585367</v>
      </c>
      <c r="N232" s="10">
        <f t="shared" si="29"/>
        <v>110646.36115258503</v>
      </c>
      <c r="O232" s="55">
        <f t="shared" si="30"/>
        <v>264948.01478676946</v>
      </c>
      <c r="P232" s="219"/>
      <c r="Q232" s="220"/>
      <c r="R232" s="216"/>
      <c r="S232" s="216"/>
      <c r="T232" s="221"/>
    </row>
    <row r="233" spans="1:20" s="215" customFormat="1" x14ac:dyDescent="0.25">
      <c r="A233" s="310">
        <f>'A) Base RI'!A234</f>
        <v>5765</v>
      </c>
      <c r="B233" s="228" t="str">
        <f>'A) Base RI'!B234</f>
        <v>Vaulion</v>
      </c>
      <c r="C233" s="244">
        <v>0</v>
      </c>
      <c r="D233" s="217">
        <f>'B) D RI'!AA234</f>
        <v>469</v>
      </c>
      <c r="E233" s="218">
        <f>'B) D RI'!S234</f>
        <v>81</v>
      </c>
      <c r="F233" s="10">
        <f>'B) D RI'!R234</f>
        <v>791481.07382986578</v>
      </c>
      <c r="G233" s="10">
        <f>'B) D RI'!U234</f>
        <v>9771.3712818501954</v>
      </c>
      <c r="H233" s="41">
        <f>'B) D RI'!T234</f>
        <v>729724.57382986578</v>
      </c>
      <c r="I233" s="10">
        <f t="shared" si="31"/>
        <v>18017.890711848537</v>
      </c>
      <c r="J233" s="31">
        <f t="shared" si="39"/>
        <v>38853.913419712269</v>
      </c>
      <c r="K233" s="10">
        <f t="shared" si="28"/>
        <v>18017.890711848537</v>
      </c>
      <c r="L233" s="10">
        <f t="shared" si="32"/>
        <v>20836.022707863733</v>
      </c>
      <c r="M233" s="10">
        <f>'D) Ecrêtage'!C232</f>
        <v>9771.3712818501954</v>
      </c>
      <c r="N233" s="10">
        <f t="shared" si="29"/>
        <v>12950.803890820207</v>
      </c>
      <c r="O233" s="55">
        <f t="shared" si="30"/>
        <v>30968.694602668744</v>
      </c>
      <c r="P233" s="219"/>
      <c r="Q233" s="220"/>
      <c r="R233" s="216"/>
      <c r="S233" s="216"/>
      <c r="T233" s="221"/>
    </row>
    <row r="234" spans="1:20" s="215" customFormat="1" x14ac:dyDescent="0.25">
      <c r="A234" s="310">
        <f>'A) Base RI'!A235</f>
        <v>5766</v>
      </c>
      <c r="B234" s="228" t="str">
        <f>'A) Base RI'!B235</f>
        <v>Vuiteboeuf</v>
      </c>
      <c r="C234" s="244">
        <v>0</v>
      </c>
      <c r="D234" s="217">
        <f>'B) D RI'!AA235</f>
        <v>584</v>
      </c>
      <c r="E234" s="218">
        <f>'B) D RI'!S235</f>
        <v>77</v>
      </c>
      <c r="F234" s="10">
        <f>'B) D RI'!R235</f>
        <v>1013088.1822345448</v>
      </c>
      <c r="G234" s="10">
        <f>'B) D RI'!U235</f>
        <v>13156.989379669412</v>
      </c>
      <c r="H234" s="41">
        <f>'B) D RI'!T235</f>
        <v>929294.17509168759</v>
      </c>
      <c r="I234" s="10">
        <f t="shared" si="31"/>
        <v>24137.511041342535</v>
      </c>
      <c r="J234" s="31">
        <f t="shared" si="39"/>
        <v>48380.992403223805</v>
      </c>
      <c r="K234" s="10">
        <f t="shared" si="28"/>
        <v>24137.511041342535</v>
      </c>
      <c r="L234" s="10">
        <f t="shared" si="32"/>
        <v>24243.48136188127</v>
      </c>
      <c r="M234" s="10">
        <f>'D) Ecrêtage'!C233</f>
        <v>13156.989379669412</v>
      </c>
      <c r="N234" s="10">
        <f t="shared" si="29"/>
        <v>17438.042658986855</v>
      </c>
      <c r="O234" s="55">
        <f t="shared" si="30"/>
        <v>41575.553700329387</v>
      </c>
      <c r="P234" s="219"/>
      <c r="Q234" s="220"/>
      <c r="R234" s="216"/>
      <c r="S234" s="216"/>
      <c r="T234" s="221"/>
    </row>
    <row r="235" spans="1:20" s="215" customFormat="1" x14ac:dyDescent="0.25">
      <c r="A235" s="310">
        <f>'A) Base RI'!A236</f>
        <v>5785</v>
      </c>
      <c r="B235" s="228" t="str">
        <f>'A) Base RI'!B236</f>
        <v>Corcelles-le-Jorat</v>
      </c>
      <c r="C235" s="244">
        <v>0</v>
      </c>
      <c r="D235" s="217">
        <f>'B) D RI'!AA236</f>
        <v>445</v>
      </c>
      <c r="E235" s="218">
        <f>'B) D RI'!S236</f>
        <v>77</v>
      </c>
      <c r="F235" s="10">
        <f>'B) D RI'!R236</f>
        <v>1199047.930769932</v>
      </c>
      <c r="G235" s="10">
        <f>'B) D RI'!U236</f>
        <v>15572.051048960157</v>
      </c>
      <c r="H235" s="41">
        <f>'B) D RI'!T236</f>
        <v>1129650.9807699318</v>
      </c>
      <c r="I235" s="10">
        <f t="shared" si="31"/>
        <v>29341.583916102125</v>
      </c>
      <c r="J235" s="31">
        <f t="shared" si="39"/>
        <v>36865.653457935943</v>
      </c>
      <c r="K235" s="10">
        <f t="shared" si="28"/>
        <v>29341.583916102125</v>
      </c>
      <c r="L235" s="10">
        <f t="shared" si="32"/>
        <v>7524.0695418338182</v>
      </c>
      <c r="M235" s="10">
        <f>'D) Ecrêtage'!C234</f>
        <v>15572.051048960157</v>
      </c>
      <c r="N235" s="10">
        <f t="shared" si="29"/>
        <v>20638.92298182513</v>
      </c>
      <c r="O235" s="55">
        <f t="shared" si="30"/>
        <v>49980.506897927255</v>
      </c>
      <c r="P235" s="219"/>
      <c r="Q235" s="220"/>
      <c r="R235" s="216"/>
      <c r="S235" s="216"/>
      <c r="T235" s="221"/>
    </row>
    <row r="236" spans="1:20" s="215" customFormat="1" x14ac:dyDescent="0.25">
      <c r="A236" s="310">
        <f>'A) Base RI'!A237</f>
        <v>5788</v>
      </c>
      <c r="B236" s="228" t="str">
        <f>'A) Base RI'!B237</f>
        <v>Essertes</v>
      </c>
      <c r="C236" s="244">
        <v>0</v>
      </c>
      <c r="D236" s="217">
        <f>'B) D RI'!AA237</f>
        <v>374</v>
      </c>
      <c r="E236" s="218">
        <f>'B) D RI'!S237</f>
        <v>72</v>
      </c>
      <c r="F236" s="10">
        <f>'B) D RI'!R237</f>
        <v>855637.50732112571</v>
      </c>
      <c r="G236" s="10">
        <f>'B) D RI'!U237</f>
        <v>11883.854268348969</v>
      </c>
      <c r="H236" s="41">
        <f>'B) D RI'!T237</f>
        <v>791389.48732112569</v>
      </c>
      <c r="I236" s="10">
        <f t="shared" si="31"/>
        <v>21983.041314475715</v>
      </c>
      <c r="J236" s="31">
        <f t="shared" si="39"/>
        <v>30983.717737680996</v>
      </c>
      <c r="K236" s="10">
        <f t="shared" si="28"/>
        <v>21983.041314475715</v>
      </c>
      <c r="L236" s="10">
        <f t="shared" si="32"/>
        <v>9000.676423205281</v>
      </c>
      <c r="M236" s="10">
        <f>'D) Ecrêtage'!C235</f>
        <v>11883.854268348969</v>
      </c>
      <c r="N236" s="10">
        <f t="shared" si="29"/>
        <v>15750.651741413756</v>
      </c>
      <c r="O236" s="55">
        <f t="shared" si="30"/>
        <v>37733.693055889467</v>
      </c>
      <c r="P236" s="219"/>
      <c r="Q236" s="220"/>
      <c r="R236" s="216"/>
      <c r="S236" s="216"/>
      <c r="T236" s="221"/>
    </row>
    <row r="237" spans="1:20" s="215" customFormat="1" x14ac:dyDescent="0.25">
      <c r="A237" s="310">
        <f>'A) Base RI'!A238</f>
        <v>5790</v>
      </c>
      <c r="B237" s="228" t="str">
        <f>'A) Base RI'!B238</f>
        <v>Maracon</v>
      </c>
      <c r="C237" s="244">
        <v>0</v>
      </c>
      <c r="D237" s="217">
        <f>'B) D RI'!AA238</f>
        <v>492</v>
      </c>
      <c r="E237" s="218">
        <f>'B) D RI'!S238</f>
        <v>76</v>
      </c>
      <c r="F237" s="10">
        <f>'B) D RI'!R238</f>
        <v>1007468.4735741983</v>
      </c>
      <c r="G237" s="10">
        <f>'B) D RI'!U238</f>
        <v>13256.164125976293</v>
      </c>
      <c r="H237" s="41">
        <f>'B) D RI'!T238</f>
        <v>920673.27357419836</v>
      </c>
      <c r="I237" s="10">
        <f t="shared" si="31"/>
        <v>24228.244041426271</v>
      </c>
      <c r="J237" s="31">
        <f t="shared" si="39"/>
        <v>40759.329216414575</v>
      </c>
      <c r="K237" s="10">
        <f t="shared" si="28"/>
        <v>24228.244041426271</v>
      </c>
      <c r="L237" s="10">
        <f t="shared" si="32"/>
        <v>16531.085174988304</v>
      </c>
      <c r="M237" s="10">
        <f>'D) Ecrêtage'!C236</f>
        <v>13256.164125976293</v>
      </c>
      <c r="N237" s="10">
        <f t="shared" si="29"/>
        <v>17569.487126021686</v>
      </c>
      <c r="O237" s="55">
        <f t="shared" si="30"/>
        <v>41797.731167447957</v>
      </c>
      <c r="P237" s="219"/>
      <c r="Q237" s="220"/>
      <c r="R237" s="216"/>
      <c r="S237" s="216"/>
      <c r="T237" s="221"/>
    </row>
    <row r="238" spans="1:20" s="215" customFormat="1" x14ac:dyDescent="0.25">
      <c r="A238" s="310">
        <f>'A) Base RI'!A239</f>
        <v>5792</v>
      </c>
      <c r="B238" s="228" t="str">
        <f>'A) Base RI'!B239</f>
        <v>Montpreveyres</v>
      </c>
      <c r="C238" s="244">
        <v>0</v>
      </c>
      <c r="D238" s="217">
        <f>'B) D RI'!AA239</f>
        <v>643</v>
      </c>
      <c r="E238" s="218">
        <f>'B) D RI'!S239</f>
        <v>77</v>
      </c>
      <c r="F238" s="10">
        <f>'B) D RI'!R239</f>
        <v>1441938.2911325849</v>
      </c>
      <c r="G238" s="10">
        <f>'B) D RI'!U239</f>
        <v>18726.471313410195</v>
      </c>
      <c r="H238" s="41">
        <f>'B) D RI'!T239</f>
        <v>1330273.5411325849</v>
      </c>
      <c r="I238" s="10">
        <f t="shared" si="31"/>
        <v>34552.559509937273</v>
      </c>
      <c r="J238" s="31">
        <f t="shared" si="39"/>
        <v>53268.798142590589</v>
      </c>
      <c r="K238" s="10">
        <f t="shared" si="28"/>
        <v>34552.559509937273</v>
      </c>
      <c r="L238" s="10">
        <f t="shared" si="32"/>
        <v>18716.238632653316</v>
      </c>
      <c r="M238" s="10">
        <f>'D) Ecrêtage'!C237</f>
        <v>18726.471313410195</v>
      </c>
      <c r="N238" s="10">
        <f t="shared" si="29"/>
        <v>24819.736201971886</v>
      </c>
      <c r="O238" s="55">
        <f t="shared" si="30"/>
        <v>59372.295711909159</v>
      </c>
      <c r="P238" s="219"/>
      <c r="Q238" s="220"/>
      <c r="R238" s="216"/>
      <c r="S238" s="216"/>
      <c r="T238" s="221"/>
    </row>
    <row r="239" spans="1:20" s="215" customFormat="1" x14ac:dyDescent="0.25">
      <c r="A239" s="310">
        <f>'A) Base RI'!A240</f>
        <v>5798</v>
      </c>
      <c r="B239" s="228" t="str">
        <f>'A) Base RI'!B240</f>
        <v>Ropraz</v>
      </c>
      <c r="C239" s="244">
        <v>0</v>
      </c>
      <c r="D239" s="217">
        <f>'B) D RI'!AA240</f>
        <v>494</v>
      </c>
      <c r="E239" s="218">
        <f>'B) D RI'!S240</f>
        <v>77.5</v>
      </c>
      <c r="F239" s="10">
        <f>'B) D RI'!R240</f>
        <v>1063707.661693437</v>
      </c>
      <c r="G239" s="10">
        <f>'B) D RI'!U240</f>
        <v>13725.260150883058</v>
      </c>
      <c r="H239" s="41">
        <f>'B) D RI'!T240</f>
        <v>984036.86169343709</v>
      </c>
      <c r="I239" s="10">
        <f t="shared" si="31"/>
        <v>25394.499656604828</v>
      </c>
      <c r="J239" s="31">
        <f t="shared" si="39"/>
        <v>40925.017546562602</v>
      </c>
      <c r="K239" s="10">
        <f t="shared" si="28"/>
        <v>25394.499656604828</v>
      </c>
      <c r="L239" s="10">
        <f t="shared" si="32"/>
        <v>15530.517889957773</v>
      </c>
      <c r="M239" s="10">
        <f>'D) Ecrêtage'!C238</f>
        <v>13725.260150883058</v>
      </c>
      <c r="N239" s="10">
        <f t="shared" si="29"/>
        <v>18191.218759105275</v>
      </c>
      <c r="O239" s="55">
        <f t="shared" si="30"/>
        <v>43585.7184157101</v>
      </c>
      <c r="P239" s="219"/>
      <c r="Q239" s="220"/>
      <c r="R239" s="216"/>
      <c r="S239" s="216"/>
      <c r="T239" s="221"/>
    </row>
    <row r="240" spans="1:20" s="215" customFormat="1" x14ac:dyDescent="0.25">
      <c r="A240" s="310">
        <f>'A) Base RI'!A241</f>
        <v>5799</v>
      </c>
      <c r="B240" s="228" t="str">
        <f>'A) Base RI'!B241</f>
        <v>Servion</v>
      </c>
      <c r="C240" s="244">
        <v>0</v>
      </c>
      <c r="D240" s="217">
        <f>'B) D RI'!AA241</f>
        <v>1942</v>
      </c>
      <c r="E240" s="218">
        <f>'B) D RI'!S241</f>
        <v>69</v>
      </c>
      <c r="F240" s="10">
        <f>'B) D RI'!R241</f>
        <v>4741167.7878994942</v>
      </c>
      <c r="G240" s="10">
        <f>'B) D RI'!U241</f>
        <v>68712.576636224549</v>
      </c>
      <c r="H240" s="41">
        <f>'B) D RI'!T241</f>
        <v>4363794.2378994944</v>
      </c>
      <c r="I240" s="10">
        <f t="shared" si="31"/>
        <v>126486.78950433317</v>
      </c>
      <c r="J240" s="31">
        <f t="shared" si="39"/>
        <v>160883.36857373395</v>
      </c>
      <c r="K240" s="10">
        <f t="shared" si="28"/>
        <v>126486.78950433317</v>
      </c>
      <c r="L240" s="10">
        <f t="shared" si="32"/>
        <v>34396.579069400788</v>
      </c>
      <c r="M240" s="10">
        <f>'D) Ecrêtage'!C239</f>
        <v>68712.576636224549</v>
      </c>
      <c r="N240" s="10">
        <f t="shared" si="29"/>
        <v>91070.442334087667</v>
      </c>
      <c r="O240" s="55">
        <f t="shared" si="30"/>
        <v>217557.23183842085</v>
      </c>
      <c r="P240" s="219"/>
      <c r="Q240" s="220"/>
      <c r="R240" s="216"/>
      <c r="S240" s="216"/>
      <c r="T240" s="221"/>
    </row>
    <row r="241" spans="1:20" s="215" customFormat="1" x14ac:dyDescent="0.25">
      <c r="A241" s="310">
        <f>'A) Base RI'!A242</f>
        <v>5803</v>
      </c>
      <c r="B241" s="228" t="str">
        <f>'A) Base RI'!B242</f>
        <v>Vulliens</v>
      </c>
      <c r="C241" s="244">
        <v>0</v>
      </c>
      <c r="D241" s="217">
        <f>'B) D RI'!AA242</f>
        <v>595</v>
      </c>
      <c r="E241" s="218">
        <f>'B) D RI'!S242</f>
        <v>78</v>
      </c>
      <c r="F241" s="10">
        <f>'B) D RI'!R242</f>
        <v>1290615.012983761</v>
      </c>
      <c r="G241" s="10">
        <f>'B) D RI'!U242</f>
        <v>16546.34632030463</v>
      </c>
      <c r="H241" s="41">
        <f>'B) D RI'!T242</f>
        <v>1201231.3629837611</v>
      </c>
      <c r="I241" s="10">
        <f t="shared" si="31"/>
        <v>30800.804179070798</v>
      </c>
      <c r="J241" s="31">
        <f t="shared" si="39"/>
        <v>49292.278219037951</v>
      </c>
      <c r="K241" s="10">
        <f t="shared" si="28"/>
        <v>30800.804179070798</v>
      </c>
      <c r="L241" s="10">
        <f t="shared" si="32"/>
        <v>18491.474039967154</v>
      </c>
      <c r="M241" s="10">
        <f>'D) Ecrêtage'!C240</f>
        <v>16546.34632030463</v>
      </c>
      <c r="N241" s="10">
        <f t="shared" si="29"/>
        <v>21930.236823759766</v>
      </c>
      <c r="O241" s="55">
        <f t="shared" si="30"/>
        <v>52731.041002830563</v>
      </c>
      <c r="P241" s="219"/>
      <c r="Q241" s="220"/>
      <c r="R241" s="216"/>
      <c r="S241" s="216"/>
      <c r="T241" s="221"/>
    </row>
    <row r="242" spans="1:20" s="215" customFormat="1" x14ac:dyDescent="0.25">
      <c r="A242" s="310">
        <f>'A) Base RI'!A243</f>
        <v>5804</v>
      </c>
      <c r="B242" s="228" t="str">
        <f>'A) Base RI'!B243</f>
        <v>Jorat-Menthue</v>
      </c>
      <c r="C242" s="244">
        <v>0</v>
      </c>
      <c r="D242" s="217">
        <f>'B) D RI'!AA243</f>
        <v>1586</v>
      </c>
      <c r="E242" s="218">
        <f>'B) D RI'!S243</f>
        <v>72</v>
      </c>
      <c r="F242" s="10">
        <f>'B) D RI'!R243</f>
        <v>3420316.6751821954</v>
      </c>
      <c r="G242" s="10">
        <f>'B) D RI'!U243</f>
        <v>47504.398266419383</v>
      </c>
      <c r="H242" s="41">
        <f>'B) D RI'!T243</f>
        <v>3161272.2251821952</v>
      </c>
      <c r="I242" s="10">
        <f t="shared" si="31"/>
        <v>87813.117366172082</v>
      </c>
      <c r="J242" s="31">
        <f t="shared" si="39"/>
        <v>131390.84580738519</v>
      </c>
      <c r="K242" s="10">
        <f t="shared" si="28"/>
        <v>87813.117366172082</v>
      </c>
      <c r="L242" s="10">
        <f t="shared" si="32"/>
        <v>43577.728441213112</v>
      </c>
      <c r="M242" s="10">
        <f>'D) Ecrêtage'!C241</f>
        <v>47504.398266419383</v>
      </c>
      <c r="N242" s="10">
        <f t="shared" si="29"/>
        <v>62961.495183644867</v>
      </c>
      <c r="O242" s="55">
        <f t="shared" si="30"/>
        <v>150774.61254981696</v>
      </c>
      <c r="P242" s="219"/>
      <c r="Q242" s="220"/>
      <c r="R242" s="216"/>
      <c r="S242" s="216"/>
      <c r="T242" s="221"/>
    </row>
    <row r="243" spans="1:20" s="215" customFormat="1" x14ac:dyDescent="0.25">
      <c r="A243" s="310">
        <f>'A) Base RI'!A244</f>
        <v>5805</v>
      </c>
      <c r="B243" s="228" t="str">
        <f>'A) Base RI'!B244</f>
        <v>Oron</v>
      </c>
      <c r="C243" s="244">
        <v>0</v>
      </c>
      <c r="D243" s="217">
        <f>'B) D RI'!AA244</f>
        <v>5501</v>
      </c>
      <c r="E243" s="218">
        <f>'B) D RI'!S244</f>
        <v>69</v>
      </c>
      <c r="F243" s="10">
        <f>'B) D RI'!R244</f>
        <v>10516636.294276984</v>
      </c>
      <c r="G243" s="10">
        <f>'B) D RI'!U244</f>
        <v>152415.01875763744</v>
      </c>
      <c r="H243" s="41">
        <f>'B) D RI'!T244</f>
        <v>9549265.4488224387</v>
      </c>
      <c r="I243" s="10">
        <f t="shared" si="31"/>
        <v>276790.30286441854</v>
      </c>
      <c r="J243" s="31">
        <f t="shared" si="39"/>
        <v>455725.7520721475</v>
      </c>
      <c r="K243" s="10">
        <f t="shared" si="28"/>
        <v>276790.30286441854</v>
      </c>
      <c r="L243" s="10">
        <f t="shared" si="32"/>
        <v>178935.44920772896</v>
      </c>
      <c r="M243" s="10">
        <f>'D) Ecrêtage'!C242</f>
        <v>152415.01875763744</v>
      </c>
      <c r="N243" s="10">
        <f t="shared" si="29"/>
        <v>202008.18912819892</v>
      </c>
      <c r="O243" s="55">
        <f t="shared" si="30"/>
        <v>478798.49199261749</v>
      </c>
      <c r="P243" s="219"/>
      <c r="Q243" s="220"/>
      <c r="R243" s="216"/>
      <c r="S243" s="216"/>
      <c r="T243" s="221"/>
    </row>
    <row r="244" spans="1:20" s="215" customFormat="1" x14ac:dyDescent="0.25">
      <c r="A244" s="310">
        <f>'A) Base RI'!A245</f>
        <v>5806</v>
      </c>
      <c r="B244" s="228" t="str">
        <f>'A) Base RI'!B245</f>
        <v>Jorat-Mézières</v>
      </c>
      <c r="C244" s="244">
        <v>0</v>
      </c>
      <c r="D244" s="217">
        <f>'B) D RI'!AA245</f>
        <v>2869</v>
      </c>
      <c r="E244" s="218">
        <f>'B) D RI'!S245</f>
        <v>76</v>
      </c>
      <c r="F244" s="10">
        <f>'B) D RI'!R245</f>
        <v>6826897.8216400119</v>
      </c>
      <c r="G244" s="10">
        <f>'B) D RI'!U245</f>
        <v>89827.60291631594</v>
      </c>
      <c r="H244" s="41">
        <f>'B) D RI'!T245</f>
        <v>6317473.7216400113</v>
      </c>
      <c r="I244" s="10">
        <f t="shared" ref="I244" si="40">+H244/E244*$I$5</f>
        <v>166249.30846421083</v>
      </c>
      <c r="J244" s="31">
        <f t="shared" ref="J244" si="41">+$I$315/$D$315*D244</f>
        <v>237679.90959734435</v>
      </c>
      <c r="K244" s="10">
        <f t="shared" ref="K244" si="42">IF(C244=1,0,IF(J244&gt;I244,I244,J244))</f>
        <v>166249.30846421083</v>
      </c>
      <c r="L244" s="10">
        <f t="shared" ref="L244" si="43">+J244-K244</f>
        <v>71430.601133133518</v>
      </c>
      <c r="M244" s="10">
        <f>'D) Ecrêtage'!C243</f>
        <v>89827.60291631594</v>
      </c>
      <c r="N244" s="10">
        <f t="shared" ref="N244" si="44">+$N$5*M244</f>
        <v>119055.92734077343</v>
      </c>
      <c r="O244" s="55">
        <f t="shared" ref="O244" si="45">+N244+K244</f>
        <v>285305.23580498423</v>
      </c>
      <c r="P244" s="219"/>
      <c r="Q244" s="220"/>
      <c r="R244" s="216"/>
      <c r="S244" s="216"/>
      <c r="T244" s="221"/>
    </row>
    <row r="245" spans="1:20" s="215" customFormat="1" x14ac:dyDescent="0.25">
      <c r="A245" s="310">
        <f>'A) Base RI'!A246</f>
        <v>5812</v>
      </c>
      <c r="B245" s="228" t="str">
        <f>'A) Base RI'!B246</f>
        <v>Champtauroz</v>
      </c>
      <c r="C245" s="244">
        <v>0</v>
      </c>
      <c r="D245" s="217">
        <f>'B) D RI'!AA246</f>
        <v>122</v>
      </c>
      <c r="E245" s="218">
        <f>'B) D RI'!S246</f>
        <v>77</v>
      </c>
      <c r="F245" s="10">
        <f>'B) D RI'!R246</f>
        <v>187337.33712699317</v>
      </c>
      <c r="G245" s="10">
        <f>'B) D RI'!U246</f>
        <v>2432.9524302206905</v>
      </c>
      <c r="H245" s="41">
        <f>'B) D RI'!T246</f>
        <v>171727.21212699317</v>
      </c>
      <c r="I245" s="10">
        <f t="shared" si="31"/>
        <v>4460.4470682335887</v>
      </c>
      <c r="J245" s="31">
        <f t="shared" ref="J245:J276" si="46">+$I$315/$D$315*D245</f>
        <v>10106.98813902963</v>
      </c>
      <c r="K245" s="10">
        <f t="shared" si="28"/>
        <v>4460.4470682335887</v>
      </c>
      <c r="L245" s="10">
        <f t="shared" si="32"/>
        <v>5646.5410707960418</v>
      </c>
      <c r="M245" s="10">
        <f>'D) Ecrêtage'!C244</f>
        <v>2432.9524302206905</v>
      </c>
      <c r="N245" s="10">
        <f t="shared" si="29"/>
        <v>3224.5924231748636</v>
      </c>
      <c r="O245" s="55">
        <f t="shared" si="30"/>
        <v>7685.0394914084518</v>
      </c>
      <c r="P245" s="219"/>
      <c r="Q245" s="220"/>
      <c r="R245" s="216"/>
      <c r="S245" s="216"/>
      <c r="T245" s="221"/>
    </row>
    <row r="246" spans="1:20" s="215" customFormat="1" x14ac:dyDescent="0.25">
      <c r="A246" s="310">
        <f>'A) Base RI'!A247</f>
        <v>5813</v>
      </c>
      <c r="B246" s="228" t="str">
        <f>'A) Base RI'!B247</f>
        <v>Chevroux</v>
      </c>
      <c r="C246" s="244">
        <v>0</v>
      </c>
      <c r="D246" s="217">
        <f>'B) D RI'!AA247</f>
        <v>480</v>
      </c>
      <c r="E246" s="218">
        <f>'B) D RI'!S247</f>
        <v>70</v>
      </c>
      <c r="F246" s="10">
        <f>'B) D RI'!R247</f>
        <v>898886.37556069624</v>
      </c>
      <c r="G246" s="10">
        <f>'B) D RI'!U247</f>
        <v>12841.233936581375</v>
      </c>
      <c r="H246" s="41">
        <f>'B) D RI'!T247</f>
        <v>813403.79222736286</v>
      </c>
      <c r="I246" s="10">
        <f t="shared" si="31"/>
        <v>23240.108349353224</v>
      </c>
      <c r="J246" s="31">
        <f t="shared" si="46"/>
        <v>39765.199235526416</v>
      </c>
      <c r="K246" s="10">
        <f t="shared" si="28"/>
        <v>23240.108349353224</v>
      </c>
      <c r="L246" s="10">
        <f t="shared" si="32"/>
        <v>16525.090886173191</v>
      </c>
      <c r="M246" s="10">
        <f>'D) Ecrêtage'!C245</f>
        <v>12841.233936581375</v>
      </c>
      <c r="N246" s="10">
        <f t="shared" si="29"/>
        <v>17019.545940057767</v>
      </c>
      <c r="O246" s="55">
        <f t="shared" si="30"/>
        <v>40259.654289410988</v>
      </c>
      <c r="P246" s="219"/>
      <c r="Q246" s="220"/>
      <c r="R246" s="216"/>
      <c r="S246" s="216"/>
      <c r="T246" s="221"/>
    </row>
    <row r="247" spans="1:20" s="215" customFormat="1" x14ac:dyDescent="0.25">
      <c r="A247" s="310">
        <f>'A) Base RI'!A248</f>
        <v>5816</v>
      </c>
      <c r="B247" s="228" t="str">
        <f>'A) Base RI'!B248</f>
        <v>Corcelles-près-Payerne</v>
      </c>
      <c r="C247" s="244">
        <v>0</v>
      </c>
      <c r="D247" s="217">
        <f>'B) D RI'!AA248</f>
        <v>2479</v>
      </c>
      <c r="E247" s="218">
        <f>'B) D RI'!S248</f>
        <v>72</v>
      </c>
      <c r="F247" s="10">
        <f>'B) D RI'!R248</f>
        <v>3983623.6535615083</v>
      </c>
      <c r="G247" s="10">
        <f>'B) D RI'!U248</f>
        <v>55328.106299465391</v>
      </c>
      <c r="H247" s="41">
        <f>'B) D RI'!T248</f>
        <v>3610366.4607043657</v>
      </c>
      <c r="I247" s="10">
        <f t="shared" si="31"/>
        <v>100287.95724178794</v>
      </c>
      <c r="J247" s="31">
        <f t="shared" si="46"/>
        <v>205370.68521847914</v>
      </c>
      <c r="K247" s="10">
        <f t="shared" si="28"/>
        <v>100287.95724178794</v>
      </c>
      <c r="L247" s="10">
        <f t="shared" si="32"/>
        <v>105082.7279766912</v>
      </c>
      <c r="M247" s="10">
        <f>'D) Ecrêtage'!C246</f>
        <v>55328.106299465391</v>
      </c>
      <c r="N247" s="10">
        <f t="shared" si="29"/>
        <v>73330.900409625407</v>
      </c>
      <c r="O247" s="55">
        <f t="shared" si="30"/>
        <v>173618.85765141336</v>
      </c>
      <c r="P247" s="219"/>
      <c r="Q247" s="220"/>
      <c r="R247" s="216"/>
      <c r="S247" s="216"/>
      <c r="T247" s="221"/>
    </row>
    <row r="248" spans="1:20" s="215" customFormat="1" x14ac:dyDescent="0.25">
      <c r="A248" s="310">
        <f>'A) Base RI'!A249</f>
        <v>5817</v>
      </c>
      <c r="B248" s="228" t="str">
        <f>'A) Base RI'!B249</f>
        <v>Grandcour</v>
      </c>
      <c r="C248" s="244">
        <v>0</v>
      </c>
      <c r="D248" s="217">
        <f>'B) D RI'!AA249</f>
        <v>929</v>
      </c>
      <c r="E248" s="218">
        <f>'B) D RI'!S249</f>
        <v>77</v>
      </c>
      <c r="F248" s="10">
        <f>'B) D RI'!R249</f>
        <v>1802267.1283297199</v>
      </c>
      <c r="G248" s="10">
        <f>'B) D RI'!U249</f>
        <v>23406.066601684674</v>
      </c>
      <c r="H248" s="41">
        <f>'B) D RI'!T249</f>
        <v>1679953.97832972</v>
      </c>
      <c r="I248" s="10">
        <f t="shared" si="31"/>
        <v>43635.168268304413</v>
      </c>
      <c r="J248" s="31">
        <f t="shared" si="46"/>
        <v>76962.229353758419</v>
      </c>
      <c r="K248" s="10">
        <f t="shared" si="28"/>
        <v>43635.168268304413</v>
      </c>
      <c r="L248" s="10">
        <f t="shared" si="32"/>
        <v>33327.061085454006</v>
      </c>
      <c r="M248" s="10">
        <f>'D) Ecrêtage'!C247</f>
        <v>23406.066601684674</v>
      </c>
      <c r="N248" s="10">
        <f t="shared" si="29"/>
        <v>31021.989613365509</v>
      </c>
      <c r="O248" s="55">
        <f t="shared" si="30"/>
        <v>74657.157881669918</v>
      </c>
      <c r="P248" s="219"/>
      <c r="Q248" s="220"/>
      <c r="R248" s="216"/>
      <c r="S248" s="216"/>
      <c r="T248" s="221"/>
    </row>
    <row r="249" spans="1:20" s="215" customFormat="1" x14ac:dyDescent="0.25">
      <c r="A249" s="310">
        <f>'A) Base RI'!A250</f>
        <v>5819</v>
      </c>
      <c r="B249" s="228" t="str">
        <f>'A) Base RI'!B250</f>
        <v>Henniez</v>
      </c>
      <c r="C249" s="244">
        <v>0</v>
      </c>
      <c r="D249" s="217">
        <f>'B) D RI'!AA250</f>
        <v>341</v>
      </c>
      <c r="E249" s="218">
        <f>'B) D RI'!S250</f>
        <v>69</v>
      </c>
      <c r="F249" s="10">
        <f>'B) D RI'!R250</f>
        <v>858261.55097591016</v>
      </c>
      <c r="G249" s="10">
        <f>'B) D RI'!U250</f>
        <v>12438.573202549422</v>
      </c>
      <c r="H249" s="41">
        <f>'B) D RI'!T250</f>
        <v>773554.95097591018</v>
      </c>
      <c r="I249" s="10">
        <f t="shared" si="31"/>
        <v>22421.882636982904</v>
      </c>
      <c r="J249" s="31">
        <f t="shared" si="46"/>
        <v>28249.860290238557</v>
      </c>
      <c r="K249" s="10">
        <f t="shared" si="28"/>
        <v>22421.882636982904</v>
      </c>
      <c r="L249" s="10">
        <f t="shared" si="32"/>
        <v>5827.9776532556534</v>
      </c>
      <c r="M249" s="10">
        <f>'D) Ecrêtage'!C248</f>
        <v>12438.573202549422</v>
      </c>
      <c r="N249" s="10">
        <f t="shared" si="29"/>
        <v>16485.866474754086</v>
      </c>
      <c r="O249" s="55">
        <f t="shared" si="30"/>
        <v>38907.749111736994</v>
      </c>
      <c r="P249" s="219"/>
      <c r="Q249" s="220"/>
      <c r="R249" s="216"/>
      <c r="S249" s="216"/>
      <c r="T249" s="221"/>
    </row>
    <row r="250" spans="1:20" s="215" customFormat="1" x14ac:dyDescent="0.25">
      <c r="A250" s="310">
        <f>'A) Base RI'!A251</f>
        <v>5821</v>
      </c>
      <c r="B250" s="228" t="str">
        <f>'A) Base RI'!B251</f>
        <v>Missy</v>
      </c>
      <c r="C250" s="244">
        <v>0</v>
      </c>
      <c r="D250" s="217">
        <f>'B) D RI'!AA251</f>
        <v>368</v>
      </c>
      <c r="E250" s="218">
        <f>'B) D RI'!S251</f>
        <v>72</v>
      </c>
      <c r="F250" s="10">
        <f>'B) D RI'!R251</f>
        <v>617445.45731800736</v>
      </c>
      <c r="G250" s="10">
        <f>'B) D RI'!U251</f>
        <v>8575.631351638991</v>
      </c>
      <c r="H250" s="41">
        <f>'B) D RI'!T251</f>
        <v>564572.10731800739</v>
      </c>
      <c r="I250" s="10">
        <f t="shared" si="31"/>
        <v>15682.558536611316</v>
      </c>
      <c r="J250" s="31">
        <f t="shared" si="46"/>
        <v>30486.652747236916</v>
      </c>
      <c r="K250" s="10">
        <f t="shared" si="28"/>
        <v>15682.558536611316</v>
      </c>
      <c r="L250" s="10">
        <f t="shared" si="32"/>
        <v>14804.094210625601</v>
      </c>
      <c r="M250" s="10">
        <f>'D) Ecrêtage'!C249</f>
        <v>8575.631351638991</v>
      </c>
      <c r="N250" s="10">
        <f t="shared" si="29"/>
        <v>11365.991187064656</v>
      </c>
      <c r="O250" s="55">
        <f t="shared" si="30"/>
        <v>27048.549723675969</v>
      </c>
      <c r="P250" s="219"/>
      <c r="Q250" s="220"/>
      <c r="R250" s="216"/>
      <c r="S250" s="216"/>
      <c r="T250" s="221"/>
    </row>
    <row r="251" spans="1:20" s="215" customFormat="1" x14ac:dyDescent="0.25">
      <c r="A251" s="310">
        <f>'A) Base RI'!A252</f>
        <v>5822</v>
      </c>
      <c r="B251" s="228" t="str">
        <f>'A) Base RI'!B252</f>
        <v>Payerne</v>
      </c>
      <c r="C251" s="244">
        <v>0</v>
      </c>
      <c r="D251" s="217">
        <f>'B) D RI'!AA252</f>
        <v>9971</v>
      </c>
      <c r="E251" s="218">
        <f>'B) D RI'!S252</f>
        <v>75</v>
      </c>
      <c r="F251" s="10">
        <f>'B) D RI'!R252</f>
        <v>17768703.329251695</v>
      </c>
      <c r="G251" s="10">
        <f>'B) D RI'!U252</f>
        <v>236916.04439002261</v>
      </c>
      <c r="H251" s="41">
        <f>'B) D RI'!T252</f>
        <v>16249260.729251694</v>
      </c>
      <c r="I251" s="10">
        <f t="shared" si="31"/>
        <v>433313.61944671185</v>
      </c>
      <c r="J251" s="31">
        <f t="shared" si="46"/>
        <v>826039.16995298723</v>
      </c>
      <c r="K251" s="10">
        <f t="shared" si="28"/>
        <v>433313.61944671185</v>
      </c>
      <c r="L251" s="10">
        <f t="shared" si="32"/>
        <v>392725.55050627538</v>
      </c>
      <c r="M251" s="10">
        <f>'D) Ecrêtage'!C250</f>
        <v>236916.04439002261</v>
      </c>
      <c r="N251" s="10">
        <f t="shared" si="29"/>
        <v>314004.3644829212</v>
      </c>
      <c r="O251" s="55">
        <f t="shared" si="30"/>
        <v>747317.98392963305</v>
      </c>
      <c r="P251" s="219"/>
      <c r="Q251" s="220"/>
      <c r="R251" s="216"/>
      <c r="S251" s="216"/>
      <c r="T251" s="221"/>
    </row>
    <row r="252" spans="1:20" s="215" customFormat="1" x14ac:dyDescent="0.25">
      <c r="A252" s="310">
        <f>'A) Base RI'!A253</f>
        <v>5827</v>
      </c>
      <c r="B252" s="228" t="str">
        <f>'A) Base RI'!B253</f>
        <v>Trey</v>
      </c>
      <c r="C252" s="244">
        <v>0</v>
      </c>
      <c r="D252" s="217">
        <f>'B) D RI'!AA253</f>
        <v>267</v>
      </c>
      <c r="E252" s="218">
        <f>'B) D RI'!S253</f>
        <v>80</v>
      </c>
      <c r="F252" s="10">
        <f>'B) D RI'!R253</f>
        <v>566529.27688968857</v>
      </c>
      <c r="G252" s="10">
        <f>'B) D RI'!U253</f>
        <v>7081.6159611211069</v>
      </c>
      <c r="H252" s="41">
        <f>'B) D RI'!T253</f>
        <v>530884.87688968854</v>
      </c>
      <c r="I252" s="10">
        <f t="shared" si="31"/>
        <v>13272.121922242213</v>
      </c>
      <c r="J252" s="31">
        <f t="shared" si="46"/>
        <v>22119.392074761567</v>
      </c>
      <c r="K252" s="10">
        <f t="shared" si="28"/>
        <v>13272.121922242213</v>
      </c>
      <c r="L252" s="10">
        <f t="shared" si="32"/>
        <v>8847.2701525193534</v>
      </c>
      <c r="M252" s="10">
        <f>'D) Ecrêtage'!C251</f>
        <v>7081.6159611211069</v>
      </c>
      <c r="N252" s="10">
        <f t="shared" si="29"/>
        <v>9385.8494265726076</v>
      </c>
      <c r="O252" s="55">
        <f t="shared" si="30"/>
        <v>22657.971348814819</v>
      </c>
      <c r="P252" s="219"/>
      <c r="Q252" s="220"/>
      <c r="R252" s="216"/>
      <c r="S252" s="216"/>
      <c r="T252" s="221"/>
    </row>
    <row r="253" spans="1:20" s="215" customFormat="1" x14ac:dyDescent="0.25">
      <c r="A253" s="310">
        <f>'A) Base RI'!A254</f>
        <v>5828</v>
      </c>
      <c r="B253" s="228" t="str">
        <f>'A) Base RI'!B254</f>
        <v>Treytorrens (Payerne)</v>
      </c>
      <c r="C253" s="244">
        <v>0</v>
      </c>
      <c r="D253" s="217">
        <f>'B) D RI'!AA254</f>
        <v>119</v>
      </c>
      <c r="E253" s="218">
        <f>'B) D RI'!S254</f>
        <v>84</v>
      </c>
      <c r="F253" s="10">
        <f>'B) D RI'!R254</f>
        <v>224552.34109970523</v>
      </c>
      <c r="G253" s="10">
        <f>'B) D RI'!U254</f>
        <v>2673.2421559488716</v>
      </c>
      <c r="H253" s="41">
        <f>'B) D RI'!T254</f>
        <v>209669.7077663719</v>
      </c>
      <c r="I253" s="10">
        <f t="shared" si="31"/>
        <v>4992.1358991993311</v>
      </c>
      <c r="J253" s="31">
        <f t="shared" si="46"/>
        <v>9858.4556438075906</v>
      </c>
      <c r="K253" s="10">
        <f t="shared" si="28"/>
        <v>4992.1358991993311</v>
      </c>
      <c r="L253" s="10">
        <f t="shared" si="32"/>
        <v>4866.3197446082595</v>
      </c>
      <c r="M253" s="10">
        <f>'D) Ecrêtage'!C252</f>
        <v>2673.2421559488716</v>
      </c>
      <c r="N253" s="10">
        <f t="shared" si="29"/>
        <v>3543.0682056543324</v>
      </c>
      <c r="O253" s="55">
        <f t="shared" si="30"/>
        <v>8535.204104853663</v>
      </c>
      <c r="P253" s="219"/>
      <c r="Q253" s="220"/>
      <c r="R253" s="216"/>
      <c r="S253" s="216"/>
      <c r="T253" s="221"/>
    </row>
    <row r="254" spans="1:20" s="215" customFormat="1" x14ac:dyDescent="0.25">
      <c r="A254" s="310">
        <f>'A) Base RI'!A255</f>
        <v>5830</v>
      </c>
      <c r="B254" s="228" t="str">
        <f>'A) Base RI'!B255</f>
        <v>Villarzel</v>
      </c>
      <c r="C254" s="244">
        <v>0</v>
      </c>
      <c r="D254" s="217">
        <f>'B) D RI'!AA255</f>
        <v>446</v>
      </c>
      <c r="E254" s="218">
        <f>'B) D RI'!S255</f>
        <v>79</v>
      </c>
      <c r="F254" s="10">
        <f>'B) D RI'!R255</f>
        <v>957286.98805433617</v>
      </c>
      <c r="G254" s="10">
        <f>'B) D RI'!U255</f>
        <v>12117.556810814382</v>
      </c>
      <c r="H254" s="41">
        <f>'B) D RI'!T255</f>
        <v>901468.58805433626</v>
      </c>
      <c r="I254" s="10">
        <f t="shared" si="31"/>
        <v>22821.989570995855</v>
      </c>
      <c r="J254" s="31">
        <f t="shared" si="46"/>
        <v>36948.497623009956</v>
      </c>
      <c r="K254" s="10">
        <f t="shared" ref="K254:K303" si="47">IF(C254=1,0,IF(J254&gt;I254,I254,J254))</f>
        <v>22821.989570995855</v>
      </c>
      <c r="L254" s="10">
        <f t="shared" si="32"/>
        <v>14126.508052014102</v>
      </c>
      <c r="M254" s="10">
        <f>'D) Ecrêtage'!C253</f>
        <v>12117.556810814382</v>
      </c>
      <c r="N254" s="10">
        <f t="shared" ref="N254:N313" si="48">+$N$5*M254</f>
        <v>16060.396986881755</v>
      </c>
      <c r="O254" s="55">
        <f t="shared" ref="O254:O314" si="49">+N254+K254</f>
        <v>38882.386557877609</v>
      </c>
      <c r="P254" s="219"/>
      <c r="Q254" s="220"/>
      <c r="R254" s="216"/>
      <c r="S254" s="216"/>
      <c r="T254" s="221"/>
    </row>
    <row r="255" spans="1:20" s="215" customFormat="1" x14ac:dyDescent="0.25">
      <c r="A255" s="310">
        <f>'A) Base RI'!A256</f>
        <v>5831</v>
      </c>
      <c r="B255" s="228" t="str">
        <f>'A) Base RI'!B256</f>
        <v>Valbroye</v>
      </c>
      <c r="C255" s="244">
        <v>0</v>
      </c>
      <c r="D255" s="217">
        <f>'B) D RI'!AA256</f>
        <v>3174</v>
      </c>
      <c r="E255" s="218">
        <f>'B) D RI'!S256</f>
        <v>73</v>
      </c>
      <c r="F255" s="10">
        <f>'B) D RI'!R256</f>
        <v>6106586.3196329772</v>
      </c>
      <c r="G255" s="10">
        <f>'B) D RI'!U256</f>
        <v>83651.867392232569</v>
      </c>
      <c r="H255" s="41">
        <f>'B) D RI'!T256</f>
        <v>5653135.4362996444</v>
      </c>
      <c r="I255" s="10">
        <f t="shared" ref="I255:I286" si="50">+H255/E255*$I$5</f>
        <v>154880.42291231902</v>
      </c>
      <c r="J255" s="31">
        <f t="shared" si="46"/>
        <v>262947.37994491839</v>
      </c>
      <c r="K255" s="10">
        <f t="shared" si="47"/>
        <v>154880.42291231902</v>
      </c>
      <c r="L255" s="10">
        <f t="shared" ref="L255:L314" si="51">+J255-K255</f>
        <v>108066.95703259937</v>
      </c>
      <c r="M255" s="10">
        <f>'D) Ecrêtage'!C254</f>
        <v>83651.867392232569</v>
      </c>
      <c r="N255" s="10">
        <f t="shared" si="48"/>
        <v>110870.71593625589</v>
      </c>
      <c r="O255" s="55">
        <f t="shared" si="49"/>
        <v>265751.13884857489</v>
      </c>
      <c r="P255" s="219"/>
      <c r="Q255" s="220"/>
      <c r="R255" s="216"/>
      <c r="S255" s="216"/>
      <c r="T255" s="221"/>
    </row>
    <row r="256" spans="1:20" s="215" customFormat="1" x14ac:dyDescent="0.25">
      <c r="A256" s="310">
        <f>'A) Base RI'!A257</f>
        <v>5841</v>
      </c>
      <c r="B256" s="228" t="str">
        <f>'A) Base RI'!B257</f>
        <v>Château-d'Oex</v>
      </c>
      <c r="C256" s="244">
        <v>0</v>
      </c>
      <c r="D256" s="217">
        <f>'B) D RI'!AA257</f>
        <v>3460</v>
      </c>
      <c r="E256" s="218">
        <f>'B) D RI'!S257</f>
        <v>83</v>
      </c>
      <c r="F256" s="10">
        <f>'B) D RI'!R257</f>
        <v>9652895.0136331376</v>
      </c>
      <c r="G256" s="10">
        <f>'B) D RI'!U257</f>
        <v>116299.93992329082</v>
      </c>
      <c r="H256" s="41">
        <f>'B) D RI'!T257</f>
        <v>8630816.7136331368</v>
      </c>
      <c r="I256" s="10">
        <f t="shared" si="50"/>
        <v>207971.48707549728</v>
      </c>
      <c r="J256" s="31">
        <f t="shared" si="46"/>
        <v>286640.81115608622</v>
      </c>
      <c r="K256" s="10">
        <f t="shared" si="47"/>
        <v>207971.48707549728</v>
      </c>
      <c r="L256" s="10">
        <f t="shared" si="51"/>
        <v>78669.324080588936</v>
      </c>
      <c r="M256" s="10">
        <f>'D) Ecrêtage'!C255</f>
        <v>116299.93992329082</v>
      </c>
      <c r="N256" s="10">
        <f t="shared" si="48"/>
        <v>154141.89789905501</v>
      </c>
      <c r="O256" s="55">
        <f t="shared" si="49"/>
        <v>362113.38497455232</v>
      </c>
      <c r="P256" s="219"/>
      <c r="Q256" s="220"/>
      <c r="R256" s="216"/>
      <c r="S256" s="216"/>
      <c r="T256" s="221"/>
    </row>
    <row r="257" spans="1:20" s="215" customFormat="1" x14ac:dyDescent="0.25">
      <c r="A257" s="310">
        <f>'A) Base RI'!A258</f>
        <v>5842</v>
      </c>
      <c r="B257" s="228" t="str">
        <f>'A) Base RI'!B258</f>
        <v>Rossinière</v>
      </c>
      <c r="C257" s="244">
        <v>0</v>
      </c>
      <c r="D257" s="217">
        <f>'B) D RI'!AA258</f>
        <v>548</v>
      </c>
      <c r="E257" s="218">
        <f>'B) D RI'!S258</f>
        <v>81</v>
      </c>
      <c r="F257" s="10">
        <f>'B) D RI'!R258</f>
        <v>1303631.5264166293</v>
      </c>
      <c r="G257" s="10">
        <f>'B) D RI'!U258</f>
        <v>16094.216375513943</v>
      </c>
      <c r="H257" s="41">
        <f>'B) D RI'!T258</f>
        <v>1211618.143083296</v>
      </c>
      <c r="I257" s="10">
        <f t="shared" si="50"/>
        <v>29916.497360081383</v>
      </c>
      <c r="J257" s="31">
        <f t="shared" si="46"/>
        <v>45398.602460559319</v>
      </c>
      <c r="K257" s="10">
        <f t="shared" si="47"/>
        <v>29916.497360081383</v>
      </c>
      <c r="L257" s="10">
        <f t="shared" si="51"/>
        <v>15482.105100477937</v>
      </c>
      <c r="M257" s="10">
        <f>'D) Ecrêtage'!C256</f>
        <v>16094.216375513943</v>
      </c>
      <c r="N257" s="10">
        <f t="shared" si="48"/>
        <v>21330.991735301432</v>
      </c>
      <c r="O257" s="55">
        <f t="shared" si="49"/>
        <v>51247.489095382814</v>
      </c>
      <c r="P257" s="219"/>
      <c r="Q257" s="220"/>
      <c r="R257" s="216"/>
      <c r="S257" s="216"/>
      <c r="T257" s="221"/>
    </row>
    <row r="258" spans="1:20" s="215" customFormat="1" x14ac:dyDescent="0.25">
      <c r="A258" s="310">
        <f>'A) Base RI'!A259</f>
        <v>5843</v>
      </c>
      <c r="B258" s="228" t="str">
        <f>'A) Base RI'!B259</f>
        <v>Rougemont</v>
      </c>
      <c r="C258" s="244">
        <v>0</v>
      </c>
      <c r="D258" s="217">
        <f>'B) D RI'!AA259</f>
        <v>882</v>
      </c>
      <c r="E258" s="218">
        <f>'B) D RI'!S259</f>
        <v>74</v>
      </c>
      <c r="F258" s="10">
        <f>'B) D RI'!R259</f>
        <v>6966981.723352544</v>
      </c>
      <c r="G258" s="10">
        <f>'B) D RI'!U259</f>
        <v>94148.401666926264</v>
      </c>
      <c r="H258" s="41">
        <f>'B) D RI'!T259</f>
        <v>6183787.1900192108</v>
      </c>
      <c r="I258" s="10">
        <f t="shared" si="50"/>
        <v>167129.38351403273</v>
      </c>
      <c r="J258" s="31">
        <f t="shared" si="46"/>
        <v>73068.55359527978</v>
      </c>
      <c r="K258" s="10">
        <f t="shared" si="47"/>
        <v>73068.55359527978</v>
      </c>
      <c r="L258" s="10">
        <f t="shared" si="51"/>
        <v>0</v>
      </c>
      <c r="M258" s="10">
        <f>'D) Ecrêtage'!C257</f>
        <v>94148.401666926264</v>
      </c>
      <c r="N258" s="10">
        <f t="shared" si="48"/>
        <v>124782.6381223803</v>
      </c>
      <c r="O258" s="55">
        <f t="shared" si="49"/>
        <v>197851.19171766008</v>
      </c>
      <c r="P258" s="219"/>
      <c r="Q258" s="220"/>
      <c r="R258" s="216"/>
      <c r="S258" s="216"/>
      <c r="T258" s="221"/>
    </row>
    <row r="259" spans="1:20" s="215" customFormat="1" x14ac:dyDescent="0.25">
      <c r="A259" s="310">
        <f>'A) Base RI'!A260</f>
        <v>5851</v>
      </c>
      <c r="B259" s="228" t="str">
        <f>'A) Base RI'!B260</f>
        <v>Allaman</v>
      </c>
      <c r="C259" s="244">
        <v>0</v>
      </c>
      <c r="D259" s="217">
        <f>'B) D RI'!AA260</f>
        <v>434</v>
      </c>
      <c r="E259" s="218">
        <f>'B) D RI'!S260</f>
        <v>62</v>
      </c>
      <c r="F259" s="10">
        <f>'B) D RI'!R260</f>
        <v>1787688.7547224716</v>
      </c>
      <c r="G259" s="10">
        <f>'B) D RI'!U260</f>
        <v>28833.689592297927</v>
      </c>
      <c r="H259" s="41">
        <f>'B) D RI'!T260</f>
        <v>1538875.0456315624</v>
      </c>
      <c r="I259" s="10">
        <f t="shared" si="50"/>
        <v>49641.130504243949</v>
      </c>
      <c r="J259" s="31">
        <f t="shared" si="46"/>
        <v>35954.367642121797</v>
      </c>
      <c r="K259" s="10">
        <f t="shared" si="47"/>
        <v>35954.367642121797</v>
      </c>
      <c r="L259" s="10">
        <f t="shared" si="51"/>
        <v>0</v>
      </c>
      <c r="M259" s="10">
        <f>'D) Ecrêtage'!C258</f>
        <v>28833.689592297927</v>
      </c>
      <c r="N259" s="10">
        <f t="shared" si="48"/>
        <v>38215.665804475262</v>
      </c>
      <c r="O259" s="55">
        <f t="shared" si="49"/>
        <v>74170.033446597052</v>
      </c>
      <c r="P259" s="219"/>
      <c r="Q259" s="220"/>
      <c r="R259" s="216"/>
      <c r="S259" s="216"/>
      <c r="T259" s="221"/>
    </row>
    <row r="260" spans="1:20" s="215" customFormat="1" x14ac:dyDescent="0.25">
      <c r="A260" s="310">
        <f>'A) Base RI'!A261</f>
        <v>5852</v>
      </c>
      <c r="B260" s="228" t="str">
        <f>'A) Base RI'!B261</f>
        <v>Bursinel</v>
      </c>
      <c r="C260" s="244">
        <v>0</v>
      </c>
      <c r="D260" s="217">
        <f>'B) D RI'!AA261</f>
        <v>471</v>
      </c>
      <c r="E260" s="218">
        <f>'B) D RI'!S261</f>
        <v>65.5</v>
      </c>
      <c r="F260" s="10">
        <f>'B) D RI'!R261</f>
        <v>2600084.8292317637</v>
      </c>
      <c r="G260" s="10">
        <f>'B) D RI'!U261</f>
        <v>39695.951591324636</v>
      </c>
      <c r="H260" s="41">
        <f>'B) D RI'!T261</f>
        <v>2415547.4792317636</v>
      </c>
      <c r="I260" s="10">
        <f t="shared" si="50"/>
        <v>73757.174938374461</v>
      </c>
      <c r="J260" s="31">
        <f t="shared" si="46"/>
        <v>39019.601749860296</v>
      </c>
      <c r="K260" s="10">
        <f t="shared" si="47"/>
        <v>39019.601749860296</v>
      </c>
      <c r="L260" s="10">
        <f t="shared" si="51"/>
        <v>0</v>
      </c>
      <c r="M260" s="10">
        <f>'D) Ecrêtage'!C259</f>
        <v>39695.951591324636</v>
      </c>
      <c r="N260" s="10">
        <f t="shared" si="48"/>
        <v>52612.317093470898</v>
      </c>
      <c r="O260" s="55">
        <f t="shared" si="49"/>
        <v>91631.918843331194</v>
      </c>
      <c r="P260" s="219"/>
      <c r="Q260" s="220"/>
      <c r="R260" s="216"/>
      <c r="S260" s="216"/>
      <c r="T260" s="221"/>
    </row>
    <row r="261" spans="1:20" s="215" customFormat="1" x14ac:dyDescent="0.25">
      <c r="A261" s="310">
        <f>'A) Base RI'!A262</f>
        <v>5853</v>
      </c>
      <c r="B261" s="228" t="str">
        <f>'A) Base RI'!B262</f>
        <v>Bursins</v>
      </c>
      <c r="C261" s="244">
        <v>0</v>
      </c>
      <c r="D261" s="217">
        <f>'B) D RI'!AA262</f>
        <v>752</v>
      </c>
      <c r="E261" s="218">
        <f>'B) D RI'!S262</f>
        <v>71</v>
      </c>
      <c r="F261" s="10">
        <f>'B) D RI'!R262</f>
        <v>2596536.4312499999</v>
      </c>
      <c r="G261" s="10">
        <f>'B) D RI'!U262</f>
        <v>36570.93565140845</v>
      </c>
      <c r="H261" s="41">
        <f>'B) D RI'!T262</f>
        <v>2387907.5812499998</v>
      </c>
      <c r="I261" s="10">
        <f t="shared" si="50"/>
        <v>67265.002288732387</v>
      </c>
      <c r="J261" s="31">
        <f t="shared" si="46"/>
        <v>62298.812135658045</v>
      </c>
      <c r="K261" s="10">
        <f t="shared" si="47"/>
        <v>62298.812135658045</v>
      </c>
      <c r="L261" s="10">
        <f t="shared" si="51"/>
        <v>0</v>
      </c>
      <c r="M261" s="10">
        <f>'D) Ecrêtage'!C260</f>
        <v>36570.93565140845</v>
      </c>
      <c r="N261" s="10">
        <f t="shared" si="48"/>
        <v>48470.475848658585</v>
      </c>
      <c r="O261" s="55">
        <f t="shared" si="49"/>
        <v>110769.28798431663</v>
      </c>
      <c r="P261" s="219"/>
      <c r="Q261" s="220"/>
      <c r="R261" s="216"/>
      <c r="S261" s="216"/>
      <c r="T261" s="221"/>
    </row>
    <row r="262" spans="1:20" s="215" customFormat="1" x14ac:dyDescent="0.25">
      <c r="A262" s="310">
        <f>'A) Base RI'!A263</f>
        <v>5854</v>
      </c>
      <c r="B262" s="228" t="str">
        <f>'A) Base RI'!B263</f>
        <v>Burtigny</v>
      </c>
      <c r="C262" s="244">
        <v>0</v>
      </c>
      <c r="D262" s="217">
        <f>'B) D RI'!AA263</f>
        <v>391</v>
      </c>
      <c r="E262" s="218">
        <f>'B) D RI'!S263</f>
        <v>80</v>
      </c>
      <c r="F262" s="10">
        <f>'B) D RI'!R263</f>
        <v>1214942.0935812034</v>
      </c>
      <c r="G262" s="10">
        <f>'B) D RI'!U263</f>
        <v>15186.776169765042</v>
      </c>
      <c r="H262" s="41">
        <f>'B) D RI'!T263</f>
        <v>1143220.4269145369</v>
      </c>
      <c r="I262" s="10">
        <f t="shared" si="50"/>
        <v>28580.51067286342</v>
      </c>
      <c r="J262" s="31">
        <f t="shared" si="46"/>
        <v>32392.068543939225</v>
      </c>
      <c r="K262" s="10">
        <f t="shared" si="47"/>
        <v>28580.51067286342</v>
      </c>
      <c r="L262" s="10">
        <f t="shared" si="51"/>
        <v>3811.5578710758055</v>
      </c>
      <c r="M262" s="10">
        <f>'D) Ecrêtage'!C261</f>
        <v>15186.776169765042</v>
      </c>
      <c r="N262" s="10">
        <f t="shared" si="48"/>
        <v>20128.286423189464</v>
      </c>
      <c r="O262" s="55">
        <f t="shared" si="49"/>
        <v>48708.797096052884</v>
      </c>
      <c r="P262" s="219"/>
      <c r="Q262" s="220"/>
      <c r="R262" s="216"/>
      <c r="S262" s="216"/>
      <c r="T262" s="221"/>
    </row>
    <row r="263" spans="1:20" s="215" customFormat="1" x14ac:dyDescent="0.25">
      <c r="A263" s="310">
        <f>'A) Base RI'!A264</f>
        <v>5855</v>
      </c>
      <c r="B263" s="228" t="str">
        <f>'A) Base RI'!B264</f>
        <v>Dully</v>
      </c>
      <c r="C263" s="244">
        <v>0</v>
      </c>
      <c r="D263" s="217">
        <f>'B) D RI'!AA264</f>
        <v>635</v>
      </c>
      <c r="E263" s="218">
        <f>'B) D RI'!S264</f>
        <v>49</v>
      </c>
      <c r="F263" s="10">
        <f>'B) D RI'!R264</f>
        <v>4477112.1394214127</v>
      </c>
      <c r="G263" s="10">
        <f>'B) D RI'!U264</f>
        <v>91369.635498396179</v>
      </c>
      <c r="H263" s="41">
        <f>'B) D RI'!T264</f>
        <v>4126919.1394214132</v>
      </c>
      <c r="I263" s="10">
        <f t="shared" si="50"/>
        <v>168445.67916005768</v>
      </c>
      <c r="J263" s="31">
        <f t="shared" si="46"/>
        <v>52606.044821998483</v>
      </c>
      <c r="K263" s="10">
        <f t="shared" si="47"/>
        <v>52606.044821998483</v>
      </c>
      <c r="L263" s="10">
        <f t="shared" si="51"/>
        <v>0</v>
      </c>
      <c r="M263" s="10">
        <f>'D) Ecrêtage'!C262</f>
        <v>91369.635498396179</v>
      </c>
      <c r="N263" s="10">
        <f t="shared" si="48"/>
        <v>121099.71024367781</v>
      </c>
      <c r="O263" s="55">
        <f t="shared" si="49"/>
        <v>173705.75506567629</v>
      </c>
      <c r="P263" s="219"/>
      <c r="Q263" s="220"/>
      <c r="R263" s="216"/>
      <c r="S263" s="216"/>
      <c r="T263" s="221"/>
    </row>
    <row r="264" spans="1:20" s="215" customFormat="1" x14ac:dyDescent="0.25">
      <c r="A264" s="310">
        <f>'A) Base RI'!A265</f>
        <v>5856</v>
      </c>
      <c r="B264" s="228" t="str">
        <f>'A) Base RI'!B265</f>
        <v>Essertines-sur-Rolle</v>
      </c>
      <c r="C264" s="244">
        <v>0</v>
      </c>
      <c r="D264" s="217">
        <f>'B) D RI'!AA265</f>
        <v>726</v>
      </c>
      <c r="E264" s="218">
        <f>'B) D RI'!S265</f>
        <v>68</v>
      </c>
      <c r="F264" s="10">
        <f>'B) D RI'!R265</f>
        <v>2543422.8819078417</v>
      </c>
      <c r="G264" s="10">
        <f>'B) D RI'!U265</f>
        <v>37403.277675115321</v>
      </c>
      <c r="H264" s="41">
        <f>'B) D RI'!T265</f>
        <v>2364450.3626770726</v>
      </c>
      <c r="I264" s="10">
        <f t="shared" si="50"/>
        <v>69542.657725796249</v>
      </c>
      <c r="J264" s="31">
        <f t="shared" si="46"/>
        <v>60144.863843733699</v>
      </c>
      <c r="K264" s="10">
        <f t="shared" si="47"/>
        <v>60144.863843733699</v>
      </c>
      <c r="L264" s="10">
        <f t="shared" si="51"/>
        <v>0</v>
      </c>
      <c r="M264" s="10">
        <f>'D) Ecrêtage'!C263</f>
        <v>37403.277675115321</v>
      </c>
      <c r="N264" s="10">
        <f t="shared" si="48"/>
        <v>49573.647349176477</v>
      </c>
      <c r="O264" s="55">
        <f t="shared" si="49"/>
        <v>109718.51119291017</v>
      </c>
      <c r="P264" s="219"/>
      <c r="Q264" s="220"/>
      <c r="R264" s="216"/>
      <c r="S264" s="216"/>
      <c r="T264" s="221"/>
    </row>
    <row r="265" spans="1:20" s="215" customFormat="1" x14ac:dyDescent="0.25">
      <c r="A265" s="310">
        <f>'A) Base RI'!A266</f>
        <v>5857</v>
      </c>
      <c r="B265" s="228" t="str">
        <f>'A) Base RI'!B266</f>
        <v>Gilly</v>
      </c>
      <c r="C265" s="244">
        <v>0</v>
      </c>
      <c r="D265" s="217">
        <f>'B) D RI'!AA266</f>
        <v>1324</v>
      </c>
      <c r="E265" s="218">
        <f>'B) D RI'!S266</f>
        <v>66</v>
      </c>
      <c r="F265" s="10">
        <f>'B) D RI'!R266</f>
        <v>5850285.393105871</v>
      </c>
      <c r="G265" s="10">
        <f>'B) D RI'!U266</f>
        <v>88640.687774331382</v>
      </c>
      <c r="H265" s="41">
        <f>'B) D RI'!T266</f>
        <v>5463737.5431058705</v>
      </c>
      <c r="I265" s="10">
        <f t="shared" si="50"/>
        <v>165567.80433654154</v>
      </c>
      <c r="J265" s="31">
        <f t="shared" si="46"/>
        <v>109685.67455799368</v>
      </c>
      <c r="K265" s="10">
        <f t="shared" si="47"/>
        <v>109685.67455799368</v>
      </c>
      <c r="L265" s="10">
        <f t="shared" si="51"/>
        <v>0</v>
      </c>
      <c r="M265" s="10">
        <f>'D) Ecrêtage'!C264</f>
        <v>88640.687774331382</v>
      </c>
      <c r="N265" s="10">
        <f t="shared" si="48"/>
        <v>117482.81085635135</v>
      </c>
      <c r="O265" s="55">
        <f t="shared" si="49"/>
        <v>227168.48541434505</v>
      </c>
      <c r="P265" s="219"/>
      <c r="Q265" s="220"/>
      <c r="R265" s="216"/>
      <c r="S265" s="216"/>
      <c r="T265" s="221"/>
    </row>
    <row r="266" spans="1:20" s="215" customFormat="1" x14ac:dyDescent="0.25">
      <c r="A266" s="310">
        <f>'A) Base RI'!A267</f>
        <v>5858</v>
      </c>
      <c r="B266" s="228" t="str">
        <f>'A) Base RI'!B267</f>
        <v>Luins</v>
      </c>
      <c r="C266" s="244">
        <v>0</v>
      </c>
      <c r="D266" s="217">
        <f>'B) D RI'!AA267</f>
        <v>613</v>
      </c>
      <c r="E266" s="218">
        <f>'B) D RI'!S267</f>
        <v>60</v>
      </c>
      <c r="F266" s="10">
        <f>'B) D RI'!R267</f>
        <v>2626848.7291316921</v>
      </c>
      <c r="G266" s="10">
        <f>'B) D RI'!U267</f>
        <v>43780.812152194871</v>
      </c>
      <c r="H266" s="41">
        <f>'B) D RI'!T267</f>
        <v>2478906.6624650257</v>
      </c>
      <c r="I266" s="10">
        <f t="shared" si="50"/>
        <v>82630.222082167529</v>
      </c>
      <c r="J266" s="31">
        <f t="shared" si="46"/>
        <v>50783.47319037019</v>
      </c>
      <c r="K266" s="10">
        <f t="shared" si="47"/>
        <v>50783.47319037019</v>
      </c>
      <c r="L266" s="10">
        <f t="shared" si="51"/>
        <v>0</v>
      </c>
      <c r="M266" s="10">
        <f>'D) Ecrêtage'!C265</f>
        <v>43780.812152194871</v>
      </c>
      <c r="N266" s="10">
        <f t="shared" si="48"/>
        <v>58026.319541974655</v>
      </c>
      <c r="O266" s="55">
        <f t="shared" si="49"/>
        <v>108809.79273234485</v>
      </c>
      <c r="P266" s="219"/>
      <c r="Q266" s="220"/>
      <c r="R266" s="216"/>
      <c r="S266" s="216"/>
      <c r="T266" s="221"/>
    </row>
    <row r="267" spans="1:20" s="215" customFormat="1" x14ac:dyDescent="0.25">
      <c r="A267" s="310">
        <f>'A) Base RI'!A268</f>
        <v>5859</v>
      </c>
      <c r="B267" s="228" t="str">
        <f>'A) Base RI'!B268</f>
        <v>Mont-sur-Rolle</v>
      </c>
      <c r="C267" s="244">
        <v>0</v>
      </c>
      <c r="D267" s="217">
        <f>'B) D RI'!AA268</f>
        <v>2651</v>
      </c>
      <c r="E267" s="218">
        <f>'B) D RI'!S268</f>
        <v>65</v>
      </c>
      <c r="F267" s="10">
        <f>'B) D RI'!R268</f>
        <v>9256250.6174806431</v>
      </c>
      <c r="G267" s="10">
        <f>'B) D RI'!U268</f>
        <v>142403.85565354835</v>
      </c>
      <c r="H267" s="41">
        <f>'B) D RI'!T268</f>
        <v>8598704.8174806423</v>
      </c>
      <c r="I267" s="10">
        <f t="shared" si="50"/>
        <v>264575.53284555825</v>
      </c>
      <c r="J267" s="31">
        <f t="shared" si="46"/>
        <v>219619.88161120942</v>
      </c>
      <c r="K267" s="10">
        <f t="shared" si="47"/>
        <v>219619.88161120942</v>
      </c>
      <c r="L267" s="10">
        <f t="shared" si="51"/>
        <v>0</v>
      </c>
      <c r="M267" s="10">
        <f>'D) Ecrêtage'!C266</f>
        <v>142403.85565354835</v>
      </c>
      <c r="N267" s="10">
        <f t="shared" si="48"/>
        <v>188739.56936743969</v>
      </c>
      <c r="O267" s="55">
        <f t="shared" si="49"/>
        <v>408359.45097864908</v>
      </c>
      <c r="P267" s="219"/>
      <c r="Q267" s="220"/>
      <c r="R267" s="216"/>
      <c r="S267" s="216"/>
      <c r="T267" s="221"/>
    </row>
    <row r="268" spans="1:20" s="215" customFormat="1" x14ac:dyDescent="0.25">
      <c r="A268" s="310">
        <f>'A) Base RI'!A269</f>
        <v>5860</v>
      </c>
      <c r="B268" s="228" t="str">
        <f>'A) Base RI'!B269</f>
        <v>Perroy</v>
      </c>
      <c r="C268" s="244">
        <v>0</v>
      </c>
      <c r="D268" s="217">
        <f>'B) D RI'!AA269</f>
        <v>1542</v>
      </c>
      <c r="E268" s="218">
        <f>'B) D RI'!S269</f>
        <v>60</v>
      </c>
      <c r="F268" s="10">
        <f>'B) D RI'!R269</f>
        <v>5709641.268096799</v>
      </c>
      <c r="G268" s="10">
        <f>'B) D RI'!U269</f>
        <v>95160.687801613312</v>
      </c>
      <c r="H268" s="41">
        <f>'B) D RI'!T269</f>
        <v>5199257.7565583372</v>
      </c>
      <c r="I268" s="10">
        <f t="shared" si="50"/>
        <v>173308.59188527791</v>
      </c>
      <c r="J268" s="31">
        <f t="shared" si="46"/>
        <v>127745.70254412861</v>
      </c>
      <c r="K268" s="10">
        <f t="shared" si="47"/>
        <v>127745.70254412861</v>
      </c>
      <c r="L268" s="10">
        <f t="shared" si="51"/>
        <v>0</v>
      </c>
      <c r="M268" s="10">
        <f>'D) Ecrêtage'!C267</f>
        <v>95160.687801613312</v>
      </c>
      <c r="N268" s="10">
        <f t="shared" si="48"/>
        <v>126124.3043873885</v>
      </c>
      <c r="O268" s="55">
        <f t="shared" si="49"/>
        <v>253870.0069315171</v>
      </c>
      <c r="P268" s="219"/>
      <c r="Q268" s="220"/>
      <c r="R268" s="216"/>
      <c r="S268" s="216"/>
      <c r="T268" s="221"/>
    </row>
    <row r="269" spans="1:20" s="215" customFormat="1" x14ac:dyDescent="0.25">
      <c r="A269" s="310">
        <f>'A) Base RI'!A270</f>
        <v>5861</v>
      </c>
      <c r="B269" s="228" t="str">
        <f>'A) Base RI'!B270</f>
        <v>Rolle</v>
      </c>
      <c r="C269" s="244">
        <v>0</v>
      </c>
      <c r="D269" s="217">
        <f>'B) D RI'!AA270</f>
        <v>6246</v>
      </c>
      <c r="E269" s="218">
        <f>'B) D RI'!S270</f>
        <v>59.5</v>
      </c>
      <c r="F269" s="10">
        <f>'B) D RI'!R270</f>
        <v>34166631.591646738</v>
      </c>
      <c r="G269" s="10">
        <f>'B) D RI'!U270</f>
        <v>574229.10238061741</v>
      </c>
      <c r="H269" s="41">
        <f>'B) D RI'!T270</f>
        <v>32107371.69164674</v>
      </c>
      <c r="I269" s="10">
        <f t="shared" si="50"/>
        <v>1079239.3845931678</v>
      </c>
      <c r="J269" s="31">
        <f t="shared" si="46"/>
        <v>517444.65505228745</v>
      </c>
      <c r="K269" s="10">
        <f t="shared" si="47"/>
        <v>517444.65505228745</v>
      </c>
      <c r="L269" s="10">
        <f t="shared" si="51"/>
        <v>0</v>
      </c>
      <c r="M269" s="10">
        <f>'D) Ecrêtage'!C268</f>
        <v>574229.10238061741</v>
      </c>
      <c r="N269" s="10">
        <f t="shared" si="48"/>
        <v>761073.16760610905</v>
      </c>
      <c r="O269" s="55">
        <f t="shared" si="49"/>
        <v>1278517.8226583966</v>
      </c>
      <c r="P269" s="219"/>
      <c r="Q269" s="220"/>
      <c r="R269" s="216"/>
      <c r="S269" s="216"/>
      <c r="T269" s="221"/>
    </row>
    <row r="270" spans="1:20" s="215" customFormat="1" x14ac:dyDescent="0.25">
      <c r="A270" s="310">
        <f>'A) Base RI'!A271</f>
        <v>5862</v>
      </c>
      <c r="B270" s="228" t="str">
        <f>'A) Base RI'!B271</f>
        <v>Tartegnin</v>
      </c>
      <c r="C270" s="244">
        <v>0</v>
      </c>
      <c r="D270" s="217">
        <f>'B) D RI'!AA271</f>
        <v>246</v>
      </c>
      <c r="E270" s="218">
        <f>'B) D RI'!S271</f>
        <v>81</v>
      </c>
      <c r="F270" s="10">
        <f>'B) D RI'!R271</f>
        <v>991083.25321289618</v>
      </c>
      <c r="G270" s="10">
        <f>'B) D RI'!U271</f>
        <v>12235.59571867773</v>
      </c>
      <c r="H270" s="41">
        <f>'B) D RI'!T271</f>
        <v>941681.85321289615</v>
      </c>
      <c r="I270" s="10">
        <f t="shared" si="50"/>
        <v>23251.403783034471</v>
      </c>
      <c r="J270" s="31">
        <f t="shared" si="46"/>
        <v>20379.664608207288</v>
      </c>
      <c r="K270" s="10">
        <f t="shared" si="47"/>
        <v>20379.664608207288</v>
      </c>
      <c r="L270" s="10">
        <f t="shared" si="51"/>
        <v>0</v>
      </c>
      <c r="M270" s="10">
        <f>'D) Ecrêtage'!C269</f>
        <v>12235.59571867773</v>
      </c>
      <c r="N270" s="10">
        <f t="shared" si="48"/>
        <v>16216.843682348574</v>
      </c>
      <c r="O270" s="55">
        <f t="shared" si="49"/>
        <v>36596.508290555859</v>
      </c>
      <c r="P270" s="219"/>
      <c r="Q270" s="220"/>
      <c r="R270" s="216"/>
      <c r="S270" s="216"/>
      <c r="T270" s="221"/>
    </row>
    <row r="271" spans="1:20" s="215" customFormat="1" x14ac:dyDescent="0.25">
      <c r="A271" s="310">
        <f>'A) Base RI'!A272</f>
        <v>5863</v>
      </c>
      <c r="B271" s="228" t="str">
        <f>'A) Base RI'!B272</f>
        <v>Vinzel</v>
      </c>
      <c r="C271" s="244">
        <v>0</v>
      </c>
      <c r="D271" s="217">
        <f>'B) D RI'!AA272</f>
        <v>358</v>
      </c>
      <c r="E271" s="218">
        <f>'B) D RI'!S272</f>
        <v>67</v>
      </c>
      <c r="F271" s="10">
        <f>'B) D RI'!R272</f>
        <v>1500440.5982230818</v>
      </c>
      <c r="G271" s="10">
        <f>'B) D RI'!U272</f>
        <v>22394.635794374353</v>
      </c>
      <c r="H271" s="41">
        <f>'B) D RI'!T272</f>
        <v>1418926.6982230819</v>
      </c>
      <c r="I271" s="10">
        <f t="shared" si="50"/>
        <v>42356.020842480058</v>
      </c>
      <c r="J271" s="31">
        <f t="shared" si="46"/>
        <v>29658.211096496783</v>
      </c>
      <c r="K271" s="10">
        <f t="shared" si="47"/>
        <v>29658.211096496783</v>
      </c>
      <c r="L271" s="10">
        <f t="shared" si="51"/>
        <v>0</v>
      </c>
      <c r="M271" s="10">
        <f>'D) Ecrêtage'!C270</f>
        <v>22394.635794374353</v>
      </c>
      <c r="N271" s="10">
        <f t="shared" si="48"/>
        <v>29681.456984241046</v>
      </c>
      <c r="O271" s="55">
        <f t="shared" si="49"/>
        <v>59339.668080737829</v>
      </c>
      <c r="P271" s="219"/>
      <c r="Q271" s="220"/>
      <c r="R271" s="216"/>
      <c r="S271" s="216"/>
      <c r="T271" s="221"/>
    </row>
    <row r="272" spans="1:20" s="215" customFormat="1" x14ac:dyDescent="0.25">
      <c r="A272" s="310">
        <f>'A) Base RI'!A273</f>
        <v>5871</v>
      </c>
      <c r="B272" s="228" t="str">
        <f>'A) Base RI'!B273</f>
        <v>L'Abbaye</v>
      </c>
      <c r="C272" s="244">
        <v>0</v>
      </c>
      <c r="D272" s="217">
        <f>'B) D RI'!AA273</f>
        <v>1481</v>
      </c>
      <c r="E272" s="218">
        <f>'B) D RI'!S273</f>
        <v>77.31</v>
      </c>
      <c r="F272" s="10">
        <f>'B) D RI'!R273</f>
        <v>3453579.2674716739</v>
      </c>
      <c r="G272" s="10">
        <f>'B) D RI'!U273</f>
        <v>44671.831166364944</v>
      </c>
      <c r="H272" s="41">
        <f>'B) D RI'!T273</f>
        <v>3199836.1674716738</v>
      </c>
      <c r="I272" s="10">
        <f t="shared" si="50"/>
        <v>82779.360172595363</v>
      </c>
      <c r="J272" s="31">
        <f t="shared" si="46"/>
        <v>122692.20847461378</v>
      </c>
      <c r="K272" s="10">
        <f t="shared" si="47"/>
        <v>82779.360172595363</v>
      </c>
      <c r="L272" s="10">
        <f t="shared" si="51"/>
        <v>39912.848302018421</v>
      </c>
      <c r="M272" s="10">
        <f>'D) Ecrêtage'!C271</f>
        <v>44671.831166364944</v>
      </c>
      <c r="N272" s="10">
        <f t="shared" si="48"/>
        <v>59207.260495159229</v>
      </c>
      <c r="O272" s="55">
        <f t="shared" si="49"/>
        <v>141986.62066775459</v>
      </c>
      <c r="P272" s="219"/>
      <c r="Q272" s="220"/>
      <c r="R272" s="216"/>
      <c r="S272" s="216"/>
      <c r="T272" s="221"/>
    </row>
    <row r="273" spans="1:20" s="215" customFormat="1" x14ac:dyDescent="0.25">
      <c r="A273" s="310">
        <f>'A) Base RI'!A274</f>
        <v>5872</v>
      </c>
      <c r="B273" s="228" t="str">
        <f>'A) Base RI'!B274</f>
        <v>Le Chenit</v>
      </c>
      <c r="C273" s="244">
        <v>0</v>
      </c>
      <c r="D273" s="217">
        <f>'B) D RI'!AA274</f>
        <v>4605</v>
      </c>
      <c r="E273" s="218">
        <f>'B) D RI'!S274</f>
        <v>68.12</v>
      </c>
      <c r="F273" s="10">
        <f>'B) D RI'!R274</f>
        <v>11545487.062835151</v>
      </c>
      <c r="G273" s="10">
        <f>'B) D RI'!U274</f>
        <v>169487.47890245376</v>
      </c>
      <c r="H273" s="41">
        <f>'B) D RI'!T274</f>
        <v>10796856.905692294</v>
      </c>
      <c r="I273" s="10">
        <f t="shared" si="50"/>
        <v>316995.21155878727</v>
      </c>
      <c r="J273" s="31">
        <f t="shared" si="46"/>
        <v>381497.38016583154</v>
      </c>
      <c r="K273" s="10">
        <f t="shared" si="47"/>
        <v>316995.21155878727</v>
      </c>
      <c r="L273" s="10">
        <f t="shared" si="51"/>
        <v>64502.168607044267</v>
      </c>
      <c r="M273" s="10">
        <f>'D) Ecrêtage'!C272</f>
        <v>169487.47890245376</v>
      </c>
      <c r="N273" s="10">
        <f t="shared" si="48"/>
        <v>224635.72797528433</v>
      </c>
      <c r="O273" s="55">
        <f t="shared" si="49"/>
        <v>541630.9395340716</v>
      </c>
      <c r="P273" s="219"/>
      <c r="Q273" s="220"/>
      <c r="R273" s="216"/>
      <c r="S273" s="216"/>
      <c r="T273" s="221"/>
    </row>
    <row r="274" spans="1:20" s="215" customFormat="1" x14ac:dyDescent="0.25">
      <c r="A274" s="310">
        <f>'A) Base RI'!A275</f>
        <v>5873</v>
      </c>
      <c r="B274" s="228" t="str">
        <f>'A) Base RI'!B275</f>
        <v>Le Lieu</v>
      </c>
      <c r="C274" s="244">
        <v>0</v>
      </c>
      <c r="D274" s="217">
        <f>'B) D RI'!AA275</f>
        <v>875</v>
      </c>
      <c r="E274" s="218">
        <f>'B) D RI'!S275</f>
        <v>70</v>
      </c>
      <c r="F274" s="10">
        <f>'B) D RI'!R275</f>
        <v>2097574.5896314275</v>
      </c>
      <c r="G274" s="10">
        <f>'B) D RI'!U275</f>
        <v>29965.351280448966</v>
      </c>
      <c r="H274" s="41">
        <f>'B) D RI'!T275</f>
        <v>1957346.922964761</v>
      </c>
      <c r="I274" s="10">
        <f t="shared" si="50"/>
        <v>55924.197798993169</v>
      </c>
      <c r="J274" s="31">
        <f t="shared" si="46"/>
        <v>72488.644439761687</v>
      </c>
      <c r="K274" s="10">
        <f t="shared" si="47"/>
        <v>55924.197798993169</v>
      </c>
      <c r="L274" s="10">
        <f t="shared" si="51"/>
        <v>16564.446640768518</v>
      </c>
      <c r="M274" s="10">
        <f>'D) Ecrêtage'!C273</f>
        <v>29965.351280448966</v>
      </c>
      <c r="N274" s="10">
        <f t="shared" si="48"/>
        <v>39715.550331555023</v>
      </c>
      <c r="O274" s="55">
        <f t="shared" si="49"/>
        <v>95639.748130548192</v>
      </c>
      <c r="P274" s="219"/>
      <c r="Q274" s="220"/>
      <c r="R274" s="216"/>
      <c r="S274" s="216"/>
      <c r="T274" s="221"/>
    </row>
    <row r="275" spans="1:20" s="215" customFormat="1" x14ac:dyDescent="0.25">
      <c r="A275" s="310">
        <f>'A) Base RI'!A276</f>
        <v>5881</v>
      </c>
      <c r="B275" s="228" t="str">
        <f>'A) Base RI'!B276</f>
        <v>Blonay</v>
      </c>
      <c r="C275" s="244">
        <v>1</v>
      </c>
      <c r="D275" s="217">
        <f>'B) D RI'!AA276</f>
        <v>6175</v>
      </c>
      <c r="E275" s="218">
        <f>'B) D RI'!S276</f>
        <v>70</v>
      </c>
      <c r="F275" s="10">
        <f>'B) D RI'!R276</f>
        <v>23091322.258244775</v>
      </c>
      <c r="G275" s="10">
        <f>'B) D RI'!U276</f>
        <v>329876.03226063965</v>
      </c>
      <c r="H275" s="41">
        <f>'B) D RI'!T276</f>
        <v>21384087.908244777</v>
      </c>
      <c r="I275" s="10">
        <f t="shared" si="50"/>
        <v>610973.94023556507</v>
      </c>
      <c r="J275" s="31">
        <f t="shared" si="46"/>
        <v>511562.71933203249</v>
      </c>
      <c r="K275" s="10">
        <f t="shared" si="47"/>
        <v>0</v>
      </c>
      <c r="L275" s="10">
        <f t="shared" si="51"/>
        <v>511562.71933203249</v>
      </c>
      <c r="M275" s="10">
        <f>'D) Ecrêtage'!C274</f>
        <v>329876.03226063965</v>
      </c>
      <c r="N275" s="10">
        <f t="shared" si="48"/>
        <v>437211.89983075706</v>
      </c>
      <c r="O275" s="55">
        <f t="shared" si="49"/>
        <v>437211.89983075706</v>
      </c>
      <c r="P275" s="219"/>
      <c r="Q275" s="220"/>
      <c r="R275" s="216"/>
      <c r="S275" s="216"/>
      <c r="T275" s="221"/>
    </row>
    <row r="276" spans="1:20" s="215" customFormat="1" x14ac:dyDescent="0.25">
      <c r="A276" s="310">
        <f>'A) Base RI'!A277</f>
        <v>5882</v>
      </c>
      <c r="B276" s="228" t="str">
        <f>'A) Base RI'!B277</f>
        <v>Chardonne</v>
      </c>
      <c r="C276" s="244">
        <v>1</v>
      </c>
      <c r="D276" s="217">
        <f>'B) D RI'!AA277</f>
        <v>2941</v>
      </c>
      <c r="E276" s="218">
        <f>'B) D RI'!S277</f>
        <v>68</v>
      </c>
      <c r="F276" s="10">
        <f>'B) D RI'!R277</f>
        <v>10938896.4361401</v>
      </c>
      <c r="G276" s="10">
        <f>'B) D RI'!U277</f>
        <v>160866.12406088383</v>
      </c>
      <c r="H276" s="41">
        <f>'B) D RI'!T277</f>
        <v>10025974.956140099</v>
      </c>
      <c r="I276" s="10">
        <f t="shared" si="50"/>
        <v>294881.61635706172</v>
      </c>
      <c r="J276" s="31">
        <f t="shared" si="46"/>
        <v>243644.6894826733</v>
      </c>
      <c r="K276" s="10">
        <f t="shared" si="47"/>
        <v>0</v>
      </c>
      <c r="L276" s="10">
        <f t="shared" si="51"/>
        <v>243644.6894826733</v>
      </c>
      <c r="M276" s="10">
        <f>'D) Ecrêtage'!C275</f>
        <v>160866.12406088383</v>
      </c>
      <c r="N276" s="10">
        <f t="shared" si="48"/>
        <v>213209.13567766733</v>
      </c>
      <c r="O276" s="55">
        <f t="shared" si="49"/>
        <v>213209.13567766733</v>
      </c>
      <c r="P276" s="219"/>
      <c r="Q276" s="220"/>
      <c r="R276" s="216"/>
      <c r="S276" s="216"/>
      <c r="T276" s="221"/>
    </row>
    <row r="277" spans="1:20" s="215" customFormat="1" x14ac:dyDescent="0.25">
      <c r="A277" s="310">
        <f>'A) Base RI'!A278</f>
        <v>5883</v>
      </c>
      <c r="B277" s="228" t="str">
        <f>'A) Base RI'!B278</f>
        <v>Corseaux</v>
      </c>
      <c r="C277" s="244">
        <v>1</v>
      </c>
      <c r="D277" s="217">
        <f>'B) D RI'!AA278</f>
        <v>2282</v>
      </c>
      <c r="E277" s="218">
        <f>'B) D RI'!S278</f>
        <v>69</v>
      </c>
      <c r="F277" s="10">
        <f>'B) D RI'!R278</f>
        <v>10710158.831399506</v>
      </c>
      <c r="G277" s="10">
        <f>'B) D RI'!U278</f>
        <v>155219.69320868849</v>
      </c>
      <c r="H277" s="41">
        <f>'B) D RI'!T278</f>
        <v>10045631.181399506</v>
      </c>
      <c r="I277" s="10">
        <f t="shared" si="50"/>
        <v>291177.71540288423</v>
      </c>
      <c r="J277" s="31">
        <f t="shared" ref="J277:J308" si="52">+$I$315/$D$315*D277</f>
        <v>189050.3846988985</v>
      </c>
      <c r="K277" s="10">
        <f t="shared" si="47"/>
        <v>0</v>
      </c>
      <c r="L277" s="10">
        <f t="shared" si="51"/>
        <v>189050.3846988985</v>
      </c>
      <c r="M277" s="10">
        <f>'D) Ecrêtage'!C276</f>
        <v>155219.69320868849</v>
      </c>
      <c r="N277" s="10">
        <f t="shared" si="48"/>
        <v>205725.45538954993</v>
      </c>
      <c r="O277" s="55">
        <f t="shared" si="49"/>
        <v>205725.45538954993</v>
      </c>
      <c r="P277" s="219"/>
      <c r="Q277" s="220"/>
      <c r="R277" s="216"/>
      <c r="S277" s="216"/>
      <c r="T277" s="221"/>
    </row>
    <row r="278" spans="1:20" s="215" customFormat="1" x14ac:dyDescent="0.25">
      <c r="A278" s="310">
        <f>'A) Base RI'!A279</f>
        <v>5884</v>
      </c>
      <c r="B278" s="228" t="str">
        <f>'A) Base RI'!B279</f>
        <v>Corsier-sur-Vevey</v>
      </c>
      <c r="C278" s="244">
        <v>1</v>
      </c>
      <c r="D278" s="217">
        <f>'B) D RI'!AA279</f>
        <v>3386</v>
      </c>
      <c r="E278" s="218">
        <f>'B) D RI'!S279</f>
        <v>66</v>
      </c>
      <c r="F278" s="10">
        <f>'B) D RI'!R279</f>
        <v>7506212.844183106</v>
      </c>
      <c r="G278" s="10">
        <f>'B) D RI'!U279</f>
        <v>113730.49763913798</v>
      </c>
      <c r="H278" s="41">
        <f>'B) D RI'!T279</f>
        <v>6424410.1108497726</v>
      </c>
      <c r="I278" s="10">
        <f t="shared" si="50"/>
        <v>194679.09426817493</v>
      </c>
      <c r="J278" s="31">
        <f t="shared" si="52"/>
        <v>280510.34294060926</v>
      </c>
      <c r="K278" s="10">
        <f t="shared" si="47"/>
        <v>0</v>
      </c>
      <c r="L278" s="10">
        <f t="shared" si="51"/>
        <v>280510.34294060926</v>
      </c>
      <c r="M278" s="10">
        <f>'D) Ecrêtage'!C277</f>
        <v>113730.49763913798</v>
      </c>
      <c r="N278" s="10">
        <f t="shared" si="48"/>
        <v>150736.40422053175</v>
      </c>
      <c r="O278" s="55">
        <f t="shared" si="49"/>
        <v>150736.40422053175</v>
      </c>
      <c r="P278" s="219"/>
      <c r="Q278" s="220"/>
      <c r="R278" s="216"/>
      <c r="S278" s="216"/>
      <c r="T278" s="221"/>
    </row>
    <row r="279" spans="1:20" s="215" customFormat="1" x14ac:dyDescent="0.25">
      <c r="A279" s="310">
        <f>'A) Base RI'!A280</f>
        <v>5885</v>
      </c>
      <c r="B279" s="228" t="str">
        <f>'A) Base RI'!B280</f>
        <v>Jongny</v>
      </c>
      <c r="C279" s="244">
        <v>1</v>
      </c>
      <c r="D279" s="217">
        <f>'B) D RI'!AA280</f>
        <v>1536</v>
      </c>
      <c r="E279" s="218">
        <f>'B) D RI'!S280</f>
        <v>71</v>
      </c>
      <c r="F279" s="10">
        <f>'B) D RI'!R280</f>
        <v>5927649.1493761009</v>
      </c>
      <c r="G279" s="10">
        <f>'B) D RI'!U280</f>
        <v>83488.016188395792</v>
      </c>
      <c r="H279" s="41">
        <f>'B) D RI'!T280</f>
        <v>5518822.891042768</v>
      </c>
      <c r="I279" s="10">
        <f t="shared" si="50"/>
        <v>155459.7997476836</v>
      </c>
      <c r="J279" s="31">
        <f t="shared" si="52"/>
        <v>127248.63755368453</v>
      </c>
      <c r="K279" s="10">
        <f t="shared" si="47"/>
        <v>0</v>
      </c>
      <c r="L279" s="10">
        <f t="shared" si="51"/>
        <v>127248.63755368453</v>
      </c>
      <c r="M279" s="10">
        <f>'D) Ecrêtage'!C278</f>
        <v>83488.016188395792</v>
      </c>
      <c r="N279" s="10">
        <f t="shared" si="48"/>
        <v>110653.55042826763</v>
      </c>
      <c r="O279" s="55">
        <f t="shared" si="49"/>
        <v>110653.55042826763</v>
      </c>
      <c r="P279" s="219"/>
      <c r="Q279" s="220"/>
      <c r="R279" s="216"/>
      <c r="S279" s="216"/>
      <c r="T279" s="221"/>
    </row>
    <row r="280" spans="1:20" s="215" customFormat="1" x14ac:dyDescent="0.25">
      <c r="A280" s="310">
        <f>'A) Base RI'!A281</f>
        <v>5886</v>
      </c>
      <c r="B280" s="228" t="str">
        <f>'A) Base RI'!B281</f>
        <v>Montreux</v>
      </c>
      <c r="C280" s="244">
        <v>1</v>
      </c>
      <c r="D280" s="217">
        <f>'B) D RI'!AA281</f>
        <v>26006</v>
      </c>
      <c r="E280" s="218">
        <f>'B) D RI'!S281</f>
        <v>65</v>
      </c>
      <c r="F280" s="10">
        <f>'B) D RI'!R281</f>
        <v>71359647.597987324</v>
      </c>
      <c r="G280" s="10">
        <f>'B) D RI'!U281</f>
        <v>1097840.7322767281</v>
      </c>
      <c r="H280" s="41">
        <f>'B) D RI'!T281</f>
        <v>63822684.06798733</v>
      </c>
      <c r="I280" s="10">
        <f t="shared" si="50"/>
        <v>1963774.8943996101</v>
      </c>
      <c r="J280" s="31">
        <f t="shared" si="52"/>
        <v>2154445.3569147913</v>
      </c>
      <c r="K280" s="10">
        <f t="shared" si="47"/>
        <v>0</v>
      </c>
      <c r="L280" s="10">
        <f t="shared" si="51"/>
        <v>2154445.3569147913</v>
      </c>
      <c r="M280" s="10">
        <f>'D) Ecrêtage'!C279</f>
        <v>1097840.7322767281</v>
      </c>
      <c r="N280" s="10">
        <f t="shared" si="48"/>
        <v>1455058.8261321508</v>
      </c>
      <c r="O280" s="55">
        <f t="shared" si="49"/>
        <v>1455058.8261321508</v>
      </c>
      <c r="P280" s="219"/>
      <c r="Q280" s="220"/>
      <c r="R280" s="216"/>
      <c r="S280" s="216"/>
      <c r="T280" s="221"/>
    </row>
    <row r="281" spans="1:20" s="215" customFormat="1" x14ac:dyDescent="0.25">
      <c r="A281" s="310">
        <f>'A) Base RI'!A282</f>
        <v>5888</v>
      </c>
      <c r="B281" s="228" t="str">
        <f>'A) Base RI'!B282</f>
        <v>Saint-Légier-La Chiésaz</v>
      </c>
      <c r="C281" s="244">
        <v>1</v>
      </c>
      <c r="D281" s="217">
        <f>'B) D RI'!AA282</f>
        <v>5185</v>
      </c>
      <c r="E281" s="218">
        <f>'B) D RI'!S282</f>
        <v>70</v>
      </c>
      <c r="F281" s="10">
        <f>'B) D RI'!R282</f>
        <v>22001949.864485707</v>
      </c>
      <c r="G281" s="10">
        <f>'B) D RI'!U282</f>
        <v>314313.56949265295</v>
      </c>
      <c r="H281" s="41">
        <f>'B) D RI'!T282</f>
        <v>20442762.839485709</v>
      </c>
      <c r="I281" s="10">
        <f t="shared" si="50"/>
        <v>584078.93827102019</v>
      </c>
      <c r="J281" s="31">
        <f t="shared" si="52"/>
        <v>429546.9959087593</v>
      </c>
      <c r="K281" s="10">
        <f t="shared" si="47"/>
        <v>0</v>
      </c>
      <c r="L281" s="10">
        <f t="shared" si="51"/>
        <v>429546.9959087593</v>
      </c>
      <c r="M281" s="10">
        <f>'D) Ecrêtage'!C280</f>
        <v>314313.56949265295</v>
      </c>
      <c r="N281" s="10">
        <f t="shared" si="48"/>
        <v>416585.6849881435</v>
      </c>
      <c r="O281" s="55">
        <f t="shared" si="49"/>
        <v>416585.6849881435</v>
      </c>
      <c r="P281" s="219"/>
      <c r="Q281" s="220"/>
      <c r="R281" s="216"/>
      <c r="S281" s="216"/>
      <c r="T281" s="221"/>
    </row>
    <row r="282" spans="1:20" s="215" customFormat="1" x14ac:dyDescent="0.25">
      <c r="A282" s="310">
        <f>'A) Base RI'!A283</f>
        <v>5889</v>
      </c>
      <c r="B282" s="228" t="str">
        <f>'A) Base RI'!B283</f>
        <v>La Tour-de-Peilz</v>
      </c>
      <c r="C282" s="244">
        <v>1</v>
      </c>
      <c r="D282" s="217">
        <f>'B) D RI'!AA283</f>
        <v>11871</v>
      </c>
      <c r="E282" s="218">
        <f>'B) D RI'!S283</f>
        <v>64</v>
      </c>
      <c r="F282" s="10">
        <f>'B) D RI'!R283</f>
        <v>40860118.598591119</v>
      </c>
      <c r="G282" s="10">
        <f>'B) D RI'!U283</f>
        <v>638439.35310298624</v>
      </c>
      <c r="H282" s="41">
        <f>'B) D RI'!T283</f>
        <v>38421496.398591116</v>
      </c>
      <c r="I282" s="10">
        <f t="shared" si="50"/>
        <v>1200671.7624559724</v>
      </c>
      <c r="J282" s="31">
        <f t="shared" si="52"/>
        <v>983443.08359361265</v>
      </c>
      <c r="K282" s="10">
        <f t="shared" si="47"/>
        <v>0</v>
      </c>
      <c r="L282" s="10">
        <f t="shared" si="51"/>
        <v>983443.08359361265</v>
      </c>
      <c r="M282" s="10">
        <f>'D) Ecrêtage'!C281</f>
        <v>638439.35310298624</v>
      </c>
      <c r="N282" s="10">
        <f t="shared" si="48"/>
        <v>846176.30624442908</v>
      </c>
      <c r="O282" s="55">
        <f t="shared" si="49"/>
        <v>846176.30624442908</v>
      </c>
      <c r="P282" s="219"/>
      <c r="Q282" s="220"/>
      <c r="R282" s="216"/>
      <c r="S282" s="216"/>
      <c r="T282" s="221"/>
    </row>
    <row r="283" spans="1:20" s="215" customFormat="1" x14ac:dyDescent="0.25">
      <c r="A283" s="310">
        <f>'A) Base RI'!A284</f>
        <v>5890</v>
      </c>
      <c r="B283" s="228" t="str">
        <f>'A) Base RI'!B284</f>
        <v>Vevey</v>
      </c>
      <c r="C283" s="244">
        <v>1</v>
      </c>
      <c r="D283" s="217">
        <f>'B) D RI'!AA284</f>
        <v>19904</v>
      </c>
      <c r="E283" s="218">
        <f>'B) D RI'!S284</f>
        <v>76</v>
      </c>
      <c r="F283" s="10">
        <f>'B) D RI'!R284</f>
        <v>69425818.080303922</v>
      </c>
      <c r="G283" s="10">
        <f>'B) D RI'!U284</f>
        <v>913497.60631978849</v>
      </c>
      <c r="H283" s="41">
        <f>'B) D RI'!T284</f>
        <v>65496676.180303924</v>
      </c>
      <c r="I283" s="10">
        <f t="shared" si="50"/>
        <v>1723596.7415869453</v>
      </c>
      <c r="J283" s="31">
        <f t="shared" si="52"/>
        <v>1648930.2616331619</v>
      </c>
      <c r="K283" s="10">
        <f t="shared" si="47"/>
        <v>0</v>
      </c>
      <c r="L283" s="10">
        <f t="shared" si="51"/>
        <v>1648930.2616331619</v>
      </c>
      <c r="M283" s="10">
        <f>'D) Ecrêtage'!C282</f>
        <v>913497.60631978849</v>
      </c>
      <c r="N283" s="10">
        <f t="shared" si="48"/>
        <v>1210733.6844477337</v>
      </c>
      <c r="O283" s="55">
        <f t="shared" si="49"/>
        <v>1210733.6844477337</v>
      </c>
      <c r="P283" s="219"/>
      <c r="Q283" s="220"/>
      <c r="R283" s="216"/>
      <c r="S283" s="216"/>
      <c r="T283" s="221"/>
    </row>
    <row r="284" spans="1:20" s="215" customFormat="1" x14ac:dyDescent="0.25">
      <c r="A284" s="310">
        <f>'A) Base RI'!A285</f>
        <v>5891</v>
      </c>
      <c r="B284" s="228" t="str">
        <f>'A) Base RI'!B285</f>
        <v>Veytaux</v>
      </c>
      <c r="C284" s="244">
        <v>1</v>
      </c>
      <c r="D284" s="217">
        <f>'B) D RI'!AA285</f>
        <v>884</v>
      </c>
      <c r="E284" s="218">
        <f>'B) D RI'!S285</f>
        <v>71</v>
      </c>
      <c r="F284" s="10">
        <f>'B) D RI'!R285</f>
        <v>2564476.1024048817</v>
      </c>
      <c r="G284" s="10">
        <f>'B) D RI'!U285</f>
        <v>36119.381724012419</v>
      </c>
      <c r="H284" s="41">
        <f>'B) D RI'!T285</f>
        <v>2285114.9024048815</v>
      </c>
      <c r="I284" s="10">
        <f t="shared" si="50"/>
        <v>64369.433870560046</v>
      </c>
      <c r="J284" s="31">
        <f t="shared" si="52"/>
        <v>73234.241925427807</v>
      </c>
      <c r="K284" s="10">
        <f t="shared" si="47"/>
        <v>0</v>
      </c>
      <c r="L284" s="10">
        <f t="shared" si="51"/>
        <v>73234.241925427807</v>
      </c>
      <c r="M284" s="10">
        <f>'D) Ecrêtage'!C283</f>
        <v>36119.381724012419</v>
      </c>
      <c r="N284" s="10">
        <f t="shared" si="48"/>
        <v>47871.994203539034</v>
      </c>
      <c r="O284" s="55">
        <f t="shared" si="49"/>
        <v>47871.994203539034</v>
      </c>
      <c r="P284" s="219"/>
      <c r="Q284" s="220"/>
      <c r="R284" s="216"/>
      <c r="S284" s="216"/>
      <c r="T284" s="221"/>
    </row>
    <row r="285" spans="1:20" s="215" customFormat="1" x14ac:dyDescent="0.25">
      <c r="A285" s="310">
        <f>'A) Base RI'!A286</f>
        <v>5902</v>
      </c>
      <c r="B285" s="228" t="str">
        <f>'A) Base RI'!B286</f>
        <v>Belmont-sur-Yverdon</v>
      </c>
      <c r="C285" s="244">
        <v>0</v>
      </c>
      <c r="D285" s="217">
        <f>'B) D RI'!AA286</f>
        <v>384</v>
      </c>
      <c r="E285" s="218">
        <f>'B) D RI'!S286</f>
        <v>76</v>
      </c>
      <c r="F285" s="10">
        <f>'B) D RI'!R286</f>
        <v>783694.20842512173</v>
      </c>
      <c r="G285" s="10">
        <f>'B) D RI'!U286</f>
        <v>10311.765900330549</v>
      </c>
      <c r="H285" s="41">
        <f>'B) D RI'!T286</f>
        <v>728017.30842512171</v>
      </c>
      <c r="I285" s="10">
        <f t="shared" si="50"/>
        <v>19158.350221713728</v>
      </c>
      <c r="J285" s="31">
        <f t="shared" si="52"/>
        <v>31812.159388421132</v>
      </c>
      <c r="K285" s="10">
        <f t="shared" si="47"/>
        <v>19158.350221713728</v>
      </c>
      <c r="L285" s="10">
        <f t="shared" si="51"/>
        <v>12653.809166707404</v>
      </c>
      <c r="M285" s="10">
        <f>'D) Ecrêtage'!C284</f>
        <v>10311.765900330549</v>
      </c>
      <c r="N285" s="10">
        <f t="shared" si="48"/>
        <v>13667.033427670689</v>
      </c>
      <c r="O285" s="55">
        <f t="shared" si="49"/>
        <v>32825.383649384414</v>
      </c>
      <c r="P285" s="219"/>
      <c r="Q285" s="220"/>
      <c r="R285" s="216"/>
      <c r="S285" s="216"/>
      <c r="T285" s="221"/>
    </row>
    <row r="286" spans="1:20" s="215" customFormat="1" x14ac:dyDescent="0.25">
      <c r="A286" s="310">
        <f>'A) Base RI'!A287</f>
        <v>5903</v>
      </c>
      <c r="B286" s="228" t="str">
        <f>'A) Base RI'!B287</f>
        <v>Bioley-Magnoux</v>
      </c>
      <c r="C286" s="244">
        <v>0</v>
      </c>
      <c r="D286" s="217">
        <f>'B) D RI'!AA287</f>
        <v>225</v>
      </c>
      <c r="E286" s="218">
        <f>'B) D RI'!S287</f>
        <v>74</v>
      </c>
      <c r="F286" s="10">
        <f>'B) D RI'!R287</f>
        <v>402447.40153495158</v>
      </c>
      <c r="G286" s="10">
        <f>'B) D RI'!U287</f>
        <v>5438.478399120967</v>
      </c>
      <c r="H286" s="41">
        <f>'B) D RI'!T287</f>
        <v>365806.33010638016</v>
      </c>
      <c r="I286" s="10">
        <f t="shared" si="50"/>
        <v>9886.6575704427069</v>
      </c>
      <c r="J286" s="31">
        <f t="shared" si="52"/>
        <v>18639.937141653005</v>
      </c>
      <c r="K286" s="10">
        <f t="shared" si="47"/>
        <v>9886.6575704427069</v>
      </c>
      <c r="L286" s="10">
        <f t="shared" si="51"/>
        <v>8753.2795712102979</v>
      </c>
      <c r="M286" s="10">
        <f>'D) Ecrêtage'!C285</f>
        <v>5438.478399120967</v>
      </c>
      <c r="N286" s="10">
        <f t="shared" si="48"/>
        <v>7208.0637589017233</v>
      </c>
      <c r="O286" s="55">
        <f t="shared" si="49"/>
        <v>17094.721329344429</v>
      </c>
      <c r="P286" s="219"/>
      <c r="Q286" s="220"/>
      <c r="R286" s="216"/>
      <c r="S286" s="216"/>
      <c r="T286" s="221"/>
    </row>
    <row r="287" spans="1:20" s="215" customFormat="1" x14ac:dyDescent="0.25">
      <c r="A287" s="310">
        <f>'A) Base RI'!A288</f>
        <v>5904</v>
      </c>
      <c r="B287" s="228" t="str">
        <f>'A) Base RI'!B288</f>
        <v>Chamblon</v>
      </c>
      <c r="C287" s="244">
        <v>1</v>
      </c>
      <c r="D287" s="217">
        <f>'B) D RI'!AA288</f>
        <v>542</v>
      </c>
      <c r="E287" s="218">
        <f>'B) D RI'!S288</f>
        <v>66</v>
      </c>
      <c r="F287" s="10">
        <f>'B) D RI'!R288</f>
        <v>1318336.9087201373</v>
      </c>
      <c r="G287" s="10">
        <f>'B) D RI'!U288</f>
        <v>19974.80164727481</v>
      </c>
      <c r="H287" s="41">
        <f>'B) D RI'!T288</f>
        <v>1220902.7587201374</v>
      </c>
      <c r="I287" s="10">
        <f t="shared" ref="I287:I314" si="53">+H287/E287*$I$5</f>
        <v>36997.053294549616</v>
      </c>
      <c r="J287" s="31">
        <f t="shared" si="52"/>
        <v>44901.53747011524</v>
      </c>
      <c r="K287" s="10">
        <f t="shared" si="47"/>
        <v>0</v>
      </c>
      <c r="L287" s="10">
        <f t="shared" si="51"/>
        <v>44901.53747011524</v>
      </c>
      <c r="M287" s="10">
        <f>'D) Ecrêtage'!C286</f>
        <v>19974.80164727481</v>
      </c>
      <c r="N287" s="10">
        <f t="shared" si="48"/>
        <v>26474.251303129888</v>
      </c>
      <c r="O287" s="55">
        <f t="shared" si="49"/>
        <v>26474.251303129888</v>
      </c>
      <c r="P287" s="219"/>
      <c r="Q287" s="220"/>
      <c r="R287" s="216"/>
      <c r="S287" s="216"/>
      <c r="T287" s="221"/>
    </row>
    <row r="288" spans="1:20" s="215" customFormat="1" x14ac:dyDescent="0.25">
      <c r="A288" s="310">
        <f>'A) Base RI'!A289</f>
        <v>5905</v>
      </c>
      <c r="B288" s="228" t="str">
        <f>'A) Base RI'!B289</f>
        <v>Champvent</v>
      </c>
      <c r="C288" s="244">
        <v>0</v>
      </c>
      <c r="D288" s="217">
        <f>'B) D RI'!AA289</f>
        <v>685</v>
      </c>
      <c r="E288" s="218">
        <f>'B) D RI'!S289</f>
        <v>71</v>
      </c>
      <c r="F288" s="10">
        <f>'B) D RI'!R289</f>
        <v>1630037.5886351902</v>
      </c>
      <c r="G288" s="10">
        <f>'B) D RI'!U289</f>
        <v>22958.275896270283</v>
      </c>
      <c r="H288" s="41">
        <f>'B) D RI'!T289</f>
        <v>1530464.8886351902</v>
      </c>
      <c r="I288" s="10">
        <f t="shared" si="53"/>
        <v>43111.687003808176</v>
      </c>
      <c r="J288" s="31">
        <f t="shared" si="52"/>
        <v>56748.253075699155</v>
      </c>
      <c r="K288" s="10">
        <f t="shared" si="47"/>
        <v>43111.687003808176</v>
      </c>
      <c r="L288" s="10">
        <f t="shared" si="51"/>
        <v>13636.566071890978</v>
      </c>
      <c r="M288" s="10">
        <f>'D) Ecrêtage'!C287</f>
        <v>22958.275896270283</v>
      </c>
      <c r="N288" s="10">
        <f t="shared" si="48"/>
        <v>30428.495676570208</v>
      </c>
      <c r="O288" s="55">
        <f t="shared" si="49"/>
        <v>73540.182680378377</v>
      </c>
      <c r="P288" s="219"/>
      <c r="Q288" s="220"/>
      <c r="R288" s="216"/>
      <c r="S288" s="216"/>
      <c r="T288" s="221"/>
    </row>
    <row r="289" spans="1:20" s="215" customFormat="1" x14ac:dyDescent="0.25">
      <c r="A289" s="310">
        <f>'A) Base RI'!A290</f>
        <v>5907</v>
      </c>
      <c r="B289" s="228" t="str">
        <f>'A) Base RI'!B290</f>
        <v>Chavannes-le-Chêne</v>
      </c>
      <c r="C289" s="244">
        <v>0</v>
      </c>
      <c r="D289" s="217">
        <f>'B) D RI'!AA290</f>
        <v>308</v>
      </c>
      <c r="E289" s="218">
        <f>'B) D RI'!S290</f>
        <v>78</v>
      </c>
      <c r="F289" s="10">
        <f>'B) D RI'!R290</f>
        <v>629410.36067349534</v>
      </c>
      <c r="G289" s="10">
        <f>'B) D RI'!U290</f>
        <v>8069.3635983781451</v>
      </c>
      <c r="H289" s="41">
        <f>'B) D RI'!T290</f>
        <v>585625.66067349538</v>
      </c>
      <c r="I289" s="10">
        <f t="shared" si="53"/>
        <v>15016.042581371676</v>
      </c>
      <c r="J289" s="31">
        <f t="shared" si="52"/>
        <v>25516.002842796115</v>
      </c>
      <c r="K289" s="10">
        <f t="shared" si="47"/>
        <v>15016.042581371676</v>
      </c>
      <c r="L289" s="10">
        <f t="shared" si="51"/>
        <v>10499.96026142444</v>
      </c>
      <c r="M289" s="10">
        <f>'D) Ecrêtage'!C288</f>
        <v>8069.3635983781451</v>
      </c>
      <c r="N289" s="10">
        <f t="shared" si="48"/>
        <v>10694.992798035488</v>
      </c>
      <c r="O289" s="55">
        <f t="shared" si="49"/>
        <v>25711.035379407163</v>
      </c>
      <c r="P289" s="219"/>
      <c r="Q289" s="220"/>
      <c r="R289" s="216"/>
      <c r="S289" s="216"/>
      <c r="T289" s="221"/>
    </row>
    <row r="290" spans="1:20" s="215" customFormat="1" x14ac:dyDescent="0.25">
      <c r="A290" s="310">
        <f>'A) Base RI'!A291</f>
        <v>5908</v>
      </c>
      <c r="B290" s="228" t="str">
        <f>'A) Base RI'!B291</f>
        <v>Chêne-Pâquier</v>
      </c>
      <c r="C290" s="244">
        <v>0</v>
      </c>
      <c r="D290" s="217">
        <f>'B) D RI'!AA291</f>
        <v>141</v>
      </c>
      <c r="E290" s="218">
        <f>'B) D RI'!S291</f>
        <v>79</v>
      </c>
      <c r="F290" s="10">
        <f>'B) D RI'!R291</f>
        <v>248887.65492654455</v>
      </c>
      <c r="G290" s="10">
        <f>'B) D RI'!U291</f>
        <v>3150.4766446398044</v>
      </c>
      <c r="H290" s="41">
        <f>'B) D RI'!T291</f>
        <v>232490.15492654455</v>
      </c>
      <c r="I290" s="10">
        <f t="shared" si="53"/>
        <v>5885.8267070011279</v>
      </c>
      <c r="J290" s="31">
        <f t="shared" si="52"/>
        <v>11681.027275435885</v>
      </c>
      <c r="K290" s="10">
        <f t="shared" si="47"/>
        <v>5885.8267070011279</v>
      </c>
      <c r="L290" s="10">
        <f t="shared" si="51"/>
        <v>5795.2005684347569</v>
      </c>
      <c r="M290" s="10">
        <f>'D) Ecrêtage'!C289</f>
        <v>3150.4766446398044</v>
      </c>
      <c r="N290" s="10">
        <f t="shared" si="48"/>
        <v>4175.586415708658</v>
      </c>
      <c r="O290" s="55">
        <f t="shared" si="49"/>
        <v>10061.413122709786</v>
      </c>
      <c r="P290" s="219"/>
      <c r="Q290" s="220"/>
      <c r="R290" s="216"/>
      <c r="S290" s="216"/>
      <c r="T290" s="221"/>
    </row>
    <row r="291" spans="1:20" s="215" customFormat="1" x14ac:dyDescent="0.25">
      <c r="A291" s="310">
        <f>'A) Base RI'!A292</f>
        <v>5909</v>
      </c>
      <c r="B291" s="228" t="str">
        <f>'A) Base RI'!B292</f>
        <v>Cheseaux-Noréaz</v>
      </c>
      <c r="C291" s="244">
        <v>1</v>
      </c>
      <c r="D291" s="217">
        <f>'B) D RI'!AA292</f>
        <v>721</v>
      </c>
      <c r="E291" s="218">
        <f>'B) D RI'!S292</f>
        <v>70</v>
      </c>
      <c r="F291" s="10">
        <f>'B) D RI'!R292</f>
        <v>2265470.4772217604</v>
      </c>
      <c r="G291" s="10">
        <f>'B) D RI'!U292</f>
        <v>32363.863960310864</v>
      </c>
      <c r="H291" s="41">
        <f>'B) D RI'!T292</f>
        <v>2102085.5272217602</v>
      </c>
      <c r="I291" s="10">
        <f t="shared" si="53"/>
        <v>60059.586492050294</v>
      </c>
      <c r="J291" s="31">
        <f t="shared" si="52"/>
        <v>59730.643018363633</v>
      </c>
      <c r="K291" s="10">
        <f t="shared" si="47"/>
        <v>0</v>
      </c>
      <c r="L291" s="10">
        <f t="shared" si="51"/>
        <v>59730.643018363633</v>
      </c>
      <c r="M291" s="10">
        <f>'D) Ecrêtage'!C290</f>
        <v>32363.863960310864</v>
      </c>
      <c r="N291" s="10">
        <f t="shared" si="48"/>
        <v>42894.496914439893</v>
      </c>
      <c r="O291" s="55">
        <f t="shared" si="49"/>
        <v>42894.496914439893</v>
      </c>
      <c r="P291" s="219"/>
      <c r="Q291" s="220"/>
      <c r="R291" s="216"/>
      <c r="S291" s="216"/>
      <c r="T291" s="221"/>
    </row>
    <row r="292" spans="1:20" s="215" customFormat="1" x14ac:dyDescent="0.25">
      <c r="A292" s="310">
        <f>'A) Base RI'!A293</f>
        <v>5910</v>
      </c>
      <c r="B292" s="228" t="str">
        <f>'A) Base RI'!B293</f>
        <v>Cronay</v>
      </c>
      <c r="C292" s="244">
        <v>0</v>
      </c>
      <c r="D292" s="217">
        <f>'B) D RI'!AA293</f>
        <v>385</v>
      </c>
      <c r="E292" s="218">
        <f>'B) D RI'!S293</f>
        <v>79</v>
      </c>
      <c r="F292" s="10">
        <f>'B) D RI'!R293</f>
        <v>759123.129260357</v>
      </c>
      <c r="G292" s="10">
        <f>'B) D RI'!U293</f>
        <v>9609.1535349412279</v>
      </c>
      <c r="H292" s="41">
        <f>'B) D RI'!T293</f>
        <v>707339.72926035698</v>
      </c>
      <c r="I292" s="10">
        <f t="shared" si="53"/>
        <v>17907.334917983721</v>
      </c>
      <c r="J292" s="31">
        <f t="shared" si="52"/>
        <v>31895.003553495146</v>
      </c>
      <c r="K292" s="10">
        <f t="shared" si="47"/>
        <v>17907.334917983721</v>
      </c>
      <c r="L292" s="10">
        <f t="shared" si="51"/>
        <v>13987.668635511425</v>
      </c>
      <c r="M292" s="10">
        <f>'D) Ecrêtage'!C291</f>
        <v>9609.1535349412279</v>
      </c>
      <c r="N292" s="10">
        <f t="shared" si="48"/>
        <v>12735.803337957073</v>
      </c>
      <c r="O292" s="55">
        <f t="shared" si="49"/>
        <v>30643.138255940794</v>
      </c>
      <c r="P292" s="219"/>
      <c r="Q292" s="220"/>
      <c r="R292" s="216"/>
      <c r="S292" s="216"/>
      <c r="T292" s="221"/>
    </row>
    <row r="293" spans="1:20" s="215" customFormat="1" x14ac:dyDescent="0.25">
      <c r="A293" s="310">
        <f>'A) Base RI'!A294</f>
        <v>5911</v>
      </c>
      <c r="B293" s="228" t="str">
        <f>'A) Base RI'!B294</f>
        <v>Cuarny</v>
      </c>
      <c r="C293" s="244">
        <v>0</v>
      </c>
      <c r="D293" s="217">
        <f>'B) D RI'!AA294</f>
        <v>243</v>
      </c>
      <c r="E293" s="218">
        <f>'B) D RI'!S294</f>
        <v>79</v>
      </c>
      <c r="F293" s="10">
        <f>'B) D RI'!R294</f>
        <v>540071.39480849868</v>
      </c>
      <c r="G293" s="10">
        <f>'B) D RI'!U294</f>
        <v>6836.3467697278311</v>
      </c>
      <c r="H293" s="41">
        <f>'B) D RI'!T294</f>
        <v>507977.69480849867</v>
      </c>
      <c r="I293" s="10">
        <f t="shared" si="53"/>
        <v>12860.194805278446</v>
      </c>
      <c r="J293" s="31">
        <f t="shared" si="52"/>
        <v>20131.132112985248</v>
      </c>
      <c r="K293" s="10">
        <f t="shared" si="47"/>
        <v>12860.194805278446</v>
      </c>
      <c r="L293" s="10">
        <f t="shared" si="51"/>
        <v>7270.9373077068012</v>
      </c>
      <c r="M293" s="10">
        <f>'D) Ecrêtage'!C292</f>
        <v>6836.3467697278311</v>
      </c>
      <c r="N293" s="10">
        <f t="shared" si="48"/>
        <v>9060.773947750673</v>
      </c>
      <c r="O293" s="55">
        <f t="shared" si="49"/>
        <v>21920.968753029119</v>
      </c>
      <c r="P293" s="219"/>
      <c r="Q293" s="220"/>
      <c r="R293" s="216"/>
      <c r="S293" s="216"/>
      <c r="T293" s="221"/>
    </row>
    <row r="294" spans="1:20" s="215" customFormat="1" x14ac:dyDescent="0.25">
      <c r="A294" s="310">
        <f>'A) Base RI'!A295</f>
        <v>5912</v>
      </c>
      <c r="B294" s="228" t="str">
        <f>'A) Base RI'!B295</f>
        <v>Démoret</v>
      </c>
      <c r="C294" s="244">
        <v>0</v>
      </c>
      <c r="D294" s="217">
        <f>'B) D RI'!AA295</f>
        <v>141</v>
      </c>
      <c r="E294" s="218">
        <f>'B) D RI'!S295</f>
        <v>81</v>
      </c>
      <c r="F294" s="10">
        <f>'B) D RI'!R295</f>
        <v>253809.23442007913</v>
      </c>
      <c r="G294" s="10">
        <f>'B) D RI'!U295</f>
        <v>3133.4473385194956</v>
      </c>
      <c r="H294" s="41">
        <f>'B) D RI'!T295</f>
        <v>233826.13442007912</v>
      </c>
      <c r="I294" s="10">
        <f t="shared" si="53"/>
        <v>5773.4848004957812</v>
      </c>
      <c r="J294" s="31">
        <f t="shared" si="52"/>
        <v>11681.027275435885</v>
      </c>
      <c r="K294" s="10">
        <f t="shared" si="47"/>
        <v>5773.4848004957812</v>
      </c>
      <c r="L294" s="10">
        <f t="shared" si="51"/>
        <v>5907.5424749401036</v>
      </c>
      <c r="M294" s="10">
        <f>'D) Ecrêtage'!C293</f>
        <v>3133.4473385194956</v>
      </c>
      <c r="N294" s="10">
        <f t="shared" si="48"/>
        <v>4153.0160724477773</v>
      </c>
      <c r="O294" s="55">
        <f t="shared" si="49"/>
        <v>9926.5008729435576</v>
      </c>
      <c r="P294" s="219"/>
      <c r="Q294" s="220"/>
      <c r="R294" s="216"/>
      <c r="S294" s="216"/>
      <c r="T294" s="221"/>
    </row>
    <row r="295" spans="1:20" s="215" customFormat="1" x14ac:dyDescent="0.25">
      <c r="A295" s="310">
        <f>'A) Base RI'!A296</f>
        <v>5913</v>
      </c>
      <c r="B295" s="228" t="str">
        <f>'A) Base RI'!B296</f>
        <v>Donneloye</v>
      </c>
      <c r="C295" s="244">
        <v>0</v>
      </c>
      <c r="D295" s="217">
        <f>'B) D RI'!AA296</f>
        <v>809</v>
      </c>
      <c r="E295" s="218">
        <f>'B) D RI'!S296</f>
        <v>73</v>
      </c>
      <c r="F295" s="10">
        <f>'B) D RI'!R296</f>
        <v>1468075.8962549227</v>
      </c>
      <c r="G295" s="10">
        <f>'B) D RI'!U296</f>
        <v>20110.628715820858</v>
      </c>
      <c r="H295" s="41">
        <f>'B) D RI'!T296</f>
        <v>1356851.8462549229</v>
      </c>
      <c r="I295" s="10">
        <f t="shared" si="53"/>
        <v>37174.023185066384</v>
      </c>
      <c r="J295" s="31">
        <f t="shared" si="52"/>
        <v>67020.92954487681</v>
      </c>
      <c r="K295" s="10">
        <f t="shared" si="47"/>
        <v>37174.023185066384</v>
      </c>
      <c r="L295" s="10">
        <f t="shared" si="51"/>
        <v>29846.906359810426</v>
      </c>
      <c r="M295" s="10">
        <f>'D) Ecrêtage'!C294</f>
        <v>20110.628715820858</v>
      </c>
      <c r="N295" s="10">
        <f t="shared" si="48"/>
        <v>26654.274114367468</v>
      </c>
      <c r="O295" s="55">
        <f t="shared" si="49"/>
        <v>63828.297299433849</v>
      </c>
      <c r="P295" s="219"/>
      <c r="Q295" s="220"/>
      <c r="R295" s="216"/>
      <c r="S295" s="216"/>
      <c r="T295" s="221"/>
    </row>
    <row r="296" spans="1:20" s="215" customFormat="1" x14ac:dyDescent="0.25">
      <c r="A296" s="310">
        <f>'A) Base RI'!A297</f>
        <v>5914</v>
      </c>
      <c r="B296" s="228" t="str">
        <f>'A) Base RI'!B297</f>
        <v>Ependes</v>
      </c>
      <c r="C296" s="244">
        <v>1</v>
      </c>
      <c r="D296" s="217">
        <f>'B) D RI'!AA297</f>
        <v>360</v>
      </c>
      <c r="E296" s="218">
        <f>'B) D RI'!S297</f>
        <v>75</v>
      </c>
      <c r="F296" s="10">
        <f>'B) D RI'!R297</f>
        <v>711212.09460090566</v>
      </c>
      <c r="G296" s="10">
        <f>'B) D RI'!U297</f>
        <v>9482.8279280120751</v>
      </c>
      <c r="H296" s="41">
        <f>'B) D RI'!T297</f>
        <v>654678.99460090569</v>
      </c>
      <c r="I296" s="10">
        <f t="shared" si="53"/>
        <v>17458.106522690818</v>
      </c>
      <c r="J296" s="31">
        <f t="shared" si="52"/>
        <v>29823.89942664481</v>
      </c>
      <c r="K296" s="10">
        <f t="shared" si="47"/>
        <v>0</v>
      </c>
      <c r="L296" s="10">
        <f t="shared" si="51"/>
        <v>29823.89942664481</v>
      </c>
      <c r="M296" s="10">
        <f>'D) Ecrêtage'!C295</f>
        <v>9482.8279280120751</v>
      </c>
      <c r="N296" s="10">
        <f t="shared" si="48"/>
        <v>12568.373597080568</v>
      </c>
      <c r="O296" s="55">
        <f t="shared" si="49"/>
        <v>12568.373597080568</v>
      </c>
      <c r="P296" s="219"/>
      <c r="Q296" s="220"/>
      <c r="R296" s="216"/>
      <c r="S296" s="216"/>
      <c r="T296" s="221"/>
    </row>
    <row r="297" spans="1:20" s="215" customFormat="1" x14ac:dyDescent="0.25">
      <c r="A297" s="310">
        <f>'A) Base RI'!A298</f>
        <v>5919</v>
      </c>
      <c r="B297" s="228" t="str">
        <f>'A) Base RI'!B298</f>
        <v>Mathod</v>
      </c>
      <c r="C297" s="244">
        <v>1</v>
      </c>
      <c r="D297" s="217">
        <f>'B) D RI'!AA298</f>
        <v>611</v>
      </c>
      <c r="E297" s="218">
        <f>'B) D RI'!S298</f>
        <v>72</v>
      </c>
      <c r="F297" s="10">
        <f>'B) D RI'!R298</f>
        <v>1231986.1040101028</v>
      </c>
      <c r="G297" s="10">
        <f>'B) D RI'!U298</f>
        <v>17110.918111251427</v>
      </c>
      <c r="H297" s="41">
        <f>'B) D RI'!T298</f>
        <v>1111737.8206767696</v>
      </c>
      <c r="I297" s="10">
        <f t="shared" si="53"/>
        <v>30881.606129910266</v>
      </c>
      <c r="J297" s="31">
        <f t="shared" si="52"/>
        <v>50617.784860222164</v>
      </c>
      <c r="K297" s="10">
        <f t="shared" si="47"/>
        <v>0</v>
      </c>
      <c r="L297" s="10">
        <f t="shared" si="51"/>
        <v>50617.784860222164</v>
      </c>
      <c r="M297" s="10">
        <f>'D) Ecrêtage'!C296</f>
        <v>17110.918111251427</v>
      </c>
      <c r="N297" s="10">
        <f t="shared" si="48"/>
        <v>22678.510360394499</v>
      </c>
      <c r="O297" s="55">
        <f t="shared" si="49"/>
        <v>22678.510360394499</v>
      </c>
      <c r="P297" s="219"/>
      <c r="Q297" s="220"/>
      <c r="R297" s="216"/>
      <c r="S297" s="216"/>
      <c r="T297" s="221"/>
    </row>
    <row r="298" spans="1:20" s="215" customFormat="1" x14ac:dyDescent="0.25">
      <c r="A298" s="310">
        <f>'A) Base RI'!A299</f>
        <v>5921</v>
      </c>
      <c r="B298" s="228" t="str">
        <f>'A) Base RI'!B299</f>
        <v>Molondin</v>
      </c>
      <c r="C298" s="244">
        <v>0</v>
      </c>
      <c r="D298" s="217">
        <f>'B) D RI'!AA299</f>
        <v>235</v>
      </c>
      <c r="E298" s="218">
        <f>'B) D RI'!S299</f>
        <v>81</v>
      </c>
      <c r="F298" s="10">
        <f>'B) D RI'!R299</f>
        <v>423034.0493913652</v>
      </c>
      <c r="G298" s="10">
        <f>'B) D RI'!U299</f>
        <v>5222.6425850785827</v>
      </c>
      <c r="H298" s="41">
        <f>'B) D RI'!T299</f>
        <v>391249.99939136521</v>
      </c>
      <c r="I298" s="10">
        <f t="shared" si="53"/>
        <v>9660.493812132474</v>
      </c>
      <c r="J298" s="31">
        <f t="shared" si="52"/>
        <v>19468.378792393141</v>
      </c>
      <c r="K298" s="10">
        <f t="shared" si="47"/>
        <v>9660.493812132474</v>
      </c>
      <c r="L298" s="10">
        <f t="shared" si="51"/>
        <v>9807.8849802606674</v>
      </c>
      <c r="M298" s="10">
        <f>'D) Ecrêtage'!C297</f>
        <v>5222.6425850785827</v>
      </c>
      <c r="N298" s="10">
        <f t="shared" si="48"/>
        <v>6921.9987615077052</v>
      </c>
      <c r="O298" s="55">
        <f t="shared" si="49"/>
        <v>16582.492573640178</v>
      </c>
      <c r="P298" s="219"/>
      <c r="Q298" s="220"/>
      <c r="R298" s="216"/>
      <c r="S298" s="216"/>
      <c r="T298" s="221"/>
    </row>
    <row r="299" spans="1:20" s="215" customFormat="1" x14ac:dyDescent="0.25">
      <c r="A299" s="310">
        <f>'A) Base RI'!A300</f>
        <v>5922</v>
      </c>
      <c r="B299" s="228" t="str">
        <f>'A) Base RI'!B300</f>
        <v>Montagny-près-Yverdon</v>
      </c>
      <c r="C299" s="244">
        <v>0</v>
      </c>
      <c r="D299" s="217">
        <f>'B) D RI'!AA300</f>
        <v>738</v>
      </c>
      <c r="E299" s="218">
        <f>'B) D RI'!S300</f>
        <v>65</v>
      </c>
      <c r="F299" s="10">
        <f>'B) D RI'!R300</f>
        <v>2313003.5142629356</v>
      </c>
      <c r="G299" s="10">
        <f>'B) D RI'!U300</f>
        <v>35584.669450199006</v>
      </c>
      <c r="H299" s="41">
        <f>'B) D RI'!T300</f>
        <v>1960701.5017629357</v>
      </c>
      <c r="I299" s="10">
        <f t="shared" si="53"/>
        <v>60329.276977321097</v>
      </c>
      <c r="J299" s="31">
        <f t="shared" si="52"/>
        <v>61138.993824621859</v>
      </c>
      <c r="K299" s="10">
        <f t="shared" si="47"/>
        <v>60329.276977321097</v>
      </c>
      <c r="L299" s="10">
        <f t="shared" si="51"/>
        <v>809.71684730076231</v>
      </c>
      <c r="M299" s="10">
        <f>'D) Ecrêtage'!C298</f>
        <v>35584.669450199006</v>
      </c>
      <c r="N299" s="10">
        <f t="shared" si="48"/>
        <v>47163.295946516009</v>
      </c>
      <c r="O299" s="55">
        <f t="shared" si="49"/>
        <v>107492.57292383711</v>
      </c>
      <c r="P299" s="219"/>
      <c r="Q299" s="220"/>
      <c r="R299" s="216"/>
      <c r="S299" s="216"/>
      <c r="T299" s="221"/>
    </row>
    <row r="300" spans="1:20" s="215" customFormat="1" x14ac:dyDescent="0.25">
      <c r="A300" s="310">
        <f>'A) Base RI'!A301</f>
        <v>5923</v>
      </c>
      <c r="B300" s="228" t="str">
        <f>'A) Base RI'!B301</f>
        <v>Oppens</v>
      </c>
      <c r="C300" s="244">
        <v>0</v>
      </c>
      <c r="D300" s="217">
        <f>'B) D RI'!AA301</f>
        <v>196</v>
      </c>
      <c r="E300" s="218">
        <f>'B) D RI'!S301</f>
        <v>81</v>
      </c>
      <c r="F300" s="10">
        <f>'B) D RI'!R301</f>
        <v>418835.67091360141</v>
      </c>
      <c r="G300" s="10">
        <f>'B) D RI'!U301</f>
        <v>5170.8107520197709</v>
      </c>
      <c r="H300" s="41">
        <f>'B) D RI'!T301</f>
        <v>394675.67091360141</v>
      </c>
      <c r="I300" s="10">
        <f t="shared" si="53"/>
        <v>9745.0782941629986</v>
      </c>
      <c r="J300" s="31">
        <f t="shared" si="52"/>
        <v>16237.456354506619</v>
      </c>
      <c r="K300" s="10">
        <f t="shared" si="47"/>
        <v>9745.0782941629986</v>
      </c>
      <c r="L300" s="10">
        <f t="shared" si="51"/>
        <v>6492.3780603436207</v>
      </c>
      <c r="M300" s="10">
        <f>'D) Ecrêtage'!C299</f>
        <v>5170.8107520197709</v>
      </c>
      <c r="N300" s="10">
        <f t="shared" si="48"/>
        <v>6853.3017602492191</v>
      </c>
      <c r="O300" s="55">
        <f t="shared" si="49"/>
        <v>16598.380054412217</v>
      </c>
      <c r="P300" s="219"/>
      <c r="Q300" s="220"/>
      <c r="R300" s="216"/>
      <c r="S300" s="216"/>
      <c r="T300" s="221"/>
    </row>
    <row r="301" spans="1:20" s="215" customFormat="1" x14ac:dyDescent="0.25">
      <c r="A301" s="310">
        <f>'A) Base RI'!A302</f>
        <v>5924</v>
      </c>
      <c r="B301" s="228" t="str">
        <f>'A) Base RI'!B302</f>
        <v>Orges</v>
      </c>
      <c r="C301" s="244">
        <v>0</v>
      </c>
      <c r="D301" s="217">
        <f>'B) D RI'!AA302</f>
        <v>332</v>
      </c>
      <c r="E301" s="218">
        <f>'B) D RI'!S302</f>
        <v>74</v>
      </c>
      <c r="F301" s="10">
        <f>'B) D RI'!R302</f>
        <v>760387.76367605408</v>
      </c>
      <c r="G301" s="10">
        <f>'B) D RI'!U302</f>
        <v>10275.510319946678</v>
      </c>
      <c r="H301" s="41">
        <f>'B) D RI'!T302</f>
        <v>710694.1636760541</v>
      </c>
      <c r="I301" s="10">
        <f t="shared" si="53"/>
        <v>19207.950369623082</v>
      </c>
      <c r="J301" s="31">
        <f t="shared" si="52"/>
        <v>27504.262804572434</v>
      </c>
      <c r="K301" s="10">
        <f t="shared" si="47"/>
        <v>19207.950369623082</v>
      </c>
      <c r="L301" s="10">
        <f t="shared" si="51"/>
        <v>8296.3124349493519</v>
      </c>
      <c r="M301" s="10">
        <f>'D) Ecrêtage'!C300</f>
        <v>10275.510319946678</v>
      </c>
      <c r="N301" s="10">
        <f t="shared" si="48"/>
        <v>13618.980918155312</v>
      </c>
      <c r="O301" s="55">
        <f t="shared" si="49"/>
        <v>32826.931287778396</v>
      </c>
      <c r="P301" s="219"/>
      <c r="Q301" s="220"/>
      <c r="R301" s="216"/>
      <c r="S301" s="216"/>
      <c r="T301" s="221"/>
    </row>
    <row r="302" spans="1:20" s="215" customFormat="1" x14ac:dyDescent="0.25">
      <c r="A302" s="310">
        <f>'A) Base RI'!A303</f>
        <v>5925</v>
      </c>
      <c r="B302" s="228" t="str">
        <f>'A) Base RI'!B303</f>
        <v>Orzens</v>
      </c>
      <c r="C302" s="244">
        <v>0</v>
      </c>
      <c r="D302" s="217">
        <f>'B) D RI'!AA303</f>
        <v>196</v>
      </c>
      <c r="E302" s="218">
        <f>'B) D RI'!S303</f>
        <v>79</v>
      </c>
      <c r="F302" s="10">
        <f>'B) D RI'!R303</f>
        <v>439568.7018176557</v>
      </c>
      <c r="G302" s="10">
        <f>'B) D RI'!U303</f>
        <v>5564.160782501971</v>
      </c>
      <c r="H302" s="41">
        <f>'B) D RI'!T303</f>
        <v>407737.7018176557</v>
      </c>
      <c r="I302" s="10">
        <f t="shared" si="53"/>
        <v>10322.473463738119</v>
      </c>
      <c r="J302" s="31">
        <f t="shared" si="52"/>
        <v>16237.456354506619</v>
      </c>
      <c r="K302" s="10">
        <f t="shared" si="47"/>
        <v>10322.473463738119</v>
      </c>
      <c r="L302" s="10">
        <f t="shared" si="51"/>
        <v>5914.9828907685005</v>
      </c>
      <c r="M302" s="10">
        <f>'D) Ecrêtage'!C301</f>
        <v>5564.160782501971</v>
      </c>
      <c r="N302" s="10">
        <f t="shared" si="48"/>
        <v>7374.64098258389</v>
      </c>
      <c r="O302" s="55">
        <f t="shared" si="49"/>
        <v>17697.114446322008</v>
      </c>
      <c r="P302" s="219"/>
      <c r="Q302" s="220"/>
      <c r="R302" s="216"/>
      <c r="S302" s="216"/>
      <c r="T302" s="221"/>
    </row>
    <row r="303" spans="1:20" s="215" customFormat="1" x14ac:dyDescent="0.25">
      <c r="A303" s="310">
        <f>'A) Base RI'!A304</f>
        <v>5926</v>
      </c>
      <c r="B303" s="228" t="str">
        <f>'A) Base RI'!B304</f>
        <v>Pomy</v>
      </c>
      <c r="C303" s="244">
        <v>1</v>
      </c>
      <c r="D303" s="217">
        <f>'B) D RI'!AA304</f>
        <v>780</v>
      </c>
      <c r="E303" s="218">
        <f>'B) D RI'!S304</f>
        <v>71</v>
      </c>
      <c r="F303" s="10">
        <f>'B) D RI'!R304</f>
        <v>1888228.5381012489</v>
      </c>
      <c r="G303" s="10">
        <f>'B) D RI'!U304</f>
        <v>26594.76814227111</v>
      </c>
      <c r="H303" s="41">
        <f>'B) D RI'!T304</f>
        <v>1767840.0381012489</v>
      </c>
      <c r="I303" s="10">
        <f t="shared" si="53"/>
        <v>49798.310932429544</v>
      </c>
      <c r="J303" s="31">
        <f t="shared" si="52"/>
        <v>64618.448757730424</v>
      </c>
      <c r="K303" s="10">
        <f t="shared" si="47"/>
        <v>0</v>
      </c>
      <c r="L303" s="10">
        <f t="shared" si="51"/>
        <v>64618.448757730424</v>
      </c>
      <c r="M303" s="10">
        <f>'D) Ecrêtage'!C302</f>
        <v>26594.76814227111</v>
      </c>
      <c r="N303" s="10">
        <f t="shared" si="48"/>
        <v>35248.238634851041</v>
      </c>
      <c r="O303" s="55">
        <f t="shared" si="49"/>
        <v>35248.238634851041</v>
      </c>
      <c r="P303" s="219"/>
      <c r="Q303" s="220"/>
      <c r="R303" s="216"/>
      <c r="S303" s="216"/>
      <c r="T303" s="221"/>
    </row>
    <row r="304" spans="1:20" s="215" customFormat="1" x14ac:dyDescent="0.25">
      <c r="A304" s="310">
        <f>'A) Base RI'!A305</f>
        <v>5928</v>
      </c>
      <c r="B304" s="228" t="str">
        <f>'A) Base RI'!B305</f>
        <v>Rovray</v>
      </c>
      <c r="C304" s="244">
        <v>0</v>
      </c>
      <c r="D304" s="217">
        <f>'B) D RI'!AA305</f>
        <v>180</v>
      </c>
      <c r="E304" s="218">
        <f>'B) D RI'!S305</f>
        <v>73</v>
      </c>
      <c r="F304" s="10">
        <f>'B) D RI'!R305</f>
        <v>316283.3614496084</v>
      </c>
      <c r="G304" s="10">
        <f>'B) D RI'!U305</f>
        <v>4332.6487869809371</v>
      </c>
      <c r="H304" s="41">
        <f>'B) D RI'!T305</f>
        <v>295369.96144960838</v>
      </c>
      <c r="I304" s="10">
        <f t="shared" si="53"/>
        <v>8092.3277109481751</v>
      </c>
      <c r="J304" s="31">
        <f t="shared" si="52"/>
        <v>14911.949713322405</v>
      </c>
      <c r="K304" s="10">
        <f t="shared" ref="K304:K314" si="54">IF(C304=1,0,IF(J304&gt;I304,I304,J304))</f>
        <v>8092.3277109481751</v>
      </c>
      <c r="L304" s="10">
        <f t="shared" si="51"/>
        <v>6819.6220023742299</v>
      </c>
      <c r="M304" s="10">
        <f>'D) Ecrêtage'!C303</f>
        <v>4332.6487869809371</v>
      </c>
      <c r="N304" s="10">
        <f t="shared" si="48"/>
        <v>5742.4166117005407</v>
      </c>
      <c r="O304" s="55">
        <f t="shared" si="49"/>
        <v>13834.744322648716</v>
      </c>
      <c r="P304" s="219"/>
      <c r="Q304" s="220"/>
      <c r="R304" s="216"/>
      <c r="S304" s="216"/>
      <c r="T304" s="221"/>
    </row>
    <row r="305" spans="1:20" s="215" customFormat="1" x14ac:dyDescent="0.25">
      <c r="A305" s="310">
        <f>'A) Base RI'!A306</f>
        <v>5929</v>
      </c>
      <c r="B305" s="228" t="str">
        <f>'A) Base RI'!B306</f>
        <v>Suchy</v>
      </c>
      <c r="C305" s="244">
        <v>1</v>
      </c>
      <c r="D305" s="217">
        <f>'B) D RI'!AA306</f>
        <v>599</v>
      </c>
      <c r="E305" s="218">
        <f>'B) D RI'!S306</f>
        <v>70</v>
      </c>
      <c r="F305" s="10">
        <f>'B) D RI'!R306</f>
        <v>1198650.1248423434</v>
      </c>
      <c r="G305" s="10">
        <f>'B) D RI'!U306</f>
        <v>17123.573212033476</v>
      </c>
      <c r="H305" s="41">
        <f>'B) D RI'!T306</f>
        <v>1093281.3123423434</v>
      </c>
      <c r="I305" s="10">
        <f t="shared" si="53"/>
        <v>31236.608924066953</v>
      </c>
      <c r="J305" s="31">
        <f t="shared" si="52"/>
        <v>49623.654879334004</v>
      </c>
      <c r="K305" s="10">
        <f t="shared" si="54"/>
        <v>0</v>
      </c>
      <c r="L305" s="10">
        <f t="shared" si="51"/>
        <v>49623.654879334004</v>
      </c>
      <c r="M305" s="10">
        <f>'D) Ecrêtage'!C304</f>
        <v>17123.573212033476</v>
      </c>
      <c r="N305" s="10">
        <f t="shared" si="48"/>
        <v>22695.283208720433</v>
      </c>
      <c r="O305" s="55">
        <f t="shared" si="49"/>
        <v>22695.283208720433</v>
      </c>
      <c r="P305" s="219"/>
      <c r="Q305" s="220"/>
      <c r="R305" s="216"/>
      <c r="S305" s="216"/>
      <c r="T305" s="221"/>
    </row>
    <row r="306" spans="1:20" s="215" customFormat="1" x14ac:dyDescent="0.25">
      <c r="A306" s="310">
        <f>'A) Base RI'!A307</f>
        <v>5930</v>
      </c>
      <c r="B306" s="228" t="str">
        <f>'A) Base RI'!B307</f>
        <v>Suscévaz</v>
      </c>
      <c r="C306" s="244">
        <v>1</v>
      </c>
      <c r="D306" s="217">
        <f>'B) D RI'!AA307</f>
        <v>213</v>
      </c>
      <c r="E306" s="218">
        <f>'B) D RI'!S307</f>
        <v>72</v>
      </c>
      <c r="F306" s="10">
        <f>'B) D RI'!R307</f>
        <v>420845.1374945977</v>
      </c>
      <c r="G306" s="10">
        <f>'B) D RI'!U307</f>
        <v>5845.0713540916349</v>
      </c>
      <c r="H306" s="41">
        <f>'B) D RI'!T307</f>
        <v>393348.1374945977</v>
      </c>
      <c r="I306" s="10">
        <f t="shared" si="53"/>
        <v>10926.337152627713</v>
      </c>
      <c r="J306" s="31">
        <f t="shared" si="52"/>
        <v>17645.807160764845</v>
      </c>
      <c r="K306" s="10">
        <f t="shared" si="54"/>
        <v>0</v>
      </c>
      <c r="L306" s="10">
        <f t="shared" si="51"/>
        <v>17645.807160764845</v>
      </c>
      <c r="M306" s="10">
        <f>'D) Ecrêtage'!C305</f>
        <v>5845.0713540916349</v>
      </c>
      <c r="N306" s="10">
        <f t="shared" si="48"/>
        <v>7746.9549207793789</v>
      </c>
      <c r="O306" s="55">
        <f t="shared" si="49"/>
        <v>7746.9549207793789</v>
      </c>
      <c r="P306" s="219"/>
      <c r="Q306" s="220"/>
      <c r="R306" s="216"/>
      <c r="S306" s="216"/>
      <c r="T306" s="221"/>
    </row>
    <row r="307" spans="1:20" s="215" customFormat="1" x14ac:dyDescent="0.25">
      <c r="A307" s="310">
        <f>'A) Base RI'!A308</f>
        <v>5931</v>
      </c>
      <c r="B307" s="228" t="str">
        <f>'A) Base RI'!B308</f>
        <v>Treycovagnes</v>
      </c>
      <c r="C307" s="244">
        <v>1</v>
      </c>
      <c r="D307" s="217">
        <f>'B) D RI'!AA308</f>
        <v>480</v>
      </c>
      <c r="E307" s="218">
        <f>'B) D RI'!S308</f>
        <v>75</v>
      </c>
      <c r="F307" s="10">
        <f>'B) D RI'!R308</f>
        <v>972983.54902311543</v>
      </c>
      <c r="G307" s="10">
        <f>'B) D RI'!U308</f>
        <v>12973.113986974873</v>
      </c>
      <c r="H307" s="41">
        <f>'B) D RI'!T308</f>
        <v>900338.1490231154</v>
      </c>
      <c r="I307" s="10">
        <f t="shared" si="53"/>
        <v>24009.017307283077</v>
      </c>
      <c r="J307" s="31">
        <f t="shared" si="52"/>
        <v>39765.199235526416</v>
      </c>
      <c r="K307" s="10">
        <f t="shared" si="54"/>
        <v>0</v>
      </c>
      <c r="L307" s="10">
        <f t="shared" si="51"/>
        <v>39765.199235526416</v>
      </c>
      <c r="M307" s="10">
        <f>'D) Ecrêtage'!C306</f>
        <v>12973.113986974873</v>
      </c>
      <c r="N307" s="10">
        <f t="shared" si="48"/>
        <v>17194.337442754029</v>
      </c>
      <c r="O307" s="55">
        <f t="shared" si="49"/>
        <v>17194.337442754029</v>
      </c>
      <c r="P307" s="219"/>
      <c r="Q307" s="220"/>
      <c r="R307" s="216"/>
      <c r="S307" s="216"/>
      <c r="T307" s="221"/>
    </row>
    <row r="308" spans="1:20" s="215" customFormat="1" x14ac:dyDescent="0.25">
      <c r="A308" s="310">
        <f>'A) Base RI'!A309</f>
        <v>5932</v>
      </c>
      <c r="B308" s="228" t="str">
        <f>'A) Base RI'!B309</f>
        <v>Ursins</v>
      </c>
      <c r="C308" s="244">
        <v>0</v>
      </c>
      <c r="D308" s="217">
        <f>'B) D RI'!AA309</f>
        <v>230</v>
      </c>
      <c r="E308" s="218">
        <f>'B) D RI'!S309</f>
        <v>77</v>
      </c>
      <c r="F308" s="10">
        <f>'B) D RI'!R309</f>
        <v>514838.71379842178</v>
      </c>
      <c r="G308" s="10">
        <f>'B) D RI'!U309</f>
        <v>6686.217062317166</v>
      </c>
      <c r="H308" s="41">
        <f>'B) D RI'!T309</f>
        <v>483356.51379842177</v>
      </c>
      <c r="I308" s="10">
        <f t="shared" si="53"/>
        <v>12554.714644114851</v>
      </c>
      <c r="J308" s="31">
        <f t="shared" si="52"/>
        <v>19054.157967023071</v>
      </c>
      <c r="K308" s="10">
        <f t="shared" si="54"/>
        <v>12554.714644114851</v>
      </c>
      <c r="L308" s="10">
        <f t="shared" si="51"/>
        <v>6499.4433229082206</v>
      </c>
      <c r="M308" s="10">
        <f>'D) Ecrêtage'!C307</f>
        <v>6686.217062317166</v>
      </c>
      <c r="N308" s="10">
        <f t="shared" si="48"/>
        <v>8861.7946701468045</v>
      </c>
      <c r="O308" s="55">
        <f t="shared" si="49"/>
        <v>21416.509314261653</v>
      </c>
      <c r="P308" s="219"/>
      <c r="Q308" s="220"/>
      <c r="R308" s="216"/>
      <c r="S308" s="216"/>
      <c r="T308" s="221"/>
    </row>
    <row r="309" spans="1:20" s="215" customFormat="1" x14ac:dyDescent="0.25">
      <c r="A309" s="310">
        <f>'A) Base RI'!A310</f>
        <v>5933</v>
      </c>
      <c r="B309" s="228" t="str">
        <f>'A) Base RI'!B310</f>
        <v>Valeyres-sous-Montagny</v>
      </c>
      <c r="C309" s="244">
        <v>0</v>
      </c>
      <c r="D309" s="217">
        <f>'B) D RI'!AA310</f>
        <v>708</v>
      </c>
      <c r="E309" s="218">
        <f>'B) D RI'!S310</f>
        <v>72</v>
      </c>
      <c r="F309" s="10">
        <f>'B) D RI'!R310</f>
        <v>1629486.946526709</v>
      </c>
      <c r="G309" s="10">
        <f>'B) D RI'!U310</f>
        <v>22631.763146204292</v>
      </c>
      <c r="H309" s="41">
        <f>'B) D RI'!T310</f>
        <v>1511576.2465267091</v>
      </c>
      <c r="I309" s="10">
        <f t="shared" si="53"/>
        <v>41988.22907018636</v>
      </c>
      <c r="J309" s="31">
        <f t="shared" ref="J309:J314" si="55">+$I$315/$D$315*D309</f>
        <v>58653.66887240146</v>
      </c>
      <c r="K309" s="10">
        <f t="shared" si="54"/>
        <v>41988.22907018636</v>
      </c>
      <c r="L309" s="10">
        <f t="shared" si="51"/>
        <v>16665.4398022151</v>
      </c>
      <c r="M309" s="10">
        <f>'D) Ecrêtage'!C308</f>
        <v>22631.763146204292</v>
      </c>
      <c r="N309" s="10">
        <f t="shared" si="48"/>
        <v>29995.741411893821</v>
      </c>
      <c r="O309" s="55">
        <f t="shared" si="49"/>
        <v>71983.970482080185</v>
      </c>
      <c r="P309" s="219"/>
      <c r="Q309" s="220"/>
      <c r="R309" s="216"/>
      <c r="S309" s="216"/>
      <c r="T309" s="221"/>
    </row>
    <row r="310" spans="1:20" s="215" customFormat="1" x14ac:dyDescent="0.25">
      <c r="A310" s="310">
        <f>'A) Base RI'!A311</f>
        <v>5934</v>
      </c>
      <c r="B310" s="228" t="str">
        <f>'A) Base RI'!B311</f>
        <v>Valeyres-sous-Ursins</v>
      </c>
      <c r="C310" s="244">
        <v>0</v>
      </c>
      <c r="D310" s="217">
        <f>'B) D RI'!AA311</f>
        <v>232</v>
      </c>
      <c r="E310" s="218">
        <f>'B) D RI'!S311</f>
        <v>79</v>
      </c>
      <c r="F310" s="10">
        <f>'B) D RI'!R311</f>
        <v>603706.22783256194</v>
      </c>
      <c r="G310" s="10">
        <f>'B) D RI'!U311</f>
        <v>7641.8509852223033</v>
      </c>
      <c r="H310" s="41">
        <f>'B) D RI'!T311</f>
        <v>574626.92783256189</v>
      </c>
      <c r="I310" s="10">
        <f t="shared" si="53"/>
        <v>14547.517160318022</v>
      </c>
      <c r="J310" s="31">
        <f t="shared" si="55"/>
        <v>19219.846297171101</v>
      </c>
      <c r="K310" s="10">
        <f t="shared" si="54"/>
        <v>14547.517160318022</v>
      </c>
      <c r="L310" s="10">
        <f t="shared" si="51"/>
        <v>4672.329136853079</v>
      </c>
      <c r="M310" s="10">
        <f>'D) Ecrêtage'!C309</f>
        <v>7641.8509852223033</v>
      </c>
      <c r="N310" s="10">
        <f t="shared" si="48"/>
        <v>10128.375088593068</v>
      </c>
      <c r="O310" s="55">
        <f t="shared" si="49"/>
        <v>24675.892248911092</v>
      </c>
      <c r="P310" s="219"/>
      <c r="Q310" s="220"/>
      <c r="R310" s="216"/>
      <c r="S310" s="216"/>
      <c r="T310" s="221"/>
    </row>
    <row r="311" spans="1:20" s="215" customFormat="1" x14ac:dyDescent="0.25">
      <c r="A311" s="310">
        <f>'A) Base RI'!A312</f>
        <v>5935</v>
      </c>
      <c r="B311" s="228" t="str">
        <f>'A) Base RI'!B312</f>
        <v>Villars-Epeney</v>
      </c>
      <c r="C311" s="244">
        <v>0</v>
      </c>
      <c r="D311" s="217">
        <f>'B) D RI'!AA312</f>
        <v>100</v>
      </c>
      <c r="E311" s="218">
        <f>'B) D RI'!S312</f>
        <v>60</v>
      </c>
      <c r="F311" s="10">
        <f>'B) D RI'!R312</f>
        <v>335482.91871635622</v>
      </c>
      <c r="G311" s="10">
        <f>'B) D RI'!U312</f>
        <v>5591.3819786059366</v>
      </c>
      <c r="H311" s="41">
        <f>'B) D RI'!T312</f>
        <v>316764.9687163562</v>
      </c>
      <c r="I311" s="10">
        <f t="shared" si="53"/>
        <v>10558.832290545206</v>
      </c>
      <c r="J311" s="31">
        <f t="shared" si="55"/>
        <v>8284.4165074013363</v>
      </c>
      <c r="K311" s="10">
        <f t="shared" si="54"/>
        <v>8284.4165074013363</v>
      </c>
      <c r="L311" s="10">
        <f t="shared" si="51"/>
        <v>0</v>
      </c>
      <c r="M311" s="10">
        <f>'D) Ecrêtage'!C310</f>
        <v>5591.3819786059366</v>
      </c>
      <c r="N311" s="10">
        <f t="shared" si="48"/>
        <v>7410.7194778377589</v>
      </c>
      <c r="O311" s="55">
        <f t="shared" si="49"/>
        <v>15695.135985239096</v>
      </c>
      <c r="P311" s="219"/>
      <c r="Q311" s="220"/>
      <c r="R311" s="216"/>
      <c r="S311" s="216"/>
      <c r="T311" s="221"/>
    </row>
    <row r="312" spans="1:20" s="215" customFormat="1" x14ac:dyDescent="0.25">
      <c r="A312" s="310">
        <f>'A) Base RI'!A313</f>
        <v>5937</v>
      </c>
      <c r="B312" s="228" t="str">
        <f>'A) Base RI'!B313</f>
        <v>Vugelles-La Mothe</v>
      </c>
      <c r="C312" s="244">
        <v>0</v>
      </c>
      <c r="D312" s="217">
        <f>'B) D RI'!AA313</f>
        <v>132</v>
      </c>
      <c r="E312" s="218">
        <f>'B) D RI'!S313</f>
        <v>70</v>
      </c>
      <c r="F312" s="10">
        <f>'B) D RI'!R313</f>
        <v>168191.83956374103</v>
      </c>
      <c r="G312" s="10">
        <f>'B) D RI'!U313</f>
        <v>2402.7405651963004</v>
      </c>
      <c r="H312" s="41">
        <f>'B) D RI'!T313</f>
        <v>152868.41099231245</v>
      </c>
      <c r="I312" s="10">
        <f t="shared" si="53"/>
        <v>4367.6688854946415</v>
      </c>
      <c r="J312" s="31">
        <f t="shared" si="55"/>
        <v>10935.429789769763</v>
      </c>
      <c r="K312" s="10">
        <f t="shared" si="54"/>
        <v>4367.6688854946415</v>
      </c>
      <c r="L312" s="10">
        <f t="shared" si="51"/>
        <v>6567.7609042751219</v>
      </c>
      <c r="M312" s="10">
        <f>'D) Ecrêtage'!C311</f>
        <v>2402.7405651963004</v>
      </c>
      <c r="N312" s="10">
        <f t="shared" si="48"/>
        <v>3184.550147856397</v>
      </c>
      <c r="O312" s="55">
        <f t="shared" si="49"/>
        <v>7552.2190333510389</v>
      </c>
      <c r="P312" s="219"/>
      <c r="Q312" s="220"/>
      <c r="R312" s="216"/>
      <c r="S312" s="216"/>
      <c r="T312" s="221"/>
    </row>
    <row r="313" spans="1:20" s="215" customFormat="1" x14ac:dyDescent="0.25">
      <c r="A313" s="310">
        <f>'A) Base RI'!A314</f>
        <v>5938</v>
      </c>
      <c r="B313" s="228" t="str">
        <f>'A) Base RI'!B314</f>
        <v>Yverdon-les-Bains</v>
      </c>
      <c r="C313" s="244">
        <v>1</v>
      </c>
      <c r="D313" s="217">
        <f>'B) D RI'!AA314</f>
        <v>30211</v>
      </c>
      <c r="E313" s="218">
        <f>'B) D RI'!S314</f>
        <v>76.5</v>
      </c>
      <c r="F313" s="10">
        <f>'B) D RI'!R314</f>
        <v>57286669.735039137</v>
      </c>
      <c r="G313" s="10">
        <f>'B) D RI'!U314</f>
        <v>748845.35601358349</v>
      </c>
      <c r="H313" s="41">
        <f>'B) D RI'!T314</f>
        <v>52522216.035039134</v>
      </c>
      <c r="I313" s="10">
        <f t="shared" si="53"/>
        <v>1373129.8309814152</v>
      </c>
      <c r="J313" s="31">
        <f t="shared" si="55"/>
        <v>2502805.0710510178</v>
      </c>
      <c r="K313" s="10">
        <f t="shared" si="54"/>
        <v>0</v>
      </c>
      <c r="L313" s="10">
        <f t="shared" si="51"/>
        <v>2502805.0710510178</v>
      </c>
      <c r="M313" s="10">
        <f>'D) Ecrêtage'!C312</f>
        <v>748845.35601358349</v>
      </c>
      <c r="N313" s="10">
        <f t="shared" si="48"/>
        <v>992506.48353697895</v>
      </c>
      <c r="O313" s="55">
        <f t="shared" si="49"/>
        <v>992506.48353697895</v>
      </c>
      <c r="P313" s="219"/>
      <c r="Q313" s="220"/>
      <c r="R313" s="216"/>
      <c r="S313" s="216"/>
      <c r="T313" s="221"/>
    </row>
    <row r="314" spans="1:20" s="215" customFormat="1" x14ac:dyDescent="0.25">
      <c r="A314" s="311">
        <f>'A) Base RI'!A315</f>
        <v>5939</v>
      </c>
      <c r="B314" s="228" t="str">
        <f>'A) Base RI'!B315</f>
        <v>Yvonand</v>
      </c>
      <c r="C314" s="244">
        <v>0</v>
      </c>
      <c r="D314" s="217">
        <f>'B) D RI'!AA315</f>
        <v>3426</v>
      </c>
      <c r="E314" s="218">
        <f>'B) D RI'!S315</f>
        <v>73</v>
      </c>
      <c r="F314" s="10">
        <f>'B) D RI'!R315</f>
        <v>6715837.5955751073</v>
      </c>
      <c r="G314" s="10">
        <f>'B) D RI'!U315</f>
        <v>91997.775281850787</v>
      </c>
      <c r="H314" s="41">
        <f>'B) D RI'!T315</f>
        <v>6157175.3455751073</v>
      </c>
      <c r="I314" s="18">
        <f t="shared" si="53"/>
        <v>168689.73549520841</v>
      </c>
      <c r="J314" s="106">
        <f t="shared" si="55"/>
        <v>283824.10954356979</v>
      </c>
      <c r="K314" s="10">
        <f t="shared" si="54"/>
        <v>168689.73549520841</v>
      </c>
      <c r="L314" s="18">
        <f t="shared" si="51"/>
        <v>115134.37404836138</v>
      </c>
      <c r="M314" s="18">
        <f>'D) Ecrêtage'!C313</f>
        <v>91997.775281850787</v>
      </c>
      <c r="N314" s="18">
        <f>+$N$5*M314</f>
        <v>121932.23568119272</v>
      </c>
      <c r="O314" s="101">
        <f t="shared" si="49"/>
        <v>290621.97117640113</v>
      </c>
      <c r="P314" s="219"/>
      <c r="Q314" s="220"/>
      <c r="R314" s="216"/>
      <c r="S314" s="216"/>
      <c r="T314" s="221"/>
    </row>
    <row r="315" spans="1:20" s="215" customFormat="1" x14ac:dyDescent="0.25">
      <c r="A315" s="30"/>
      <c r="B315" s="119">
        <f>COUNTA(B6:B314)</f>
        <v>309</v>
      </c>
      <c r="C315" s="238">
        <f>SUM(C6:C314)</f>
        <v>52</v>
      </c>
      <c r="D315" s="230">
        <f>SUM(D6:D314)</f>
        <v>800162</v>
      </c>
      <c r="E315" s="230"/>
      <c r="F315" s="230">
        <f t="shared" ref="F315:M315" si="56">SUM(F6:F314)</f>
        <v>2435414487.256104</v>
      </c>
      <c r="G315" s="230">
        <f t="shared" si="56"/>
        <v>35867536.64913179</v>
      </c>
      <c r="H315" s="230">
        <f t="shared" si="56"/>
        <v>2249472475.5049057</v>
      </c>
      <c r="I315" s="246">
        <f>SUM(I6:I314)</f>
        <v>66288752.813952677</v>
      </c>
      <c r="J315" s="230">
        <f t="shared" si="56"/>
        <v>66288752.813952699</v>
      </c>
      <c r="K315" s="369">
        <f t="shared" si="56"/>
        <v>21403476.088877108</v>
      </c>
      <c r="L315" s="232">
        <f t="shared" si="56"/>
        <v>44885276.725075595</v>
      </c>
      <c r="M315" s="230">
        <f t="shared" si="56"/>
        <v>35867536.64913179</v>
      </c>
      <c r="N315" s="239">
        <f>Paramètres!B67-K315</f>
        <v>47538203.164229512</v>
      </c>
      <c r="O315" s="233">
        <f>SUM(O6:O314)</f>
        <v>68941679.25310652</v>
      </c>
      <c r="P315" s="216"/>
      <c r="R315" s="216"/>
      <c r="S315" s="216"/>
    </row>
    <row r="316" spans="1:20" s="215" customFormat="1" x14ac:dyDescent="0.25">
      <c r="A316" s="214"/>
      <c r="B316" s="214"/>
      <c r="C316" s="214"/>
      <c r="D316" s="214"/>
      <c r="E316" s="214"/>
      <c r="F316" s="214"/>
      <c r="G316" s="214"/>
      <c r="H316" s="214"/>
      <c r="I316" s="245"/>
      <c r="J316" s="214"/>
      <c r="K316" s="214"/>
      <c r="L316" s="222"/>
      <c r="M316" s="214"/>
      <c r="N316" s="222"/>
      <c r="O316" s="214"/>
      <c r="P316" s="216"/>
      <c r="R316" s="216"/>
      <c r="S316" s="216"/>
    </row>
    <row r="317" spans="1:20" x14ac:dyDescent="0.25">
      <c r="I317" s="245"/>
      <c r="J317" s="245"/>
      <c r="K317" s="245"/>
      <c r="L317" s="245"/>
      <c r="M317" s="245"/>
      <c r="N317" s="443"/>
      <c r="O317" s="245"/>
    </row>
  </sheetData>
  <protectedRanges>
    <protectedRange sqref="C6:C314" name="Plage1"/>
  </protectedRanges>
  <mergeCells count="13">
    <mergeCell ref="O4:O5"/>
    <mergeCell ref="B4:B5"/>
    <mergeCell ref="A4:A5"/>
    <mergeCell ref="M4:M5"/>
    <mergeCell ref="L4:L5"/>
    <mergeCell ref="K4:K5"/>
    <mergeCell ref="J4:J5"/>
    <mergeCell ref="H4:H5"/>
    <mergeCell ref="G4:G5"/>
    <mergeCell ref="F4:F5"/>
    <mergeCell ref="E4:E5"/>
    <mergeCell ref="D4:D5"/>
    <mergeCell ref="C4:C5"/>
  </mergeCells>
  <printOptions horizontalCentered="1" verticalCentered="1"/>
  <pageMargins left="0.78740157480314965" right="0.78740157480314965" top="0.98425196850393704" bottom="0.98425196850393704" header="0.51181102362204722" footer="0.51181102362204722"/>
  <pageSetup paperSize="8" fitToHeight="9" orientation="landscape" r:id="rId1"/>
  <headerFooter alignWithMargins="0">
    <oddFooter>&amp;L&amp;8SCL - Division finances communales&amp;C- &amp;N -&amp;R&amp;8ASFiCo/FW/Juillet 2014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rgb="FF00B0F0"/>
  </sheetPr>
  <dimension ref="A1:P317"/>
  <sheetViews>
    <sheetView workbookViewId="0">
      <selection activeCell="Q9" sqref="Q9"/>
    </sheetView>
  </sheetViews>
  <sheetFormatPr baseColWidth="10" defaultColWidth="10.75" defaultRowHeight="15" x14ac:dyDescent="0.25"/>
  <cols>
    <col min="1" max="1" width="7.5" style="13" customWidth="1"/>
    <col min="2" max="2" width="20.25" style="13" bestFit="1" customWidth="1"/>
    <col min="3" max="3" width="6.125" style="15" bestFit="1" customWidth="1"/>
    <col min="4" max="4" width="6.5" style="151" bestFit="1" customWidth="1"/>
    <col min="5" max="5" width="8.625" style="151" bestFit="1" customWidth="1"/>
    <col min="6" max="6" width="9.5" style="13" bestFit="1" customWidth="1"/>
    <col min="7" max="7" width="10.625" style="13" customWidth="1"/>
    <col min="8" max="8" width="10.75" style="13" customWidth="1"/>
    <col min="9" max="10" width="9.375" style="13" bestFit="1" customWidth="1"/>
    <col min="11" max="11" width="9.625" style="13" bestFit="1" customWidth="1"/>
    <col min="12" max="12" width="11.25" style="13" bestFit="1" customWidth="1"/>
    <col min="13" max="13" width="8.625" style="13" bestFit="1" customWidth="1"/>
    <col min="14" max="14" width="9.5" style="13" bestFit="1" customWidth="1"/>
    <col min="15" max="15" width="1.375" style="13" customWidth="1"/>
    <col min="16" max="16384" width="10.75" style="13"/>
  </cols>
  <sheetData>
    <row r="1" spans="1:16" s="43" customFormat="1" ht="20.25" customHeight="1" x14ac:dyDescent="0.2">
      <c r="A1" s="542" t="s">
        <v>473</v>
      </c>
      <c r="B1" s="543"/>
      <c r="C1" s="543"/>
      <c r="D1" s="543"/>
      <c r="E1" s="543"/>
      <c r="F1" s="68"/>
      <c r="G1" s="68"/>
      <c r="H1" s="68"/>
      <c r="I1" s="68"/>
      <c r="J1" s="68"/>
      <c r="K1" s="68"/>
      <c r="L1" s="68"/>
      <c r="M1" s="68"/>
      <c r="N1" s="68"/>
    </row>
    <row r="2" spans="1:16" s="43" customFormat="1" ht="20.25" customHeight="1" x14ac:dyDescent="0.2">
      <c r="A2" s="283" t="str">
        <f>Paramètres!B5</f>
        <v>Acomptes 2020</v>
      </c>
      <c r="C2" s="135"/>
      <c r="D2" s="284"/>
      <c r="E2" s="284"/>
      <c r="F2" s="68"/>
      <c r="G2" s="68"/>
      <c r="H2" s="68"/>
      <c r="I2" s="68"/>
      <c r="J2" s="68"/>
      <c r="K2" s="68"/>
      <c r="L2" s="68"/>
      <c r="M2" s="68"/>
      <c r="N2" s="68"/>
    </row>
    <row r="3" spans="1:16" x14ac:dyDescent="0.25">
      <c r="D3" s="13"/>
      <c r="E3" s="13"/>
    </row>
    <row r="4" spans="1:16" ht="53.25" customHeight="1" x14ac:dyDescent="0.25">
      <c r="A4" s="501" t="s">
        <v>46</v>
      </c>
      <c r="B4" s="501" t="s">
        <v>96</v>
      </c>
      <c r="C4" s="522" t="s">
        <v>361</v>
      </c>
      <c r="D4" s="538" t="s">
        <v>362</v>
      </c>
      <c r="E4" s="538" t="s">
        <v>552</v>
      </c>
      <c r="F4" s="538" t="s">
        <v>93</v>
      </c>
      <c r="G4" s="538" t="s">
        <v>145</v>
      </c>
      <c r="H4" s="538" t="s">
        <v>139</v>
      </c>
      <c r="I4" s="538" t="s">
        <v>412</v>
      </c>
      <c r="J4" s="538" t="s">
        <v>211</v>
      </c>
      <c r="K4" s="538" t="s">
        <v>126</v>
      </c>
      <c r="L4" s="538" t="s">
        <v>212</v>
      </c>
      <c r="M4" s="538" t="s">
        <v>492</v>
      </c>
      <c r="N4" s="540" t="s">
        <v>138</v>
      </c>
      <c r="O4" s="537" t="s">
        <v>512</v>
      </c>
    </row>
    <row r="5" spans="1:16" ht="14.25" customHeight="1" x14ac:dyDescent="0.25">
      <c r="A5" s="503"/>
      <c r="B5" s="503"/>
      <c r="C5" s="523"/>
      <c r="D5" s="544"/>
      <c r="E5" s="539"/>
      <c r="F5" s="544"/>
      <c r="G5" s="539"/>
      <c r="H5" s="539"/>
      <c r="I5" s="539"/>
      <c r="J5" s="544"/>
      <c r="K5" s="539"/>
      <c r="L5" s="539"/>
      <c r="M5" s="539"/>
      <c r="N5" s="541"/>
      <c r="O5" s="537"/>
    </row>
    <row r="6" spans="1:16" s="155" customFormat="1" x14ac:dyDescent="0.25">
      <c r="A6" s="312">
        <f>'B) D RI'!A7</f>
        <v>5401</v>
      </c>
      <c r="B6" s="153" t="str">
        <f>'B) D RI'!B7</f>
        <v>Aigle</v>
      </c>
      <c r="C6" s="317">
        <f>'B) D RI'!S7</f>
        <v>67.5</v>
      </c>
      <c r="D6" s="318">
        <f>'B) D RI'!AA7</f>
        <v>10134</v>
      </c>
      <c r="E6" s="315">
        <f>'D) Ecrêtage'!C5</f>
        <v>264997.06649252231</v>
      </c>
      <c r="F6" s="158">
        <f>'E) Fact soc'!G11</f>
        <v>5299794.2029398633</v>
      </c>
      <c r="G6" s="316">
        <f>'H) Péréquation directe'!I16</f>
        <v>-3237858.9128018254</v>
      </c>
      <c r="H6" s="158">
        <f>+'I) Dépenses thématiques'!O5</f>
        <v>-2483360.5487665329</v>
      </c>
      <c r="I6" s="316">
        <f>'K) Plafonnement aide'!J5</f>
        <v>0</v>
      </c>
      <c r="J6" s="158">
        <f>'J) Plafonnement effort'!J5</f>
        <v>0</v>
      </c>
      <c r="K6" s="316">
        <f>'L) Plafonnement taux'!Q6</f>
        <v>0</v>
      </c>
      <c r="L6" s="313">
        <f>F6+G6+H6+I6+J6+K6</f>
        <v>-421425.25862849504</v>
      </c>
      <c r="M6" s="235">
        <f>'M) Police'!O6</f>
        <v>351222.45801486616</v>
      </c>
      <c r="N6" s="234">
        <f>L6+M6</f>
        <v>-70202.800613628875</v>
      </c>
      <c r="P6" s="322"/>
    </row>
    <row r="7" spans="1:16" s="155" customFormat="1" x14ac:dyDescent="0.25">
      <c r="A7" s="152">
        <f>'B) D RI'!A8</f>
        <v>5402</v>
      </c>
      <c r="B7" s="153" t="str">
        <f>'B) D RI'!B8</f>
        <v>Bex</v>
      </c>
      <c r="C7" s="317">
        <f>'B) D RI'!S8</f>
        <v>71</v>
      </c>
      <c r="D7" s="154">
        <f>'B) D RI'!AA8</f>
        <v>7757</v>
      </c>
      <c r="E7" s="315">
        <f>'D) Ecrêtage'!C6</f>
        <v>167576.20795633722</v>
      </c>
      <c r="F7" s="319">
        <f>'E) Fact soc'!G12</f>
        <v>3083748.1115815789</v>
      </c>
      <c r="G7" s="316">
        <f>'H) Péréquation directe'!I17</f>
        <v>-3687644.5709065786</v>
      </c>
      <c r="H7" s="319">
        <f>+'I) Dépenses thématiques'!O6</f>
        <v>-1879561.806720546</v>
      </c>
      <c r="I7" s="316">
        <f>'K) Plafonnement aide'!J6</f>
        <v>0</v>
      </c>
      <c r="J7" s="319">
        <f>'J) Plafonnement effort'!J6</f>
        <v>0</v>
      </c>
      <c r="K7" s="316">
        <f>'L) Plafonnement taux'!Q7</f>
        <v>0</v>
      </c>
      <c r="L7" s="314">
        <f t="shared" ref="L7:L61" si="0">F7+G7+H7+I7+J7+K7</f>
        <v>-2483458.2660455457</v>
      </c>
      <c r="M7" s="235">
        <f>'M) Police'!O7</f>
        <v>222102.56302930033</v>
      </c>
      <c r="N7" s="235">
        <f t="shared" ref="N7:N70" si="1">L7+M7</f>
        <v>-2261355.7030162453</v>
      </c>
      <c r="P7" s="322"/>
    </row>
    <row r="8" spans="1:16" s="155" customFormat="1" x14ac:dyDescent="0.25">
      <c r="A8" s="152">
        <f>'B) D RI'!A9</f>
        <v>5403</v>
      </c>
      <c r="B8" s="153" t="str">
        <f>'B) D RI'!B9</f>
        <v>Chessel</v>
      </c>
      <c r="C8" s="317">
        <f>'B) D RI'!S9</f>
        <v>74</v>
      </c>
      <c r="D8" s="154">
        <f>'B) D RI'!AA9</f>
        <v>426</v>
      </c>
      <c r="E8" s="315">
        <f>'D) Ecrêtage'!C7</f>
        <v>10084.656029543799</v>
      </c>
      <c r="F8" s="319">
        <f>'E) Fact soc'!G13</f>
        <v>187497.13347614283</v>
      </c>
      <c r="G8" s="316">
        <f>'H) Péréquation directe'!I18</f>
        <v>-44866.463906149613</v>
      </c>
      <c r="H8" s="319">
        <f>+'I) Dépenses thématiques'!O7</f>
        <v>-44493.54513953437</v>
      </c>
      <c r="I8" s="316">
        <f>'K) Plafonnement aide'!J7</f>
        <v>0</v>
      </c>
      <c r="J8" s="319">
        <f>'J) Plafonnement effort'!J7</f>
        <v>0</v>
      </c>
      <c r="K8" s="316">
        <f>'L) Plafonnement taux'!Q8</f>
        <v>0</v>
      </c>
      <c r="L8" s="314">
        <f t="shared" si="0"/>
        <v>98137.124430458847</v>
      </c>
      <c r="M8" s="235">
        <f>'M) Police'!O8</f>
        <v>31911.215079578822</v>
      </c>
      <c r="N8" s="235">
        <f t="shared" si="1"/>
        <v>130048.33951003767</v>
      </c>
      <c r="P8" s="322"/>
    </row>
    <row r="9" spans="1:16" s="155" customFormat="1" x14ac:dyDescent="0.25">
      <c r="A9" s="152">
        <f>'B) D RI'!A10</f>
        <v>5404</v>
      </c>
      <c r="B9" s="153" t="str">
        <f>'B) D RI'!B10</f>
        <v>Corbeyrier</v>
      </c>
      <c r="C9" s="317">
        <f>'B) D RI'!S10</f>
        <v>70</v>
      </c>
      <c r="D9" s="154">
        <f>'B) D RI'!AA10</f>
        <v>438</v>
      </c>
      <c r="E9" s="315">
        <f>'D) Ecrêtage'!C8</f>
        <v>11886.055583598994</v>
      </c>
      <c r="F9" s="319">
        <f>'E) Fact soc'!G14</f>
        <v>219128.42126620529</v>
      </c>
      <c r="G9" s="316">
        <f>'H) Péréquation directe'!I19</f>
        <v>35429.314572435571</v>
      </c>
      <c r="H9" s="319">
        <f>+'I) Dépenses thématiques'!O8</f>
        <v>-147132.53756713792</v>
      </c>
      <c r="I9" s="316">
        <f>'K) Plafonnement aide'!J8</f>
        <v>0</v>
      </c>
      <c r="J9" s="319">
        <f>'J) Plafonnement effort'!J8</f>
        <v>0</v>
      </c>
      <c r="K9" s="316">
        <f>'L) Plafonnement taux'!Q9</f>
        <v>0</v>
      </c>
      <c r="L9" s="314">
        <f t="shared" si="0"/>
        <v>107425.19827150294</v>
      </c>
      <c r="M9" s="235">
        <f>'M) Police'!O9</f>
        <v>37242.728588422426</v>
      </c>
      <c r="N9" s="235">
        <f t="shared" si="1"/>
        <v>144667.92685992538</v>
      </c>
      <c r="P9" s="322"/>
    </row>
    <row r="10" spans="1:16" s="155" customFormat="1" x14ac:dyDescent="0.25">
      <c r="A10" s="152">
        <f>'B) D RI'!A11</f>
        <v>5405</v>
      </c>
      <c r="B10" s="153" t="str">
        <f>'B) D RI'!B11</f>
        <v>Gryon</v>
      </c>
      <c r="C10" s="317">
        <f>'B) D RI'!S11</f>
        <v>75</v>
      </c>
      <c r="D10" s="154">
        <f>'B) D RI'!AA11</f>
        <v>1332</v>
      </c>
      <c r="E10" s="315">
        <f>'D) Ecrêtage'!C9</f>
        <v>67043.99833693559</v>
      </c>
      <c r="F10" s="319">
        <f>'E) Fact soc'!G15</f>
        <v>1930882.3880408411</v>
      </c>
      <c r="G10" s="316">
        <f>'H) Péréquation directe'!I20</f>
        <v>1118863.3422825567</v>
      </c>
      <c r="H10" s="319">
        <f>+'I) Dépenses thématiques'!O9</f>
        <v>-739029.1275195207</v>
      </c>
      <c r="I10" s="316">
        <f>'K) Plafonnement aide'!J9</f>
        <v>0</v>
      </c>
      <c r="J10" s="319">
        <f>'J) Plafonnement effort'!J9</f>
        <v>0</v>
      </c>
      <c r="K10" s="316">
        <f>'L) Plafonnement taux'!Q10</f>
        <v>0</v>
      </c>
      <c r="L10" s="314">
        <f t="shared" si="0"/>
        <v>2310716.6028038766</v>
      </c>
      <c r="M10" s="235">
        <f>'M) Police'!O10</f>
        <v>199207.36583859366</v>
      </c>
      <c r="N10" s="235">
        <f t="shared" si="1"/>
        <v>2509923.9686424704</v>
      </c>
      <c r="P10" s="322"/>
    </row>
    <row r="11" spans="1:16" s="155" customFormat="1" x14ac:dyDescent="0.25">
      <c r="A11" s="152">
        <f>'B) D RI'!A12</f>
        <v>5406</v>
      </c>
      <c r="B11" s="153" t="str">
        <f>'B) D RI'!B12</f>
        <v>Lavey-Morcles</v>
      </c>
      <c r="C11" s="317">
        <f>'B) D RI'!S12</f>
        <v>71</v>
      </c>
      <c r="D11" s="154">
        <f>'B) D RI'!AA12</f>
        <v>946</v>
      </c>
      <c r="E11" s="315">
        <f>'D) Ecrêtage'!C10</f>
        <v>21182.431428934582</v>
      </c>
      <c r="F11" s="319">
        <f>'E) Fact soc'!G16</f>
        <v>351480.1150755402</v>
      </c>
      <c r="G11" s="316">
        <f>'H) Péréquation directe'!I21</f>
        <v>-113903.00425924332</v>
      </c>
      <c r="H11" s="319">
        <f>+'I) Dépenses thématiques'!O10</f>
        <v>-85958.330653481942</v>
      </c>
      <c r="I11" s="316">
        <f>'K) Plafonnement aide'!J10</f>
        <v>0</v>
      </c>
      <c r="J11" s="319">
        <f>'J) Plafonnement effort'!J10</f>
        <v>0</v>
      </c>
      <c r="K11" s="316">
        <f>'L) Plafonnement taux'!Q11</f>
        <v>0</v>
      </c>
      <c r="L11" s="314">
        <f t="shared" si="0"/>
        <v>151618.78016281495</v>
      </c>
      <c r="M11" s="235">
        <f>'M) Police'!O11</f>
        <v>66080.145811748909</v>
      </c>
      <c r="N11" s="235">
        <f t="shared" si="1"/>
        <v>217698.92597456387</v>
      </c>
      <c r="P11" s="322"/>
    </row>
    <row r="12" spans="1:16" s="155" customFormat="1" x14ac:dyDescent="0.25">
      <c r="A12" s="152">
        <f>'B) D RI'!A13</f>
        <v>5407</v>
      </c>
      <c r="B12" s="153" t="str">
        <f>'B) D RI'!B13</f>
        <v>Leysin</v>
      </c>
      <c r="C12" s="317">
        <f>'B) D RI'!S13</f>
        <v>78</v>
      </c>
      <c r="D12" s="154">
        <f>'B) D RI'!AA13</f>
        <v>3939</v>
      </c>
      <c r="E12" s="315">
        <f>'D) Ecrêtage'!C11</f>
        <v>87800.052646256067</v>
      </c>
      <c r="F12" s="319">
        <f>'E) Fact soc'!G17</f>
        <v>1575738.991082134</v>
      </c>
      <c r="G12" s="316">
        <f>'H) Péréquation directe'!I22</f>
        <v>-1659891.5312775411</v>
      </c>
      <c r="H12" s="319">
        <f>+'I) Dépenses thématiques'!O11</f>
        <v>-1886694.7390047971</v>
      </c>
      <c r="I12" s="316">
        <f>'K) Plafonnement aide'!J11</f>
        <v>0</v>
      </c>
      <c r="J12" s="319">
        <f>'J) Plafonnement effort'!J11</f>
        <v>0</v>
      </c>
      <c r="K12" s="316">
        <f>'L) Plafonnement taux'!Q12</f>
        <v>0</v>
      </c>
      <c r="L12" s="314">
        <f t="shared" si="0"/>
        <v>-1970847.2792002042</v>
      </c>
      <c r="M12" s="235">
        <f>'M) Police'!O12</f>
        <v>269781.57020747737</v>
      </c>
      <c r="N12" s="235">
        <f t="shared" si="1"/>
        <v>-1701065.7089927269</v>
      </c>
      <c r="P12" s="322"/>
    </row>
    <row r="13" spans="1:16" s="155" customFormat="1" x14ac:dyDescent="0.25">
      <c r="A13" s="152">
        <f>'B) D RI'!A14</f>
        <v>5408</v>
      </c>
      <c r="B13" s="153" t="str">
        <f>'B) D RI'!B14</f>
        <v>Noville</v>
      </c>
      <c r="C13" s="317">
        <f>'B) D RI'!S14</f>
        <v>78.5</v>
      </c>
      <c r="D13" s="154">
        <f>'B) D RI'!AA14</f>
        <v>1113</v>
      </c>
      <c r="E13" s="315">
        <f>'D) Ecrêtage'!C12</f>
        <v>34485.089397525851</v>
      </c>
      <c r="F13" s="319">
        <f>'E) Fact soc'!G18</f>
        <v>791891.16647171881</v>
      </c>
      <c r="G13" s="316">
        <f>'H) Péréquation directe'!I23</f>
        <v>157567.51456143137</v>
      </c>
      <c r="H13" s="319">
        <f>+'I) Dépenses thématiques'!O12</f>
        <v>-199549.24647686686</v>
      </c>
      <c r="I13" s="316">
        <f>'K) Plafonnement aide'!J12</f>
        <v>0</v>
      </c>
      <c r="J13" s="319">
        <f>'J) Plafonnement effort'!J12</f>
        <v>0</v>
      </c>
      <c r="K13" s="316">
        <f>'L) Plafonnement taux'!Q13</f>
        <v>0</v>
      </c>
      <c r="L13" s="314">
        <f t="shared" si="0"/>
        <v>749909.43455628329</v>
      </c>
      <c r="M13" s="235">
        <f>'M) Police'!O13</f>
        <v>109480.16627705528</v>
      </c>
      <c r="N13" s="235">
        <f t="shared" si="1"/>
        <v>859389.60083333857</v>
      </c>
      <c r="P13" s="322"/>
    </row>
    <row r="14" spans="1:16" s="155" customFormat="1" x14ac:dyDescent="0.25">
      <c r="A14" s="152">
        <f>'B) D RI'!A15</f>
        <v>5409</v>
      </c>
      <c r="B14" s="153" t="str">
        <f>'B) D RI'!B15</f>
        <v>Ollon</v>
      </c>
      <c r="C14" s="317">
        <f>'B) D RI'!S15</f>
        <v>68</v>
      </c>
      <c r="D14" s="154">
        <f>'B) D RI'!AA15</f>
        <v>7461</v>
      </c>
      <c r="E14" s="315">
        <f>'D) Ecrêtage'!C13</f>
        <v>364239.90242657869</v>
      </c>
      <c r="F14" s="319">
        <f>'E) Fact soc'!G19</f>
        <v>8088799.430014356</v>
      </c>
      <c r="G14" s="316">
        <f>'H) Péréquation directe'!I24</f>
        <v>4089421.6425166605</v>
      </c>
      <c r="H14" s="319">
        <f>+'I) Dépenses thématiques'!O13</f>
        <v>-2314987.6467733756</v>
      </c>
      <c r="I14" s="316">
        <f>'K) Plafonnement aide'!J13</f>
        <v>0</v>
      </c>
      <c r="J14" s="319">
        <f>'J) Plafonnement effort'!J13</f>
        <v>0</v>
      </c>
      <c r="K14" s="316">
        <f>'L) Plafonnement taux'!Q14</f>
        <v>0</v>
      </c>
      <c r="L14" s="314">
        <f t="shared" si="0"/>
        <v>9863233.425757641</v>
      </c>
      <c r="M14" s="235">
        <f>'M) Police'!O14</f>
        <v>482757.16984575707</v>
      </c>
      <c r="N14" s="235">
        <f t="shared" si="1"/>
        <v>10345990.595603399</v>
      </c>
      <c r="P14" s="322"/>
    </row>
    <row r="15" spans="1:16" s="155" customFormat="1" x14ac:dyDescent="0.25">
      <c r="A15" s="152">
        <f>'B) D RI'!A16</f>
        <v>5410</v>
      </c>
      <c r="B15" s="153" t="str">
        <f>'B) D RI'!B16</f>
        <v>Ormont-Dessous</v>
      </c>
      <c r="C15" s="317">
        <f>'B) D RI'!S16</f>
        <v>78.5</v>
      </c>
      <c r="D15" s="154">
        <f>'B) D RI'!AA16</f>
        <v>1121</v>
      </c>
      <c r="E15" s="315">
        <f>'D) Ecrêtage'!C14</f>
        <v>43203.907731880769</v>
      </c>
      <c r="F15" s="319">
        <f>'E) Fact soc'!G20</f>
        <v>826863.39892391674</v>
      </c>
      <c r="G15" s="316">
        <f>'H) Péréquation directe'!I25</f>
        <v>536466.11778944312</v>
      </c>
      <c r="H15" s="319">
        <f>+'I) Dépenses thématiques'!O14</f>
        <v>-904139.77314334339</v>
      </c>
      <c r="I15" s="316">
        <f>'K) Plafonnement aide'!J14</f>
        <v>0</v>
      </c>
      <c r="J15" s="319">
        <f>'J) Plafonnement effort'!J14</f>
        <v>0</v>
      </c>
      <c r="K15" s="316">
        <f>'L) Plafonnement taux'!Q15</f>
        <v>0</v>
      </c>
      <c r="L15" s="314">
        <f t="shared" si="0"/>
        <v>459189.74357001646</v>
      </c>
      <c r="M15" s="235">
        <f>'M) Police'!O15</f>
        <v>134046.43703783362</v>
      </c>
      <c r="N15" s="235">
        <f t="shared" si="1"/>
        <v>593236.18060785008</v>
      </c>
      <c r="P15" s="322"/>
    </row>
    <row r="16" spans="1:16" s="155" customFormat="1" x14ac:dyDescent="0.25">
      <c r="A16" s="152">
        <f>'B) D RI'!A17</f>
        <v>5411</v>
      </c>
      <c r="B16" s="153" t="str">
        <f>'B) D RI'!B17</f>
        <v>Ormont-Dessus</v>
      </c>
      <c r="C16" s="317">
        <f>'B) D RI'!S17</f>
        <v>76</v>
      </c>
      <c r="D16" s="154">
        <f>'B) D RI'!AA17</f>
        <v>1446</v>
      </c>
      <c r="E16" s="315">
        <f>'D) Ecrêtage'!C15</f>
        <v>72610.798338858935</v>
      </c>
      <c r="F16" s="319">
        <f>'E) Fact soc'!G21</f>
        <v>1608776.6804379956</v>
      </c>
      <c r="G16" s="316">
        <f>'H) Péréquation directe'!I26</f>
        <v>1191912.1697684298</v>
      </c>
      <c r="H16" s="319">
        <f>+'I) Dépenses thématiques'!O15</f>
        <v>-850296.59433421877</v>
      </c>
      <c r="I16" s="316">
        <f>'K) Plafonnement aide'!J15</f>
        <v>0</v>
      </c>
      <c r="J16" s="319">
        <f>'J) Plafonnement effort'!J15</f>
        <v>0</v>
      </c>
      <c r="K16" s="316">
        <f>'L) Plafonnement taux'!Q16</f>
        <v>0</v>
      </c>
      <c r="L16" s="314">
        <f t="shared" si="0"/>
        <v>1950392.2558722068</v>
      </c>
      <c r="M16" s="235">
        <f>'M) Police'!O16</f>
        <v>216029.73961468582</v>
      </c>
      <c r="N16" s="235">
        <f t="shared" si="1"/>
        <v>2166421.9954868928</v>
      </c>
      <c r="P16" s="322"/>
    </row>
    <row r="17" spans="1:16" s="155" customFormat="1" x14ac:dyDescent="0.25">
      <c r="A17" s="152">
        <f>'B) D RI'!A18</f>
        <v>5412</v>
      </c>
      <c r="B17" s="153" t="str">
        <f>'B) D RI'!B18</f>
        <v>Rennaz</v>
      </c>
      <c r="C17" s="317">
        <f>'B) D RI'!S18</f>
        <v>67.5</v>
      </c>
      <c r="D17" s="154">
        <f>'B) D RI'!AA18</f>
        <v>826</v>
      </c>
      <c r="E17" s="315">
        <f>'D) Ecrêtage'!C16</f>
        <v>26466.15780602719</v>
      </c>
      <c r="F17" s="319">
        <f>'E) Fact soc'!G22</f>
        <v>847349.08124645788</v>
      </c>
      <c r="G17" s="316">
        <f>'H) Péréquation directe'!I27</f>
        <v>242340.16005969676</v>
      </c>
      <c r="H17" s="319">
        <f>+'I) Dépenses thématiques'!O16</f>
        <v>-34772.259413795793</v>
      </c>
      <c r="I17" s="316">
        <f>'K) Plafonnement aide'!J16</f>
        <v>0</v>
      </c>
      <c r="J17" s="319">
        <f>'J) Plafonnement effort'!J16</f>
        <v>0</v>
      </c>
      <c r="K17" s="316">
        <f>'L) Plafonnement taux'!Q17</f>
        <v>0</v>
      </c>
      <c r="L17" s="314">
        <f t="shared" si="0"/>
        <v>1054916.9818923587</v>
      </c>
      <c r="M17" s="235">
        <f>'M) Police'!O17</f>
        <v>80119.323032586515</v>
      </c>
      <c r="N17" s="235">
        <f t="shared" si="1"/>
        <v>1135036.3049249453</v>
      </c>
      <c r="P17" s="322"/>
    </row>
    <row r="18" spans="1:16" s="155" customFormat="1" x14ac:dyDescent="0.25">
      <c r="A18" s="152">
        <f>'B) D RI'!A19</f>
        <v>5413</v>
      </c>
      <c r="B18" s="153" t="str">
        <f>'B) D RI'!B19</f>
        <v>Roche</v>
      </c>
      <c r="C18" s="317">
        <f>'B) D RI'!S19</f>
        <v>68</v>
      </c>
      <c r="D18" s="154">
        <f>'B) D RI'!AA19</f>
        <v>1775</v>
      </c>
      <c r="E18" s="315">
        <f>'D) Ecrêtage'!C17</f>
        <v>37990.385509658925</v>
      </c>
      <c r="F18" s="319">
        <f>'E) Fact soc'!G23</f>
        <v>834496.08965298661</v>
      </c>
      <c r="G18" s="316">
        <f>'H) Péréquation directe'!I28</f>
        <v>-389741.98484670732</v>
      </c>
      <c r="H18" s="319">
        <f>+'I) Dépenses thématiques'!O17</f>
        <v>-38242.047488076554</v>
      </c>
      <c r="I18" s="316">
        <f>'K) Plafonnement aide'!J17</f>
        <v>0</v>
      </c>
      <c r="J18" s="319">
        <f>'J) Plafonnement effort'!J17</f>
        <v>0</v>
      </c>
      <c r="K18" s="316">
        <f>'L) Plafonnement taux'!Q18</f>
        <v>0</v>
      </c>
      <c r="L18" s="314">
        <f t="shared" si="0"/>
        <v>406512.05731820274</v>
      </c>
      <c r="M18" s="235">
        <f>'M) Police'!O18</f>
        <v>118137.57989917829</v>
      </c>
      <c r="N18" s="235">
        <f t="shared" si="1"/>
        <v>524649.63721738104</v>
      </c>
      <c r="P18" s="322"/>
    </row>
    <row r="19" spans="1:16" s="155" customFormat="1" x14ac:dyDescent="0.25">
      <c r="A19" s="152">
        <f>'B) D RI'!A20</f>
        <v>5414</v>
      </c>
      <c r="B19" s="153" t="str">
        <f>'B) D RI'!B20</f>
        <v>Villeneuve</v>
      </c>
      <c r="C19" s="317">
        <f>'B) D RI'!S20</f>
        <v>69</v>
      </c>
      <c r="D19" s="154">
        <f>'B) D RI'!AA20</f>
        <v>5771</v>
      </c>
      <c r="E19" s="315">
        <f>'D) Ecrêtage'!C18</f>
        <v>165545.36815921174</v>
      </c>
      <c r="F19" s="319">
        <f>'E) Fact soc'!G24</f>
        <v>3799776.9124750192</v>
      </c>
      <c r="G19" s="316">
        <f>'H) Péréquation directe'!I29</f>
        <v>-690957.29727607733</v>
      </c>
      <c r="H19" s="319">
        <f>+'I) Dépenses thématiques'!O18</f>
        <v>-1884592.3425104278</v>
      </c>
      <c r="I19" s="316">
        <f>'K) Plafonnement aide'!J18</f>
        <v>0</v>
      </c>
      <c r="J19" s="319">
        <f>'J) Plafonnement effort'!J18</f>
        <v>0</v>
      </c>
      <c r="K19" s="316">
        <f>'L) Plafonnement taux'!Q19</f>
        <v>0</v>
      </c>
      <c r="L19" s="314">
        <f t="shared" si="0"/>
        <v>1224227.2726885141</v>
      </c>
      <c r="M19" s="235">
        <f>'M) Police'!O19</f>
        <v>511339.57154069981</v>
      </c>
      <c r="N19" s="235">
        <f t="shared" si="1"/>
        <v>1735566.8442292139</v>
      </c>
      <c r="P19" s="322"/>
    </row>
    <row r="20" spans="1:16" s="155" customFormat="1" x14ac:dyDescent="0.25">
      <c r="A20" s="152">
        <f>'B) D RI'!A21</f>
        <v>5415</v>
      </c>
      <c r="B20" s="153" t="str">
        <f>'B) D RI'!B21</f>
        <v>Yvorne</v>
      </c>
      <c r="C20" s="317">
        <f>'B) D RI'!S21</f>
        <v>71.5</v>
      </c>
      <c r="D20" s="154">
        <f>'B) D RI'!AA21</f>
        <v>1066</v>
      </c>
      <c r="E20" s="315">
        <f>'D) Ecrêtage'!C19</f>
        <v>33364.537599401883</v>
      </c>
      <c r="F20" s="319">
        <f>'E) Fact soc'!G25</f>
        <v>595058.35192077444</v>
      </c>
      <c r="G20" s="316">
        <f>'H) Péréquation directe'!I30</f>
        <v>235643.86662119499</v>
      </c>
      <c r="H20" s="319">
        <f>+'I) Dépenses thématiques'!O19</f>
        <v>-107832.35951132936</v>
      </c>
      <c r="I20" s="316">
        <f>'K) Plafonnement aide'!J19</f>
        <v>0</v>
      </c>
      <c r="J20" s="319">
        <f>'J) Plafonnement effort'!J19</f>
        <v>0</v>
      </c>
      <c r="K20" s="316">
        <f>'L) Plafonnement taux'!Q20</f>
        <v>0</v>
      </c>
      <c r="L20" s="314">
        <f t="shared" si="0"/>
        <v>722869.8590306401</v>
      </c>
      <c r="M20" s="235">
        <f>'M) Police'!O20</f>
        <v>104940.00262528434</v>
      </c>
      <c r="N20" s="235">
        <f t="shared" si="1"/>
        <v>827809.86165592447</v>
      </c>
      <c r="P20" s="322"/>
    </row>
    <row r="21" spans="1:16" s="155" customFormat="1" x14ac:dyDescent="0.25">
      <c r="A21" s="152">
        <f>'B) D RI'!A22</f>
        <v>5421</v>
      </c>
      <c r="B21" s="153" t="str">
        <f>'B) D RI'!B22</f>
        <v>Apples</v>
      </c>
      <c r="C21" s="317">
        <f>'B) D RI'!S22</f>
        <v>76</v>
      </c>
      <c r="D21" s="154">
        <f>'B) D RI'!AA22</f>
        <v>1469</v>
      </c>
      <c r="E21" s="315">
        <f>'D) Ecrêtage'!C20</f>
        <v>66975.284470984901</v>
      </c>
      <c r="F21" s="319">
        <f>'E) Fact soc'!G26</f>
        <v>1148456.7236300348</v>
      </c>
      <c r="G21" s="316">
        <f>'H) Péréquation directe'!I31</f>
        <v>1069567.8919232748</v>
      </c>
      <c r="H21" s="319">
        <f>+'I) Dépenses thématiques'!O20</f>
        <v>-160903.15473950142</v>
      </c>
      <c r="I21" s="316">
        <f>'K) Plafonnement aide'!J20</f>
        <v>0</v>
      </c>
      <c r="J21" s="319">
        <f>'J) Plafonnement effort'!J20</f>
        <v>0</v>
      </c>
      <c r="K21" s="316">
        <f>'L) Plafonnement taux'!Q21</f>
        <v>0</v>
      </c>
      <c r="L21" s="314">
        <f t="shared" si="0"/>
        <v>2057121.4608138083</v>
      </c>
      <c r="M21" s="235">
        <f>'M) Police'!O21</f>
        <v>210465.94430256466</v>
      </c>
      <c r="N21" s="235">
        <f t="shared" si="1"/>
        <v>2267587.4051163727</v>
      </c>
      <c r="P21" s="322"/>
    </row>
    <row r="22" spans="1:16" s="155" customFormat="1" x14ac:dyDescent="0.25">
      <c r="A22" s="152">
        <f>'B) D RI'!A23</f>
        <v>5422</v>
      </c>
      <c r="B22" s="153" t="str">
        <f>'B) D RI'!B23</f>
        <v>Aubonne</v>
      </c>
      <c r="C22" s="317">
        <f>'B) D RI'!S23</f>
        <v>68</v>
      </c>
      <c r="D22" s="154">
        <f>'B) D RI'!AA23</f>
        <v>3242</v>
      </c>
      <c r="E22" s="315">
        <f>'D) Ecrêtage'!C21</f>
        <v>225566.61726643931</v>
      </c>
      <c r="F22" s="319">
        <f>'E) Fact soc'!G27</f>
        <v>6408442.9146800442</v>
      </c>
      <c r="G22" s="316">
        <f>'H) Péréquation directe'!I32</f>
        <v>3630009.2831513602</v>
      </c>
      <c r="H22" s="319">
        <f>+'I) Dépenses thématiques'!O21</f>
        <v>0</v>
      </c>
      <c r="I22" s="316">
        <f>'K) Plafonnement aide'!J21</f>
        <v>0</v>
      </c>
      <c r="J22" s="319">
        <f>'J) Plafonnement effort'!J21</f>
        <v>0</v>
      </c>
      <c r="K22" s="316">
        <f>'L) Plafonnement taux'!Q22</f>
        <v>0</v>
      </c>
      <c r="L22" s="314">
        <f t="shared" si="0"/>
        <v>10038452.197831403</v>
      </c>
      <c r="M22" s="235">
        <f>'M) Police'!O22</f>
        <v>567542.81626344938</v>
      </c>
      <c r="N22" s="235">
        <f t="shared" si="1"/>
        <v>10605995.014094852</v>
      </c>
      <c r="P22" s="322"/>
    </row>
    <row r="23" spans="1:16" s="155" customFormat="1" x14ac:dyDescent="0.25">
      <c r="A23" s="152">
        <f>'B) D RI'!A24</f>
        <v>5423</v>
      </c>
      <c r="B23" s="153" t="str">
        <f>'B) D RI'!B24</f>
        <v>Ballens</v>
      </c>
      <c r="C23" s="317">
        <f>'B) D RI'!S24</f>
        <v>73</v>
      </c>
      <c r="D23" s="154">
        <f>'B) D RI'!AA24</f>
        <v>536</v>
      </c>
      <c r="E23" s="315">
        <f>'D) Ecrêtage'!C22</f>
        <v>13546.834391748147</v>
      </c>
      <c r="F23" s="319">
        <f>'E) Fact soc'!G28</f>
        <v>231855.10797404434</v>
      </c>
      <c r="G23" s="316">
        <f>'H) Péréquation directe'!I33</f>
        <v>-14234.106144068588</v>
      </c>
      <c r="H23" s="319">
        <f>+'I) Dépenses thématiques'!O22</f>
        <v>-97101.172098527022</v>
      </c>
      <c r="I23" s="316">
        <f>'K) Plafonnement aide'!J22</f>
        <v>0</v>
      </c>
      <c r="J23" s="319">
        <f>'J) Plafonnement effort'!J22</f>
        <v>0</v>
      </c>
      <c r="K23" s="316">
        <f>'L) Plafonnement taux'!Q23</f>
        <v>0</v>
      </c>
      <c r="L23" s="314">
        <f t="shared" si="0"/>
        <v>120519.82973144873</v>
      </c>
      <c r="M23" s="235">
        <f>'M) Police'!O23</f>
        <v>42845.116133885582</v>
      </c>
      <c r="N23" s="235">
        <f t="shared" si="1"/>
        <v>163364.9458653343</v>
      </c>
      <c r="P23" s="322"/>
    </row>
    <row r="24" spans="1:16" s="155" customFormat="1" x14ac:dyDescent="0.25">
      <c r="A24" s="152">
        <f>'B) D RI'!A25</f>
        <v>5424</v>
      </c>
      <c r="B24" s="153" t="str">
        <f>'B) D RI'!B25</f>
        <v>Berolle</v>
      </c>
      <c r="C24" s="317">
        <f>'B) D RI'!S25</f>
        <v>77</v>
      </c>
      <c r="D24" s="154">
        <f>'B) D RI'!AA25</f>
        <v>307</v>
      </c>
      <c r="E24" s="315">
        <f>'D) Ecrêtage'!C23</f>
        <v>9307.5930888942275</v>
      </c>
      <c r="F24" s="319">
        <f>'E) Fact soc'!G29</f>
        <v>147646.63977097848</v>
      </c>
      <c r="G24" s="316">
        <f>'H) Péréquation directe'!I34</f>
        <v>45441.572498451511</v>
      </c>
      <c r="H24" s="319">
        <f>+'I) Dépenses thématiques'!O23</f>
        <v>-37434.269591023221</v>
      </c>
      <c r="I24" s="316">
        <f>'K) Plafonnement aide'!J23</f>
        <v>0</v>
      </c>
      <c r="J24" s="319">
        <f>'J) Plafonnement effort'!J23</f>
        <v>0</v>
      </c>
      <c r="K24" s="316">
        <f>'L) Plafonnement taux'!Q24</f>
        <v>0</v>
      </c>
      <c r="L24" s="314">
        <f t="shared" si="0"/>
        <v>155653.94267840678</v>
      </c>
      <c r="M24" s="235">
        <f>'M) Police'!O24</f>
        <v>29649.826077119655</v>
      </c>
      <c r="N24" s="235">
        <f t="shared" si="1"/>
        <v>185303.76875552643</v>
      </c>
      <c r="P24" s="322"/>
    </row>
    <row r="25" spans="1:16" s="155" customFormat="1" x14ac:dyDescent="0.25">
      <c r="A25" s="152">
        <f>'B) D RI'!A26</f>
        <v>5425</v>
      </c>
      <c r="B25" s="153" t="str">
        <f>'B) D RI'!B26</f>
        <v>Bière</v>
      </c>
      <c r="C25" s="317">
        <f>'B) D RI'!S26</f>
        <v>70</v>
      </c>
      <c r="D25" s="154">
        <f>'B) D RI'!AA26</f>
        <v>1595</v>
      </c>
      <c r="E25" s="315">
        <f>'D) Ecrêtage'!C24</f>
        <v>38506.775780608448</v>
      </c>
      <c r="F25" s="319">
        <f>'E) Fact soc'!G30</f>
        <v>687154.64015473239</v>
      </c>
      <c r="G25" s="316">
        <f>'H) Péréquation directe'!I35</f>
        <v>-194686.27065822273</v>
      </c>
      <c r="H25" s="319">
        <f>+'I) Dépenses thématiques'!O24</f>
        <v>-450071.40646747325</v>
      </c>
      <c r="I25" s="316">
        <f>'K) Plafonnement aide'!J24</f>
        <v>0</v>
      </c>
      <c r="J25" s="319">
        <f>'J) Plafonnement effort'!J24</f>
        <v>0</v>
      </c>
      <c r="K25" s="316">
        <f>'L) Plafonnement taux'!Q25</f>
        <v>0</v>
      </c>
      <c r="L25" s="314">
        <f t="shared" si="0"/>
        <v>42396.963029036415</v>
      </c>
      <c r="M25" s="235">
        <f>'M) Police'!O25</f>
        <v>121957.37995903986</v>
      </c>
      <c r="N25" s="235">
        <f t="shared" si="1"/>
        <v>164354.34298807627</v>
      </c>
      <c r="P25" s="322"/>
    </row>
    <row r="26" spans="1:16" s="155" customFormat="1" x14ac:dyDescent="0.25">
      <c r="A26" s="152">
        <f>'B) D RI'!A27</f>
        <v>5426</v>
      </c>
      <c r="B26" s="153" t="str">
        <f>'B) D RI'!B27</f>
        <v>Bougy-Villars</v>
      </c>
      <c r="C26" s="317">
        <f>'B) D RI'!S27</f>
        <v>66</v>
      </c>
      <c r="D26" s="154">
        <f>'B) D RI'!AA27</f>
        <v>490</v>
      </c>
      <c r="E26" s="315">
        <f>'D) Ecrêtage'!C25</f>
        <v>50656.587213056948</v>
      </c>
      <c r="F26" s="319">
        <f>'E) Fact soc'!G31</f>
        <v>2624088.9729467249</v>
      </c>
      <c r="G26" s="316">
        <f>'H) Péréquation directe'!I36</f>
        <v>966254.4468282148</v>
      </c>
      <c r="H26" s="319">
        <f>+'I) Dépenses thématiques'!O25</f>
        <v>0</v>
      </c>
      <c r="I26" s="316">
        <f>'K) Plafonnement aide'!J25</f>
        <v>0</v>
      </c>
      <c r="J26" s="319">
        <f>'J) Plafonnement effort'!J25</f>
        <v>-15432.993548206763</v>
      </c>
      <c r="K26" s="316">
        <f>'L) Plafonnement taux'!Q26</f>
        <v>0</v>
      </c>
      <c r="L26" s="314">
        <f t="shared" si="0"/>
        <v>3574910.4262267328</v>
      </c>
      <c r="M26" s="235">
        <f>'M) Police'!O26</f>
        <v>107732.99194061622</v>
      </c>
      <c r="N26" s="235">
        <f t="shared" si="1"/>
        <v>3682643.418167349</v>
      </c>
      <c r="P26" s="322"/>
    </row>
    <row r="27" spans="1:16" s="155" customFormat="1" x14ac:dyDescent="0.25">
      <c r="A27" s="152">
        <f>'B) D RI'!A28</f>
        <v>5427</v>
      </c>
      <c r="B27" s="153" t="str">
        <f>'B) D RI'!B28</f>
        <v>Féchy</v>
      </c>
      <c r="C27" s="317">
        <f>'B) D RI'!S28</f>
        <v>64</v>
      </c>
      <c r="D27" s="154">
        <f>'B) D RI'!AA28</f>
        <v>860</v>
      </c>
      <c r="E27" s="315">
        <f>'D) Ecrêtage'!C26</f>
        <v>72785.387066428128</v>
      </c>
      <c r="F27" s="319">
        <f>'E) Fact soc'!G32</f>
        <v>2040576.0631844904</v>
      </c>
      <c r="G27" s="316">
        <f>'H) Péréquation directe'!I37</f>
        <v>1368878.6198054641</v>
      </c>
      <c r="H27" s="319">
        <f>+'I) Dépenses thématiques'!O26</f>
        <v>0</v>
      </c>
      <c r="I27" s="316">
        <f>'K) Plafonnement aide'!J26</f>
        <v>0</v>
      </c>
      <c r="J27" s="319">
        <f>'J) Plafonnement effort'!J26</f>
        <v>0</v>
      </c>
      <c r="K27" s="316">
        <f>'L) Plafonnement taux'!Q27</f>
        <v>0</v>
      </c>
      <c r="L27" s="314">
        <f t="shared" si="0"/>
        <v>3409454.6829899545</v>
      </c>
      <c r="M27" s="235">
        <f>'M) Police'!O27</f>
        <v>167714.45571468334</v>
      </c>
      <c r="N27" s="235">
        <f t="shared" si="1"/>
        <v>3577169.138704638</v>
      </c>
      <c r="P27" s="322"/>
    </row>
    <row r="28" spans="1:16" s="155" customFormat="1" x14ac:dyDescent="0.25">
      <c r="A28" s="152">
        <f>'B) D RI'!A29</f>
        <v>5428</v>
      </c>
      <c r="B28" s="153" t="str">
        <f>'B) D RI'!B29</f>
        <v>Gimel</v>
      </c>
      <c r="C28" s="317">
        <f>'B) D RI'!S29</f>
        <v>71.5</v>
      </c>
      <c r="D28" s="154">
        <f>'B) D RI'!AA29</f>
        <v>2186</v>
      </c>
      <c r="E28" s="315">
        <f>'D) Ecrêtage'!C27</f>
        <v>58910.135180018216</v>
      </c>
      <c r="F28" s="319">
        <f>'E) Fact soc'!G33</f>
        <v>1328185.6343185578</v>
      </c>
      <c r="G28" s="316">
        <f>'H) Péréquation directe'!I38</f>
        <v>-139108.09434508136</v>
      </c>
      <c r="H28" s="319">
        <f>+'I) Dépenses thématiques'!O27</f>
        <v>-250599.56050698308</v>
      </c>
      <c r="I28" s="316">
        <f>'K) Plafonnement aide'!J27</f>
        <v>0</v>
      </c>
      <c r="J28" s="319">
        <f>'J) Plafonnement effort'!J27</f>
        <v>0</v>
      </c>
      <c r="K28" s="316">
        <f>'L) Plafonnement taux'!Q28</f>
        <v>0</v>
      </c>
      <c r="L28" s="314">
        <f t="shared" si="0"/>
        <v>938477.97946649336</v>
      </c>
      <c r="M28" s="235">
        <f>'M) Police'!O28</f>
        <v>186182.42963917158</v>
      </c>
      <c r="N28" s="235">
        <f t="shared" si="1"/>
        <v>1124660.4091056651</v>
      </c>
      <c r="P28" s="322"/>
    </row>
    <row r="29" spans="1:16" s="155" customFormat="1" x14ac:dyDescent="0.25">
      <c r="A29" s="152">
        <f>'B) D RI'!A30</f>
        <v>5429</v>
      </c>
      <c r="B29" s="153" t="str">
        <f>'B) D RI'!B30</f>
        <v>Longirod</v>
      </c>
      <c r="C29" s="317">
        <f>'B) D RI'!S30</f>
        <v>81</v>
      </c>
      <c r="D29" s="154">
        <f>'B) D RI'!AA30</f>
        <v>478</v>
      </c>
      <c r="E29" s="315">
        <f>'D) Ecrêtage'!C28</f>
        <v>13766.784256066006</v>
      </c>
      <c r="F29" s="319">
        <f>'E) Fact soc'!G34</f>
        <v>248450.77326805482</v>
      </c>
      <c r="G29" s="316">
        <f>'H) Péréquation directe'!I39</f>
        <v>19698.061329765711</v>
      </c>
      <c r="H29" s="319">
        <f>+'I) Dépenses thématiques'!O28</f>
        <v>-134396.67654358491</v>
      </c>
      <c r="I29" s="316">
        <f>'K) Plafonnement aide'!J28</f>
        <v>0</v>
      </c>
      <c r="J29" s="319">
        <f>'J) Plafonnement effort'!J28</f>
        <v>0</v>
      </c>
      <c r="K29" s="316">
        <f>'L) Plafonnement taux'!Q29</f>
        <v>0</v>
      </c>
      <c r="L29" s="314">
        <f t="shared" si="0"/>
        <v>133752.15805423562</v>
      </c>
      <c r="M29" s="235">
        <f>'M) Police'!O29</f>
        <v>43371.101603340503</v>
      </c>
      <c r="N29" s="235">
        <f t="shared" si="1"/>
        <v>177123.25965757613</v>
      </c>
      <c r="P29" s="322"/>
    </row>
    <row r="30" spans="1:16" s="155" customFormat="1" x14ac:dyDescent="0.25">
      <c r="A30" s="152">
        <f>'B) D RI'!A31</f>
        <v>5430</v>
      </c>
      <c r="B30" s="153" t="str">
        <f>'B) D RI'!B31</f>
        <v>Marchissy</v>
      </c>
      <c r="C30" s="317">
        <f>'B) D RI'!S31</f>
        <v>79</v>
      </c>
      <c r="D30" s="154">
        <f>'B) D RI'!AA31</f>
        <v>463</v>
      </c>
      <c r="E30" s="315">
        <f>'D) Ecrêtage'!C29</f>
        <v>13685.946067131534</v>
      </c>
      <c r="F30" s="319">
        <f>'E) Fact soc'!G35</f>
        <v>247639.83893369537</v>
      </c>
      <c r="G30" s="316">
        <f>'H) Péréquation directe'!I40</f>
        <v>44358.441487051314</v>
      </c>
      <c r="H30" s="319">
        <f>+'I) Dépenses thématiques'!O29</f>
        <v>-81712.364386277681</v>
      </c>
      <c r="I30" s="316">
        <f>'K) Plafonnement aide'!J29</f>
        <v>0</v>
      </c>
      <c r="J30" s="319">
        <f>'J) Plafonnement effort'!J29</f>
        <v>0</v>
      </c>
      <c r="K30" s="316">
        <f>'L) Plafonnement taux'!Q30</f>
        <v>0</v>
      </c>
      <c r="L30" s="314">
        <f t="shared" si="0"/>
        <v>210285.91603446897</v>
      </c>
      <c r="M30" s="235">
        <f>'M) Police'!O30</f>
        <v>43336.756595937506</v>
      </c>
      <c r="N30" s="235">
        <f t="shared" si="1"/>
        <v>253622.67263040648</v>
      </c>
      <c r="P30" s="322"/>
    </row>
    <row r="31" spans="1:16" s="155" customFormat="1" x14ac:dyDescent="0.25">
      <c r="A31" s="152">
        <f>'B) D RI'!A32</f>
        <v>5431</v>
      </c>
      <c r="B31" s="153" t="str">
        <f>'B) D RI'!B32</f>
        <v>Mollens</v>
      </c>
      <c r="C31" s="317">
        <f>'B) D RI'!S32</f>
        <v>74</v>
      </c>
      <c r="D31" s="154">
        <f>'B) D RI'!AA32</f>
        <v>283</v>
      </c>
      <c r="E31" s="315">
        <f>'D) Ecrêtage'!C30</f>
        <v>8631.0396252458468</v>
      </c>
      <c r="F31" s="319">
        <f>'E) Fact soc'!G36</f>
        <v>180566.61410347995</v>
      </c>
      <c r="G31" s="316">
        <f>'H) Péréquation directe'!I41</f>
        <v>51432.769732705259</v>
      </c>
      <c r="H31" s="319">
        <f>+'I) Dépenses thématiques'!O30</f>
        <v>-55278.859150307799</v>
      </c>
      <c r="I31" s="316">
        <f>'K) Plafonnement aide'!J30</f>
        <v>0</v>
      </c>
      <c r="J31" s="319">
        <f>'J) Plafonnement effort'!J30</f>
        <v>0</v>
      </c>
      <c r="K31" s="316">
        <f>'L) Plafonnement taux'!Q31</f>
        <v>0</v>
      </c>
      <c r="L31" s="314">
        <f t="shared" si="0"/>
        <v>176720.5246858774</v>
      </c>
      <c r="M31" s="235">
        <f>'M) Police'!O31</f>
        <v>27390.327860577549</v>
      </c>
      <c r="N31" s="235">
        <f t="shared" si="1"/>
        <v>204110.85254645496</v>
      </c>
      <c r="P31" s="322"/>
    </row>
    <row r="32" spans="1:16" s="155" customFormat="1" x14ac:dyDescent="0.25">
      <c r="A32" s="152">
        <f>'B) D RI'!A33</f>
        <v>5432</v>
      </c>
      <c r="B32" s="153" t="str">
        <f>'B) D RI'!B33</f>
        <v>Montherod</v>
      </c>
      <c r="C32" s="317">
        <f>'B) D RI'!S33</f>
        <v>78</v>
      </c>
      <c r="D32" s="154">
        <f>'B) D RI'!AA33</f>
        <v>536</v>
      </c>
      <c r="E32" s="315">
        <f>'D) Ecrêtage'!C31</f>
        <v>18119.784125682436</v>
      </c>
      <c r="F32" s="319">
        <f>'E) Fact soc'!G37</f>
        <v>306721.48822180775</v>
      </c>
      <c r="G32" s="316">
        <f>'H) Péréquation directe'!I42</f>
        <v>157686.42557060174</v>
      </c>
      <c r="H32" s="319">
        <f>+'I) Dépenses thématiques'!O31</f>
        <v>-24821.424463262334</v>
      </c>
      <c r="I32" s="316">
        <f>'K) Plafonnement aide'!J31</f>
        <v>0</v>
      </c>
      <c r="J32" s="319">
        <f>'J) Plafonnement effort'!J31</f>
        <v>0</v>
      </c>
      <c r="K32" s="316">
        <f>'L) Plafonnement taux'!Q32</f>
        <v>0</v>
      </c>
      <c r="L32" s="314">
        <f t="shared" si="0"/>
        <v>439586.48932914715</v>
      </c>
      <c r="M32" s="235">
        <f>'M) Police'!O32</f>
        <v>57702.381140214056</v>
      </c>
      <c r="N32" s="235">
        <f t="shared" si="1"/>
        <v>497288.87046936119</v>
      </c>
      <c r="P32" s="322"/>
    </row>
    <row r="33" spans="1:16" s="155" customFormat="1" x14ac:dyDescent="0.25">
      <c r="A33" s="152">
        <f>'B) D RI'!A34</f>
        <v>5434</v>
      </c>
      <c r="B33" s="153" t="str">
        <f>'B) D RI'!B34</f>
        <v>Saint-George</v>
      </c>
      <c r="C33" s="317">
        <f>'B) D RI'!S34</f>
        <v>71</v>
      </c>
      <c r="D33" s="154">
        <f>'B) D RI'!AA34</f>
        <v>1031</v>
      </c>
      <c r="E33" s="315">
        <f>'D) Ecrêtage'!C32</f>
        <v>36673.941124861783</v>
      </c>
      <c r="F33" s="319">
        <f>'E) Fact soc'!G38</f>
        <v>738779.82355164806</v>
      </c>
      <c r="G33" s="316">
        <f>'H) Péréquation directe'!I43</f>
        <v>416875.85399137344</v>
      </c>
      <c r="H33" s="319">
        <f>+'I) Dépenses thématiques'!O32</f>
        <v>-106978.34528050195</v>
      </c>
      <c r="I33" s="316">
        <f>'K) Plafonnement aide'!J32</f>
        <v>0</v>
      </c>
      <c r="J33" s="319">
        <f>'J) Plafonnement effort'!J32</f>
        <v>0</v>
      </c>
      <c r="K33" s="316">
        <f>'L) Plafonnement taux'!Q33</f>
        <v>0</v>
      </c>
      <c r="L33" s="314">
        <f t="shared" si="0"/>
        <v>1048677.3322625195</v>
      </c>
      <c r="M33" s="235">
        <f>'M) Police'!O33</f>
        <v>115591.96425094339</v>
      </c>
      <c r="N33" s="235">
        <f t="shared" si="1"/>
        <v>1164269.2965134629</v>
      </c>
      <c r="P33" s="322"/>
    </row>
    <row r="34" spans="1:16" s="155" customFormat="1" x14ac:dyDescent="0.25">
      <c r="A34" s="152">
        <f>'B) D RI'!A35</f>
        <v>5435</v>
      </c>
      <c r="B34" s="153" t="str">
        <f>'B) D RI'!B35</f>
        <v>Saint-Livres</v>
      </c>
      <c r="C34" s="317">
        <f>'B) D RI'!S35</f>
        <v>69</v>
      </c>
      <c r="D34" s="154">
        <f>'B) D RI'!AA35</f>
        <v>690</v>
      </c>
      <c r="E34" s="315">
        <f>'D) Ecrêtage'!C33</f>
        <v>24134.317552979472</v>
      </c>
      <c r="F34" s="319">
        <f>'E) Fact soc'!G39</f>
        <v>416068.22574521776</v>
      </c>
      <c r="G34" s="316">
        <f>'H) Péréquation directe'!I44</f>
        <v>274696.94331241236</v>
      </c>
      <c r="H34" s="319">
        <f>+'I) Dépenses thématiques'!O33</f>
        <v>-28287.969188457228</v>
      </c>
      <c r="I34" s="316">
        <f>'K) Plafonnement aide'!J33</f>
        <v>0</v>
      </c>
      <c r="J34" s="319">
        <f>'J) Plafonnement effort'!J33</f>
        <v>0</v>
      </c>
      <c r="K34" s="316">
        <f>'L) Plafonnement taux'!Q34</f>
        <v>0</v>
      </c>
      <c r="L34" s="314">
        <f t="shared" si="0"/>
        <v>662477.19986917288</v>
      </c>
      <c r="M34" s="235">
        <f>'M) Police'!O34</f>
        <v>76703.400957920181</v>
      </c>
      <c r="N34" s="235">
        <f t="shared" si="1"/>
        <v>739180.600827093</v>
      </c>
      <c r="P34" s="322"/>
    </row>
    <row r="35" spans="1:16" s="155" customFormat="1" x14ac:dyDescent="0.25">
      <c r="A35" s="152">
        <f>'B) D RI'!A36</f>
        <v>5436</v>
      </c>
      <c r="B35" s="153" t="str">
        <f>'B) D RI'!B36</f>
        <v>Saint-Oyens</v>
      </c>
      <c r="C35" s="317">
        <f>'B) D RI'!S36</f>
        <v>81</v>
      </c>
      <c r="D35" s="154">
        <f>'B) D RI'!AA36</f>
        <v>448</v>
      </c>
      <c r="E35" s="315">
        <f>'D) Ecrêtage'!C34</f>
        <v>15081.317332619743</v>
      </c>
      <c r="F35" s="319">
        <f>'E) Fact soc'!G40</f>
        <v>289544.04333683412</v>
      </c>
      <c r="G35" s="316">
        <f>'H) Péréquation directe'!I45</f>
        <v>119485.43078379915</v>
      </c>
      <c r="H35" s="319">
        <f>+'I) Dépenses thématiques'!O34</f>
        <v>-132718.16918748253</v>
      </c>
      <c r="I35" s="316">
        <f>'K) Plafonnement aide'!J34</f>
        <v>0</v>
      </c>
      <c r="J35" s="319">
        <f>'J) Plafonnement effort'!J34</f>
        <v>0</v>
      </c>
      <c r="K35" s="316">
        <f>'L) Plafonnement taux'!Q35</f>
        <v>0</v>
      </c>
      <c r="L35" s="314">
        <f t="shared" si="0"/>
        <v>276311.30493315076</v>
      </c>
      <c r="M35" s="235">
        <f>'M) Police'!O35</f>
        <v>48472.411686647822</v>
      </c>
      <c r="N35" s="235">
        <f t="shared" si="1"/>
        <v>324783.71661979856</v>
      </c>
      <c r="P35" s="322"/>
    </row>
    <row r="36" spans="1:16" s="155" customFormat="1" x14ac:dyDescent="0.25">
      <c r="A36" s="152">
        <f>'B) D RI'!A37</f>
        <v>5437</v>
      </c>
      <c r="B36" s="153" t="str">
        <f>'B) D RI'!B37</f>
        <v>Saubraz</v>
      </c>
      <c r="C36" s="317">
        <f>'B) D RI'!S37</f>
        <v>80</v>
      </c>
      <c r="D36" s="154">
        <f>'B) D RI'!AA37</f>
        <v>418</v>
      </c>
      <c r="E36" s="315">
        <f>'D) Ecrêtage'!C35</f>
        <v>11367.539443741156</v>
      </c>
      <c r="F36" s="319">
        <f>'E) Fact soc'!G41</f>
        <v>216063.03472469212</v>
      </c>
      <c r="G36" s="316">
        <f>'H) Péréquation directe'!I46</f>
        <v>-9181.1485379166843</v>
      </c>
      <c r="H36" s="319">
        <f>+'I) Dépenses thématiques'!O35</f>
        <v>-42078.098019227189</v>
      </c>
      <c r="I36" s="316">
        <f>'K) Plafonnement aide'!J35</f>
        <v>0</v>
      </c>
      <c r="J36" s="319">
        <f>'J) Plafonnement effort'!J35</f>
        <v>0</v>
      </c>
      <c r="K36" s="316">
        <f>'L) Plafonnement taux'!Q36</f>
        <v>0</v>
      </c>
      <c r="L36" s="314">
        <f t="shared" si="0"/>
        <v>164803.78816754825</v>
      </c>
      <c r="M36" s="235">
        <f>'M) Police'!O36</f>
        <v>36169.526027951651</v>
      </c>
      <c r="N36" s="235">
        <f t="shared" si="1"/>
        <v>200973.3141954999</v>
      </c>
      <c r="P36" s="322"/>
    </row>
    <row r="37" spans="1:16" s="155" customFormat="1" x14ac:dyDescent="0.25">
      <c r="A37" s="152">
        <f>'B) D RI'!A38</f>
        <v>5451</v>
      </c>
      <c r="B37" s="153" t="str">
        <f>'B) D RI'!B38</f>
        <v>Avenches</v>
      </c>
      <c r="C37" s="317">
        <f>'B) D RI'!S38</f>
        <v>68</v>
      </c>
      <c r="D37" s="154">
        <f>'B) D RI'!AA38</f>
        <v>4282</v>
      </c>
      <c r="E37" s="315">
        <f>'D) Ecrêtage'!C36</f>
        <v>129470.05703979287</v>
      </c>
      <c r="F37" s="319">
        <f>'E) Fact soc'!G42</f>
        <v>2686373.292610242</v>
      </c>
      <c r="G37" s="316">
        <f>'H) Péréquation directe'!I47</f>
        <v>12780.59727854887</v>
      </c>
      <c r="H37" s="319">
        <f>+'I) Dépenses thématiques'!O36</f>
        <v>-1401207.4180045573</v>
      </c>
      <c r="I37" s="316">
        <f>'K) Plafonnement aide'!J36</f>
        <v>0</v>
      </c>
      <c r="J37" s="319">
        <f>'J) Plafonnement effort'!J36</f>
        <v>0</v>
      </c>
      <c r="K37" s="316">
        <f>'L) Plafonnement taux'!Q37</f>
        <v>0</v>
      </c>
      <c r="L37" s="314">
        <f t="shared" si="0"/>
        <v>1297946.4718842336</v>
      </c>
      <c r="M37" s="235">
        <f>'M) Police'!O37</f>
        <v>400263.33871339605</v>
      </c>
      <c r="N37" s="235">
        <f t="shared" si="1"/>
        <v>1698209.8105976298</v>
      </c>
      <c r="P37" s="322"/>
    </row>
    <row r="38" spans="1:16" s="155" customFormat="1" x14ac:dyDescent="0.25">
      <c r="A38" s="152">
        <f>'B) D RI'!A39</f>
        <v>5456</v>
      </c>
      <c r="B38" s="153" t="str">
        <f>'B) D RI'!B39</f>
        <v>Cudrefin</v>
      </c>
      <c r="C38" s="317">
        <f>'B) D RI'!S39</f>
        <v>59</v>
      </c>
      <c r="D38" s="154">
        <f>'B) D RI'!AA39</f>
        <v>1633</v>
      </c>
      <c r="E38" s="315">
        <f>'D) Ecrêtage'!C37</f>
        <v>57775.409957876167</v>
      </c>
      <c r="F38" s="319">
        <f>'E) Fact soc'!G43</f>
        <v>1147501.1229770645</v>
      </c>
      <c r="G38" s="316">
        <f>'H) Péréquation directe'!I48</f>
        <v>612126.03470567171</v>
      </c>
      <c r="H38" s="319">
        <f>+'I) Dépenses thématiques'!O37</f>
        <v>-300133.23323787405</v>
      </c>
      <c r="I38" s="316">
        <f>'K) Plafonnement aide'!J37</f>
        <v>0</v>
      </c>
      <c r="J38" s="319">
        <f>'J) Plafonnement effort'!J37</f>
        <v>0</v>
      </c>
      <c r="K38" s="316">
        <f>'L) Plafonnement taux'!Q38</f>
        <v>0</v>
      </c>
      <c r="L38" s="314">
        <f t="shared" si="0"/>
        <v>1459493.9244448622</v>
      </c>
      <c r="M38" s="235">
        <f>'M) Police'!O38</f>
        <v>181328.51836012024</v>
      </c>
      <c r="N38" s="235">
        <f t="shared" si="1"/>
        <v>1640822.4428049824</v>
      </c>
      <c r="P38" s="322"/>
    </row>
    <row r="39" spans="1:16" s="155" customFormat="1" x14ac:dyDescent="0.25">
      <c r="A39" s="152">
        <f>'B) D RI'!A40</f>
        <v>5458</v>
      </c>
      <c r="B39" s="153" t="str">
        <f>'B) D RI'!B40</f>
        <v>Faoug</v>
      </c>
      <c r="C39" s="317">
        <f>'B) D RI'!S40</f>
        <v>64</v>
      </c>
      <c r="D39" s="154">
        <f>'B) D RI'!AA40</f>
        <v>904</v>
      </c>
      <c r="E39" s="315">
        <f>'D) Ecrêtage'!C38</f>
        <v>30027.038437033407</v>
      </c>
      <c r="F39" s="319">
        <f>'E) Fact soc'!G44</f>
        <v>587662.19126517198</v>
      </c>
      <c r="G39" s="316">
        <f>'H) Péréquation directe'!I49</f>
        <v>325199.76106043457</v>
      </c>
      <c r="H39" s="319">
        <f>+'I) Dépenses thématiques'!O38</f>
        <v>-96937.904140800631</v>
      </c>
      <c r="I39" s="316">
        <f>'K) Plafonnement aide'!J38</f>
        <v>0</v>
      </c>
      <c r="J39" s="319">
        <f>'J) Plafonnement effort'!J38</f>
        <v>0</v>
      </c>
      <c r="K39" s="316">
        <f>'L) Plafonnement taux'!Q39</f>
        <v>0</v>
      </c>
      <c r="L39" s="314">
        <f t="shared" si="0"/>
        <v>815924.0481848059</v>
      </c>
      <c r="M39" s="235">
        <f>'M) Police'!O39</f>
        <v>94212.439404600664</v>
      </c>
      <c r="N39" s="235">
        <f t="shared" si="1"/>
        <v>910136.48758940655</v>
      </c>
      <c r="P39" s="322"/>
    </row>
    <row r="40" spans="1:16" s="155" customFormat="1" x14ac:dyDescent="0.25">
      <c r="A40" s="152">
        <f>'B) D RI'!A41</f>
        <v>5464</v>
      </c>
      <c r="B40" s="153" t="str">
        <f>'B) D RI'!B41</f>
        <v>Vully-les-Lacs</v>
      </c>
      <c r="C40" s="317">
        <f>'B) D RI'!S41</f>
        <v>67</v>
      </c>
      <c r="D40" s="154">
        <f>'B) D RI'!AA41</f>
        <v>3163</v>
      </c>
      <c r="E40" s="315">
        <f>'D) Ecrêtage'!C39</f>
        <v>103697.32714902573</v>
      </c>
      <c r="F40" s="319">
        <f>'E) Fact soc'!G45</f>
        <v>1987182.5393773981</v>
      </c>
      <c r="G40" s="316">
        <f>'H) Péréquation directe'!I50</f>
        <v>517826.8172661413</v>
      </c>
      <c r="H40" s="319">
        <f>+'I) Dépenses thématiques'!O39</f>
        <v>-607523.81645033974</v>
      </c>
      <c r="I40" s="316">
        <f>'K) Plafonnement aide'!J39</f>
        <v>0</v>
      </c>
      <c r="J40" s="319">
        <f>'J) Plafonnement effort'!J39</f>
        <v>0</v>
      </c>
      <c r="K40" s="316">
        <f>'L) Plafonnement taux'!Q40</f>
        <v>0</v>
      </c>
      <c r="L40" s="314">
        <f t="shared" si="0"/>
        <v>1897485.5401931996</v>
      </c>
      <c r="M40" s="235">
        <f>'M) Police'!O40</f>
        <v>325449.43025637814</v>
      </c>
      <c r="N40" s="235">
        <f t="shared" si="1"/>
        <v>2222934.970449578</v>
      </c>
      <c r="P40" s="322"/>
    </row>
    <row r="41" spans="1:16" s="155" customFormat="1" x14ac:dyDescent="0.25">
      <c r="A41" s="152">
        <f>'B) D RI'!A42</f>
        <v>5471</v>
      </c>
      <c r="B41" s="153" t="str">
        <f>'B) D RI'!B42</f>
        <v>Bettens</v>
      </c>
      <c r="C41" s="317">
        <f>'B) D RI'!S42</f>
        <v>70</v>
      </c>
      <c r="D41" s="154">
        <f>'B) D RI'!AA42</f>
        <v>592</v>
      </c>
      <c r="E41" s="315">
        <f>'D) Ecrêtage'!C40</f>
        <v>18256.794083184803</v>
      </c>
      <c r="F41" s="319">
        <f>'E) Fact soc'!G46</f>
        <v>317681.05515451741</v>
      </c>
      <c r="G41" s="316">
        <f>'H) Péréquation directe'!I51</f>
        <v>135040.42283841752</v>
      </c>
      <c r="H41" s="319">
        <f>+'I) Dépenses thématiques'!O40</f>
        <v>-38478.949700757759</v>
      </c>
      <c r="I41" s="316">
        <f>'K) Plafonnement aide'!J40</f>
        <v>0</v>
      </c>
      <c r="J41" s="319">
        <f>'J) Plafonnement effort'!J40</f>
        <v>0</v>
      </c>
      <c r="K41" s="316">
        <f>'L) Plafonnement taux'!Q41</f>
        <v>0</v>
      </c>
      <c r="L41" s="314">
        <f t="shared" si="0"/>
        <v>414242.52829217719</v>
      </c>
      <c r="M41" s="235">
        <f>'M) Police'!O41</f>
        <v>57256.785907999292</v>
      </c>
      <c r="N41" s="235">
        <f t="shared" si="1"/>
        <v>471499.31420017651</v>
      </c>
      <c r="P41" s="322"/>
    </row>
    <row r="42" spans="1:16" s="155" customFormat="1" x14ac:dyDescent="0.25">
      <c r="A42" s="152">
        <f>'B) D RI'!A43</f>
        <v>5472</v>
      </c>
      <c r="B42" s="153" t="str">
        <f>'B) D RI'!B43</f>
        <v>Bournens</v>
      </c>
      <c r="C42" s="317">
        <f>'B) D RI'!S43</f>
        <v>76</v>
      </c>
      <c r="D42" s="154">
        <f>'B) D RI'!AA43</f>
        <v>404</v>
      </c>
      <c r="E42" s="315">
        <f>'D) Ecrêtage'!C41</f>
        <v>16446.057551579073</v>
      </c>
      <c r="F42" s="319">
        <f>'E) Fact soc'!G47</f>
        <v>274237.10927311529</v>
      </c>
      <c r="G42" s="316">
        <f>'H) Péréquation directe'!I52</f>
        <v>244913.93297076764</v>
      </c>
      <c r="H42" s="319">
        <f>+'I) Dépenses thématiques'!O41</f>
        <v>-24764.678086352298</v>
      </c>
      <c r="I42" s="316">
        <f>'K) Plafonnement aide'!J41</f>
        <v>0</v>
      </c>
      <c r="J42" s="319">
        <f>'J) Plafonnement effort'!J41</f>
        <v>0</v>
      </c>
      <c r="K42" s="316">
        <f>'L) Plafonnement taux'!Q42</f>
        <v>0</v>
      </c>
      <c r="L42" s="314">
        <f t="shared" si="0"/>
        <v>494386.3641575306</v>
      </c>
      <c r="M42" s="235">
        <f>'M) Police'!O42</f>
        <v>52326.505954133987</v>
      </c>
      <c r="N42" s="235">
        <f t="shared" si="1"/>
        <v>546712.87011166452</v>
      </c>
      <c r="P42" s="322"/>
    </row>
    <row r="43" spans="1:16" s="155" customFormat="1" x14ac:dyDescent="0.25">
      <c r="A43" s="152">
        <f>'B) D RI'!A44</f>
        <v>5473</v>
      </c>
      <c r="B43" s="153" t="str">
        <f>'B) D RI'!B44</f>
        <v>Boussens</v>
      </c>
      <c r="C43" s="317">
        <f>'B) D RI'!S44</f>
        <v>69</v>
      </c>
      <c r="D43" s="154">
        <f>'B) D RI'!AA44</f>
        <v>968</v>
      </c>
      <c r="E43" s="315">
        <f>'D) Ecrêtage'!C42</f>
        <v>35765.75205607291</v>
      </c>
      <c r="F43" s="319">
        <f>'E) Fact soc'!G48</f>
        <v>591272.85508283856</v>
      </c>
      <c r="G43" s="316">
        <f>'H) Péréquation directe'!I53</f>
        <v>460183.0543613137</v>
      </c>
      <c r="H43" s="319">
        <f>+'I) Dépenses thématiques'!O42</f>
        <v>0</v>
      </c>
      <c r="I43" s="316">
        <f>'K) Plafonnement aide'!J42</f>
        <v>0</v>
      </c>
      <c r="J43" s="319">
        <f>'J) Plafonnement effort'!J42</f>
        <v>0</v>
      </c>
      <c r="K43" s="316">
        <f>'L) Plafonnement taux'!Q43</f>
        <v>0</v>
      </c>
      <c r="L43" s="314">
        <f t="shared" si="0"/>
        <v>1051455.9094441524</v>
      </c>
      <c r="M43" s="235">
        <f>'M) Police'!O43</f>
        <v>113708.27332950727</v>
      </c>
      <c r="N43" s="235">
        <f t="shared" si="1"/>
        <v>1165164.1827736597</v>
      </c>
      <c r="P43" s="322"/>
    </row>
    <row r="44" spans="1:16" s="155" customFormat="1" x14ac:dyDescent="0.25">
      <c r="A44" s="152">
        <f>'B) D RI'!A45</f>
        <v>5474</v>
      </c>
      <c r="B44" s="153" t="str">
        <f>'B) D RI'!B45</f>
        <v>La Chaux (Cossonay)</v>
      </c>
      <c r="C44" s="317">
        <f>'B) D RI'!S45</f>
        <v>77</v>
      </c>
      <c r="D44" s="154">
        <f>'B) D RI'!AA45</f>
        <v>410</v>
      </c>
      <c r="E44" s="315">
        <f>'D) Ecrêtage'!C43</f>
        <v>12972.284673481885</v>
      </c>
      <c r="F44" s="319">
        <f>'E) Fact soc'!G49</f>
        <v>197891.1324604757</v>
      </c>
      <c r="G44" s="316">
        <f>'H) Péréquation directe'!I54</f>
        <v>84456.612856779306</v>
      </c>
      <c r="H44" s="319">
        <f>+'I) Dépenses thématiques'!O43</f>
        <v>-101297.40637724308</v>
      </c>
      <c r="I44" s="316">
        <f>'K) Plafonnement aide'!J43</f>
        <v>0</v>
      </c>
      <c r="J44" s="319">
        <f>'J) Plafonnement effort'!J43</f>
        <v>0</v>
      </c>
      <c r="K44" s="316">
        <f>'L) Plafonnement taux'!Q44</f>
        <v>0</v>
      </c>
      <c r="L44" s="314">
        <f t="shared" si="0"/>
        <v>181050.33894001195</v>
      </c>
      <c r="M44" s="235">
        <f>'M) Police'!O44</f>
        <v>41278.454818325888</v>
      </c>
      <c r="N44" s="235">
        <f t="shared" si="1"/>
        <v>222328.79375833785</v>
      </c>
      <c r="P44" s="322"/>
    </row>
    <row r="45" spans="1:16" s="155" customFormat="1" x14ac:dyDescent="0.25">
      <c r="A45" s="152">
        <f>'B) D RI'!A46</f>
        <v>5475</v>
      </c>
      <c r="B45" s="153" t="str">
        <f>'B) D RI'!B46</f>
        <v>Chavannes-le-Veyron</v>
      </c>
      <c r="C45" s="317">
        <f>'B) D RI'!S46</f>
        <v>77</v>
      </c>
      <c r="D45" s="154">
        <f>'B) D RI'!AA46</f>
        <v>142</v>
      </c>
      <c r="E45" s="315">
        <f>'D) Ecrêtage'!C44</f>
        <v>4902.1559506290205</v>
      </c>
      <c r="F45" s="319">
        <f>'E) Fact soc'!G50</f>
        <v>107832.41197140559</v>
      </c>
      <c r="G45" s="316">
        <f>'H) Péréquation directe'!I55</f>
        <v>47202.89629452127</v>
      </c>
      <c r="H45" s="319">
        <f>+'I) Dépenses thématiques'!O44</f>
        <v>-49436.608843977257</v>
      </c>
      <c r="I45" s="316">
        <f>'K) Plafonnement aide'!J44</f>
        <v>0</v>
      </c>
      <c r="J45" s="319">
        <f>'J) Plafonnement effort'!J44</f>
        <v>0</v>
      </c>
      <c r="K45" s="316">
        <f>'L) Plafonnement taux'!Q45</f>
        <v>0</v>
      </c>
      <c r="L45" s="314">
        <f t="shared" si="0"/>
        <v>105598.69942194958</v>
      </c>
      <c r="M45" s="235">
        <f>'M) Police'!O45</f>
        <v>15723.951098103711</v>
      </c>
      <c r="N45" s="235">
        <f t="shared" si="1"/>
        <v>121322.6505200533</v>
      </c>
      <c r="P45" s="322"/>
    </row>
    <row r="46" spans="1:16" s="155" customFormat="1" x14ac:dyDescent="0.25">
      <c r="A46" s="152">
        <f>'B) D RI'!A47</f>
        <v>5476</v>
      </c>
      <c r="B46" s="153" t="str">
        <f>'B) D RI'!B47</f>
        <v>Chevilly</v>
      </c>
      <c r="C46" s="317">
        <f>'B) D RI'!S47</f>
        <v>74</v>
      </c>
      <c r="D46" s="154">
        <f>'B) D RI'!AA47</f>
        <v>314</v>
      </c>
      <c r="E46" s="315">
        <f>'D) Ecrêtage'!C45</f>
        <v>10687.030816086675</v>
      </c>
      <c r="F46" s="319">
        <f>'E) Fact soc'!G51</f>
        <v>164452.67528276722</v>
      </c>
      <c r="G46" s="316">
        <f>'H) Péréquation directe'!I56</f>
        <v>103773.2375792355</v>
      </c>
      <c r="H46" s="319">
        <f>+'I) Dépenses thématiques'!O45</f>
        <v>-27131.144590464974</v>
      </c>
      <c r="I46" s="316">
        <f>'K) Plafonnement aide'!J45</f>
        <v>0</v>
      </c>
      <c r="J46" s="319">
        <f>'J) Plafonnement effort'!J45</f>
        <v>0</v>
      </c>
      <c r="K46" s="316">
        <f>'L) Plafonnement taux'!Q46</f>
        <v>0</v>
      </c>
      <c r="L46" s="314">
        <f t="shared" si="0"/>
        <v>241094.76827153776</v>
      </c>
      <c r="M46" s="235">
        <f>'M) Police'!O46</f>
        <v>34014.063237382652</v>
      </c>
      <c r="N46" s="235">
        <f t="shared" si="1"/>
        <v>275108.83150892041</v>
      </c>
      <c r="P46" s="322"/>
    </row>
    <row r="47" spans="1:16" s="155" customFormat="1" x14ac:dyDescent="0.25">
      <c r="A47" s="152">
        <f>'B) D RI'!A48</f>
        <v>5477</v>
      </c>
      <c r="B47" s="153" t="str">
        <f>'B) D RI'!B48</f>
        <v>Cossonay</v>
      </c>
      <c r="C47" s="317">
        <f>'B) D RI'!S48</f>
        <v>71</v>
      </c>
      <c r="D47" s="154">
        <f>'B) D RI'!AA48</f>
        <v>3871</v>
      </c>
      <c r="E47" s="315">
        <f>'D) Ecrêtage'!C46</f>
        <v>129587.92698014184</v>
      </c>
      <c r="F47" s="319">
        <f>'E) Fact soc'!G52</f>
        <v>2405882.7743256479</v>
      </c>
      <c r="G47" s="316">
        <f>'H) Péréquation directe'!I57</f>
        <v>488534.08465731284</v>
      </c>
      <c r="H47" s="319">
        <f>+'I) Dépenses thématiques'!O46</f>
        <v>-616395.08206277853</v>
      </c>
      <c r="I47" s="316">
        <f>'K) Plafonnement aide'!J46</f>
        <v>0</v>
      </c>
      <c r="J47" s="319">
        <f>'J) Plafonnement effort'!J46</f>
        <v>0</v>
      </c>
      <c r="K47" s="316">
        <f>'L) Plafonnement taux'!Q47</f>
        <v>0</v>
      </c>
      <c r="L47" s="314">
        <f t="shared" si="0"/>
        <v>2278021.7769201822</v>
      </c>
      <c r="M47" s="235">
        <f>'M) Police'!O47</f>
        <v>412958.59963765467</v>
      </c>
      <c r="N47" s="235">
        <f t="shared" si="1"/>
        <v>2690980.3765578368</v>
      </c>
      <c r="P47" s="322"/>
    </row>
    <row r="48" spans="1:16" s="155" customFormat="1" x14ac:dyDescent="0.25">
      <c r="A48" s="152">
        <f>'B) D RI'!A49</f>
        <v>5478</v>
      </c>
      <c r="B48" s="153" t="str">
        <f>'B) D RI'!B49</f>
        <v>Cottens</v>
      </c>
      <c r="C48" s="317">
        <f>'B) D RI'!S49</f>
        <v>74</v>
      </c>
      <c r="D48" s="154">
        <f>'B) D RI'!AA49</f>
        <v>486</v>
      </c>
      <c r="E48" s="315">
        <f>'D) Ecrêtage'!C47</f>
        <v>14208.71013401275</v>
      </c>
      <c r="F48" s="319">
        <f>'E) Fact soc'!G53</f>
        <v>242100.02385479855</v>
      </c>
      <c r="G48" s="316">
        <f>'H) Péréquation directe'!I58</f>
        <v>62524.058916186448</v>
      </c>
      <c r="H48" s="319">
        <f>+'I) Dépenses thématiques'!O47</f>
        <v>-33519.346214386773</v>
      </c>
      <c r="I48" s="316">
        <f>'K) Plafonnement aide'!J47</f>
        <v>0</v>
      </c>
      <c r="J48" s="319">
        <f>'J) Plafonnement effort'!J47</f>
        <v>0</v>
      </c>
      <c r="K48" s="316">
        <f>'L) Plafonnement taux'!Q48</f>
        <v>0</v>
      </c>
      <c r="L48" s="314">
        <f t="shared" si="0"/>
        <v>271104.73655659822</v>
      </c>
      <c r="M48" s="235">
        <f>'M) Police'!O48</f>
        <v>45103.334333546074</v>
      </c>
      <c r="N48" s="235">
        <f t="shared" si="1"/>
        <v>316208.07089014427</v>
      </c>
      <c r="P48" s="322"/>
    </row>
    <row r="49" spans="1:16" s="155" customFormat="1" x14ac:dyDescent="0.25">
      <c r="A49" s="152">
        <f>'B) D RI'!A50</f>
        <v>5479</v>
      </c>
      <c r="B49" s="153" t="str">
        <f>'B) D RI'!B50</f>
        <v>Cuarnens</v>
      </c>
      <c r="C49" s="317">
        <f>'B) D RI'!S50</f>
        <v>77</v>
      </c>
      <c r="D49" s="154">
        <f>'B) D RI'!AA50</f>
        <v>479</v>
      </c>
      <c r="E49" s="315">
        <f>'D) Ecrêtage'!C48</f>
        <v>16421.228790353522</v>
      </c>
      <c r="F49" s="319">
        <f>'E) Fact soc'!G54</f>
        <v>296058.27190303453</v>
      </c>
      <c r="G49" s="316">
        <f>'H) Péréquation directe'!I59</f>
        <v>154186.55984574341</v>
      </c>
      <c r="H49" s="319">
        <f>+'I) Dépenses thématiques'!O48</f>
        <v>-129111.21089381972</v>
      </c>
      <c r="I49" s="316">
        <f>'K) Plafonnement aide'!J48</f>
        <v>0</v>
      </c>
      <c r="J49" s="319">
        <f>'J) Plafonnement effort'!J48</f>
        <v>0</v>
      </c>
      <c r="K49" s="316">
        <f>'L) Plafonnement taux'!Q49</f>
        <v>0</v>
      </c>
      <c r="L49" s="314">
        <f t="shared" si="0"/>
        <v>321133.62085495819</v>
      </c>
      <c r="M49" s="235">
        <f>'M) Police'!O49</f>
        <v>52544.560632795401</v>
      </c>
      <c r="N49" s="235">
        <f t="shared" si="1"/>
        <v>373678.18148775358</v>
      </c>
      <c r="P49" s="322"/>
    </row>
    <row r="50" spans="1:16" s="155" customFormat="1" x14ac:dyDescent="0.25">
      <c r="A50" s="152">
        <f>'B) D RI'!A51</f>
        <v>5480</v>
      </c>
      <c r="B50" s="153" t="str">
        <f>'B) D RI'!B51</f>
        <v>Daillens</v>
      </c>
      <c r="C50" s="317">
        <f>'B) D RI'!S51</f>
        <v>71</v>
      </c>
      <c r="D50" s="154">
        <f>'B) D RI'!AA51</f>
        <v>1027</v>
      </c>
      <c r="E50" s="315">
        <f>'D) Ecrêtage'!C49</f>
        <v>41263.325123050025</v>
      </c>
      <c r="F50" s="319">
        <f>'E) Fact soc'!G55</f>
        <v>812681.54067441495</v>
      </c>
      <c r="G50" s="316">
        <f>'H) Péréquation directe'!I60</f>
        <v>606947.65382978111</v>
      </c>
      <c r="H50" s="319">
        <f>+'I) Dépenses thématiques'!O49</f>
        <v>-138022.05860465043</v>
      </c>
      <c r="I50" s="316">
        <f>'K) Plafonnement aide'!J49</f>
        <v>0</v>
      </c>
      <c r="J50" s="319">
        <f>'J) Plafonnement effort'!J49</f>
        <v>0</v>
      </c>
      <c r="K50" s="316">
        <f>'L) Plafonnement taux'!Q50</f>
        <v>0</v>
      </c>
      <c r="L50" s="314">
        <f t="shared" si="0"/>
        <v>1281607.1358995456</v>
      </c>
      <c r="M50" s="235">
        <f>'M) Police'!O50</f>
        <v>128424.81697378398</v>
      </c>
      <c r="N50" s="235">
        <f t="shared" si="1"/>
        <v>1410031.9528733296</v>
      </c>
      <c r="P50" s="322"/>
    </row>
    <row r="51" spans="1:16" s="155" customFormat="1" x14ac:dyDescent="0.25">
      <c r="A51" s="152">
        <f>'B) D RI'!A52</f>
        <v>5481</v>
      </c>
      <c r="B51" s="153" t="str">
        <f>'B) D RI'!B52</f>
        <v>Dizy</v>
      </c>
      <c r="C51" s="317">
        <f>'B) D RI'!S52</f>
        <v>79</v>
      </c>
      <c r="D51" s="154">
        <f>'B) D RI'!AA52</f>
        <v>223</v>
      </c>
      <c r="E51" s="315">
        <f>'D) Ecrêtage'!C50</f>
        <v>10892.048755040036</v>
      </c>
      <c r="F51" s="319">
        <f>'E) Fact soc'!G56</f>
        <v>198756.3945428617</v>
      </c>
      <c r="G51" s="316">
        <f>'H) Péréquation directe'!I61</f>
        <v>193071.15049068836</v>
      </c>
      <c r="H51" s="319">
        <f>+'I) Dépenses thématiques'!O50</f>
        <v>0</v>
      </c>
      <c r="I51" s="316">
        <f>'K) Plafonnement aide'!J50</f>
        <v>0</v>
      </c>
      <c r="J51" s="319">
        <f>'J) Plafonnement effort'!J50</f>
        <v>0</v>
      </c>
      <c r="K51" s="316">
        <f>'L) Plafonnement taux'!Q51</f>
        <v>0</v>
      </c>
      <c r="L51" s="314">
        <f t="shared" si="0"/>
        <v>391827.54503355006</v>
      </c>
      <c r="M51" s="235">
        <f>'M) Police'!O51</f>
        <v>32910.378943801639</v>
      </c>
      <c r="N51" s="235">
        <f t="shared" si="1"/>
        <v>424737.92397735169</v>
      </c>
      <c r="P51" s="322"/>
    </row>
    <row r="52" spans="1:16" s="155" customFormat="1" x14ac:dyDescent="0.25">
      <c r="A52" s="152">
        <f>'B) D RI'!A53</f>
        <v>5482</v>
      </c>
      <c r="B52" s="153" t="str">
        <f>'B) D RI'!B53</f>
        <v>Eclépens</v>
      </c>
      <c r="C52" s="317">
        <f>'B) D RI'!S53</f>
        <v>46</v>
      </c>
      <c r="D52" s="154">
        <f>'B) D RI'!AA53</f>
        <v>1211</v>
      </c>
      <c r="E52" s="315">
        <f>'D) Ecrêtage'!C51</f>
        <v>46793.329731079626</v>
      </c>
      <c r="F52" s="319">
        <f>'E) Fact soc'!G57</f>
        <v>853708.71383490984</v>
      </c>
      <c r="G52" s="316">
        <f>'H) Péréquation directe'!I62</f>
        <v>687413.28291404061</v>
      </c>
      <c r="H52" s="319">
        <f>+'I) Dépenses thématiques'!O51</f>
        <v>-122428.02778594197</v>
      </c>
      <c r="I52" s="316">
        <f>'K) Plafonnement aide'!J51</f>
        <v>0</v>
      </c>
      <c r="J52" s="319">
        <f>'J) Plafonnement effort'!J51</f>
        <v>0</v>
      </c>
      <c r="K52" s="316">
        <f>'L) Plafonnement taux'!Q52</f>
        <v>0</v>
      </c>
      <c r="L52" s="314">
        <f t="shared" si="0"/>
        <v>1418693.9689630084</v>
      </c>
      <c r="M52" s="235">
        <f>'M) Police'!O52</f>
        <v>136871.16037520746</v>
      </c>
      <c r="N52" s="235">
        <f t="shared" si="1"/>
        <v>1555565.1293382158</v>
      </c>
      <c r="P52" s="322"/>
    </row>
    <row r="53" spans="1:16" s="155" customFormat="1" x14ac:dyDescent="0.25">
      <c r="A53" s="152">
        <f>'B) D RI'!A54</f>
        <v>5483</v>
      </c>
      <c r="B53" s="153" t="str">
        <f>'B) D RI'!B54</f>
        <v>Ferreyres</v>
      </c>
      <c r="C53" s="317">
        <f>'B) D RI'!S54</f>
        <v>76</v>
      </c>
      <c r="D53" s="154">
        <f>'B) D RI'!AA54</f>
        <v>310</v>
      </c>
      <c r="E53" s="315">
        <f>'D) Ecrêtage'!C52</f>
        <v>8879.9356567959585</v>
      </c>
      <c r="F53" s="319">
        <f>'E) Fact soc'!G58</f>
        <v>159398.62465329398</v>
      </c>
      <c r="G53" s="316">
        <f>'H) Péréquation directe'!I63</f>
        <v>26191.658381789282</v>
      </c>
      <c r="H53" s="319">
        <f>+'I) Dépenses thématiques'!O52</f>
        <v>-30727.567084456496</v>
      </c>
      <c r="I53" s="316">
        <f>'K) Plafonnement aide'!J52</f>
        <v>0</v>
      </c>
      <c r="J53" s="319">
        <f>'J) Plafonnement effort'!J52</f>
        <v>0</v>
      </c>
      <c r="K53" s="316">
        <f>'L) Plafonnement taux'!Q53</f>
        <v>0</v>
      </c>
      <c r="L53" s="314">
        <f t="shared" si="0"/>
        <v>154862.71595062676</v>
      </c>
      <c r="M53" s="235">
        <f>'M) Police'!O53</f>
        <v>28159.454450899306</v>
      </c>
      <c r="N53" s="235">
        <f t="shared" si="1"/>
        <v>183022.17040152606</v>
      </c>
      <c r="P53" s="322"/>
    </row>
    <row r="54" spans="1:16" s="155" customFormat="1" x14ac:dyDescent="0.25">
      <c r="A54" s="152">
        <f>'B) D RI'!A55</f>
        <v>5484</v>
      </c>
      <c r="B54" s="153" t="str">
        <f>'B) D RI'!B55</f>
        <v>Gollion</v>
      </c>
      <c r="C54" s="317">
        <f>'B) D RI'!S55</f>
        <v>74</v>
      </c>
      <c r="D54" s="154">
        <f>'B) D RI'!AA55</f>
        <v>939</v>
      </c>
      <c r="E54" s="315">
        <f>'D) Ecrêtage'!C53</f>
        <v>31794.268758715236</v>
      </c>
      <c r="F54" s="319">
        <f>'E) Fact soc'!G59</f>
        <v>633847.21477983007</v>
      </c>
      <c r="G54" s="316">
        <f>'H) Péréquation directe'!I64</f>
        <v>303400.62580803235</v>
      </c>
      <c r="H54" s="319">
        <f>+'I) Dépenses thématiques'!O53</f>
        <v>-78542.653633275899</v>
      </c>
      <c r="I54" s="316">
        <f>'K) Plafonnement aide'!J53</f>
        <v>0</v>
      </c>
      <c r="J54" s="319">
        <f>'J) Plafonnement effort'!J53</f>
        <v>0</v>
      </c>
      <c r="K54" s="316">
        <f>'L) Plafonnement taux'!Q54</f>
        <v>0</v>
      </c>
      <c r="L54" s="314">
        <f t="shared" si="0"/>
        <v>858705.18695458653</v>
      </c>
      <c r="M54" s="235">
        <f>'M) Police'!O54</f>
        <v>100956.8421441727</v>
      </c>
      <c r="N54" s="235">
        <f t="shared" si="1"/>
        <v>959662.02909875917</v>
      </c>
      <c r="P54" s="322"/>
    </row>
    <row r="55" spans="1:16" s="155" customFormat="1" x14ac:dyDescent="0.25">
      <c r="A55" s="152">
        <f>'B) D RI'!A56</f>
        <v>5485</v>
      </c>
      <c r="B55" s="153" t="str">
        <f>'B) D RI'!B56</f>
        <v>Grancy</v>
      </c>
      <c r="C55" s="317">
        <f>'B) D RI'!S56</f>
        <v>70</v>
      </c>
      <c r="D55" s="154">
        <f>'B) D RI'!AA56</f>
        <v>398</v>
      </c>
      <c r="E55" s="315">
        <f>'D) Ecrêtage'!C54</f>
        <v>18552.92429477413</v>
      </c>
      <c r="F55" s="319">
        <f>'E) Fact soc'!G60</f>
        <v>311970.76238677185</v>
      </c>
      <c r="G55" s="316">
        <f>'H) Péréquation directe'!I65</f>
        <v>326599.9559469634</v>
      </c>
      <c r="H55" s="319">
        <f>+'I) Dépenses thématiques'!O54</f>
        <v>-474849.01254900778</v>
      </c>
      <c r="I55" s="316">
        <f>'K) Plafonnement aide'!J54</f>
        <v>0</v>
      </c>
      <c r="J55" s="319">
        <f>'J) Plafonnement effort'!J54</f>
        <v>0</v>
      </c>
      <c r="K55" s="316">
        <f>'L) Plafonnement taux'!Q55</f>
        <v>0</v>
      </c>
      <c r="L55" s="314">
        <f t="shared" si="0"/>
        <v>163721.70578472747</v>
      </c>
      <c r="M55" s="235">
        <f>'M) Police'!O55</f>
        <v>57561.697730785178</v>
      </c>
      <c r="N55" s="235">
        <f t="shared" si="1"/>
        <v>221283.40351551265</v>
      </c>
      <c r="P55" s="322"/>
    </row>
    <row r="56" spans="1:16" s="155" customFormat="1" x14ac:dyDescent="0.25">
      <c r="A56" s="152">
        <f>'B) D RI'!A57</f>
        <v>5486</v>
      </c>
      <c r="B56" s="153" t="str">
        <f>'B) D RI'!B57</f>
        <v>L'Isle</v>
      </c>
      <c r="C56" s="317">
        <f>'B) D RI'!S57</f>
        <v>76</v>
      </c>
      <c r="D56" s="154">
        <f>'B) D RI'!AA57</f>
        <v>1005</v>
      </c>
      <c r="E56" s="315">
        <f>'D) Ecrêtage'!C55</f>
        <v>30546.431240274927</v>
      </c>
      <c r="F56" s="319">
        <f>'E) Fact soc'!G61</f>
        <v>561922.82658103004</v>
      </c>
      <c r="G56" s="316">
        <f>'H) Péréquation directe'!I66</f>
        <v>159832.79782033688</v>
      </c>
      <c r="H56" s="319">
        <f>+'I) Dépenses thématiques'!O55</f>
        <v>-335769.01212542673</v>
      </c>
      <c r="I56" s="316">
        <f>'K) Plafonnement aide'!J55</f>
        <v>0</v>
      </c>
      <c r="J56" s="319">
        <f>'J) Plafonnement effort'!J55</f>
        <v>0</v>
      </c>
      <c r="K56" s="316">
        <f>'L) Plafonnement taux'!Q56</f>
        <v>0</v>
      </c>
      <c r="L56" s="314">
        <f t="shared" si="0"/>
        <v>385986.61227594019</v>
      </c>
      <c r="M56" s="235">
        <f>'M) Police'!O56</f>
        <v>96548.109406906005</v>
      </c>
      <c r="N56" s="235">
        <f t="shared" si="1"/>
        <v>482534.7216828462</v>
      </c>
      <c r="P56" s="322"/>
    </row>
    <row r="57" spans="1:16" s="155" customFormat="1" x14ac:dyDescent="0.25">
      <c r="A57" s="152">
        <f>'B) D RI'!A58</f>
        <v>5487</v>
      </c>
      <c r="B57" s="153" t="str">
        <f>'B) D RI'!B58</f>
        <v>Lussery-Villars</v>
      </c>
      <c r="C57" s="317">
        <f>'B) D RI'!S58</f>
        <v>75</v>
      </c>
      <c r="D57" s="154">
        <f>'B) D RI'!AA58</f>
        <v>462</v>
      </c>
      <c r="E57" s="315">
        <f>'D) Ecrêtage'!C56</f>
        <v>14615.228333906985</v>
      </c>
      <c r="F57" s="319">
        <f>'E) Fact soc'!G62</f>
        <v>235058.36864109896</v>
      </c>
      <c r="G57" s="316">
        <f>'H) Péréquation directe'!I67</f>
        <v>102433.07648765249</v>
      </c>
      <c r="H57" s="319">
        <f>+'I) Dépenses thématiques'!O56</f>
        <v>-18046.579062681019</v>
      </c>
      <c r="I57" s="316">
        <f>'K) Plafonnement aide'!J56</f>
        <v>0</v>
      </c>
      <c r="J57" s="319">
        <f>'J) Plafonnement effort'!J56</f>
        <v>0</v>
      </c>
      <c r="K57" s="316">
        <f>'L) Plafonnement taux'!Q57</f>
        <v>0</v>
      </c>
      <c r="L57" s="314">
        <f t="shared" si="0"/>
        <v>319444.86606607045</v>
      </c>
      <c r="M57" s="235">
        <f>'M) Police'!O57</f>
        <v>46674.222293624225</v>
      </c>
      <c r="N57" s="235">
        <f t="shared" si="1"/>
        <v>366119.0883596947</v>
      </c>
      <c r="P57" s="322"/>
    </row>
    <row r="58" spans="1:16" s="155" customFormat="1" x14ac:dyDescent="0.25">
      <c r="A58" s="152">
        <f>'B) D RI'!A59</f>
        <v>5488</v>
      </c>
      <c r="B58" s="153" t="str">
        <f>'B) D RI'!B59</f>
        <v>Mauraz</v>
      </c>
      <c r="C58" s="317">
        <f>'B) D RI'!S59</f>
        <v>78</v>
      </c>
      <c r="D58" s="154">
        <f>'B) D RI'!AA59</f>
        <v>59</v>
      </c>
      <c r="E58" s="315">
        <f>'D) Ecrêtage'!C57</f>
        <v>1907.69174397183</v>
      </c>
      <c r="F58" s="319">
        <f>'E) Fact soc'!G63</f>
        <v>35690.675439220853</v>
      </c>
      <c r="G58" s="316">
        <f>'H) Péréquation directe'!I68</f>
        <v>13495.20547004215</v>
      </c>
      <c r="H58" s="319">
        <f>+'I) Dépenses thématiques'!O57</f>
        <v>0</v>
      </c>
      <c r="I58" s="316">
        <f>'K) Plafonnement aide'!J57</f>
        <v>0</v>
      </c>
      <c r="J58" s="319">
        <f>'J) Plafonnement effort'!J57</f>
        <v>0</v>
      </c>
      <c r="K58" s="316">
        <f>'L) Plafonnement taux'!Q58</f>
        <v>0</v>
      </c>
      <c r="L58" s="314">
        <f t="shared" si="0"/>
        <v>49185.880909263004</v>
      </c>
      <c r="M58" s="235">
        <f>'M) Police'!O58</f>
        <v>6126.5225709814467</v>
      </c>
      <c r="N58" s="235">
        <f t="shared" si="1"/>
        <v>55312.403480244451</v>
      </c>
      <c r="P58" s="322"/>
    </row>
    <row r="59" spans="1:16" s="155" customFormat="1" x14ac:dyDescent="0.25">
      <c r="A59" s="152">
        <f>'B) D RI'!A60</f>
        <v>5489</v>
      </c>
      <c r="B59" s="153" t="str">
        <f>'B) D RI'!B60</f>
        <v>Mex</v>
      </c>
      <c r="C59" s="317">
        <f>'B) D RI'!S60</f>
        <v>61</v>
      </c>
      <c r="D59" s="154">
        <f>'B) D RI'!AA60</f>
        <v>725</v>
      </c>
      <c r="E59" s="315">
        <f>'D) Ecrêtage'!C58</f>
        <v>59050.274266098029</v>
      </c>
      <c r="F59" s="319">
        <f>'E) Fact soc'!G64</f>
        <v>1508102.4558146195</v>
      </c>
      <c r="G59" s="316">
        <f>'H) Péréquation directe'!I69</f>
        <v>1107154.0557105648</v>
      </c>
      <c r="H59" s="319">
        <f>+'I) Dépenses thématiques'!O58</f>
        <v>0</v>
      </c>
      <c r="I59" s="316">
        <f>'K) Plafonnement aide'!J58</f>
        <v>0</v>
      </c>
      <c r="J59" s="319">
        <f>'J) Plafonnement effort'!J58</f>
        <v>0</v>
      </c>
      <c r="K59" s="316">
        <f>'L) Plafonnement taux'!Q59</f>
        <v>0</v>
      </c>
      <c r="L59" s="314">
        <f t="shared" si="0"/>
        <v>2615256.5115251844</v>
      </c>
      <c r="M59" s="235">
        <f>'M) Police'!O59</f>
        <v>138326.21614204271</v>
      </c>
      <c r="N59" s="235">
        <f t="shared" si="1"/>
        <v>2753582.7276672269</v>
      </c>
      <c r="P59" s="322"/>
    </row>
    <row r="60" spans="1:16" s="155" customFormat="1" x14ac:dyDescent="0.25">
      <c r="A60" s="152">
        <f>'B) D RI'!A61</f>
        <v>5490</v>
      </c>
      <c r="B60" s="153" t="str">
        <f>'B) D RI'!B61</f>
        <v>Moiry</v>
      </c>
      <c r="C60" s="317">
        <f>'B) D RI'!S61</f>
        <v>80</v>
      </c>
      <c r="D60" s="154">
        <f>'B) D RI'!AA61</f>
        <v>310</v>
      </c>
      <c r="E60" s="315">
        <f>'D) Ecrêtage'!C59</f>
        <v>9338.2754275452353</v>
      </c>
      <c r="F60" s="319">
        <f>'E) Fact soc'!G65</f>
        <v>159913.33332129999</v>
      </c>
      <c r="G60" s="316">
        <f>'H) Péréquation directe'!I70</f>
        <v>34706.334351225611</v>
      </c>
      <c r="H60" s="319">
        <f>+'I) Dépenses thématiques'!O59</f>
        <v>-45387.004563669521</v>
      </c>
      <c r="I60" s="316">
        <f>'K) Plafonnement aide'!J59</f>
        <v>0</v>
      </c>
      <c r="J60" s="319">
        <f>'J) Plafonnement effort'!J59</f>
        <v>0</v>
      </c>
      <c r="K60" s="316">
        <f>'L) Plafonnement taux'!Q60</f>
        <v>0</v>
      </c>
      <c r="L60" s="314">
        <f t="shared" si="0"/>
        <v>149232.66310885607</v>
      </c>
      <c r="M60" s="235">
        <f>'M) Police'!O60</f>
        <v>29931.643356702854</v>
      </c>
      <c r="N60" s="235">
        <f t="shared" si="1"/>
        <v>179164.30646555891</v>
      </c>
      <c r="P60" s="322"/>
    </row>
    <row r="61" spans="1:16" s="155" customFormat="1" x14ac:dyDescent="0.25">
      <c r="A61" s="152">
        <f>'B) D RI'!A62</f>
        <v>5491</v>
      </c>
      <c r="B61" s="153" t="str">
        <f>'B) D RI'!B62</f>
        <v>Mont-la-Ville</v>
      </c>
      <c r="C61" s="317">
        <f>'B) D RI'!S62</f>
        <v>76</v>
      </c>
      <c r="D61" s="154">
        <f>'B) D RI'!AA62</f>
        <v>466</v>
      </c>
      <c r="E61" s="315">
        <f>'D) Ecrêtage'!C60</f>
        <v>12342.149373733142</v>
      </c>
      <c r="F61" s="319">
        <f>'E) Fact soc'!G66</f>
        <v>236008.83874144885</v>
      </c>
      <c r="G61" s="316">
        <f>'H) Péréquation directe'!I71</f>
        <v>-4155.1080829542188</v>
      </c>
      <c r="H61" s="319">
        <f>+'I) Dépenses thématiques'!O60</f>
        <v>-168057.84029414039</v>
      </c>
      <c r="I61" s="316">
        <f>'K) Plafonnement aide'!J60</f>
        <v>0</v>
      </c>
      <c r="J61" s="319">
        <f>'J) Plafonnement effort'!J60</f>
        <v>0</v>
      </c>
      <c r="K61" s="316">
        <f>'L) Plafonnement taux'!Q61</f>
        <v>0</v>
      </c>
      <c r="L61" s="314">
        <f t="shared" si="0"/>
        <v>63795.890364354244</v>
      </c>
      <c r="M61" s="235">
        <f>'M) Police'!O61</f>
        <v>39050.370720284016</v>
      </c>
      <c r="N61" s="235">
        <f t="shared" si="1"/>
        <v>102846.26108463826</v>
      </c>
      <c r="P61" s="322"/>
    </row>
    <row r="62" spans="1:16" s="155" customFormat="1" x14ac:dyDescent="0.25">
      <c r="A62" s="152">
        <f>'B) D RI'!A63</f>
        <v>5492</v>
      </c>
      <c r="B62" s="153" t="str">
        <f>'B) D RI'!B63</f>
        <v>Montricher</v>
      </c>
      <c r="C62" s="317">
        <f>'B) D RI'!S63</f>
        <v>64</v>
      </c>
      <c r="D62" s="154">
        <f>'B) D RI'!AA63</f>
        <v>940</v>
      </c>
      <c r="E62" s="315">
        <f>'D) Ecrêtage'!C61</f>
        <v>235377.8890618468</v>
      </c>
      <c r="F62" s="319">
        <f>'E) Fact soc'!G67</f>
        <v>10364876.86001756</v>
      </c>
      <c r="G62" s="316">
        <f>'H) Péréquation directe'!I72</f>
        <v>4656673.017956323</v>
      </c>
      <c r="H62" s="319">
        <f>+'I) Dépenses thématiques'!O61</f>
        <v>-50616.524933596993</v>
      </c>
      <c r="I62" s="316">
        <f>'K) Plafonnement aide'!J61</f>
        <v>0</v>
      </c>
      <c r="J62" s="319">
        <f>'J) Plafonnement effort'!J61</f>
        <v>-3356304.318071642</v>
      </c>
      <c r="K62" s="316">
        <f>'L) Plafonnement taux'!Q62</f>
        <v>0</v>
      </c>
      <c r="L62" s="314">
        <f t="shared" ref="L62:L116" si="2">F62+G62+H62+I62+J62+K62</f>
        <v>11614629.034968644</v>
      </c>
      <c r="M62" s="235">
        <f>'M) Police'!O62</f>
        <v>389839.23559382145</v>
      </c>
      <c r="N62" s="235">
        <f t="shared" si="1"/>
        <v>12004468.270562466</v>
      </c>
      <c r="P62" s="322"/>
    </row>
    <row r="63" spans="1:16" s="155" customFormat="1" x14ac:dyDescent="0.25">
      <c r="A63" s="152">
        <f>'B) D RI'!A64</f>
        <v>5493</v>
      </c>
      <c r="B63" s="153" t="str">
        <f>'B) D RI'!B64</f>
        <v>Orny</v>
      </c>
      <c r="C63" s="317">
        <f>'B) D RI'!S64</f>
        <v>73</v>
      </c>
      <c r="D63" s="154">
        <f>'B) D RI'!AA64</f>
        <v>368</v>
      </c>
      <c r="E63" s="315">
        <f>'D) Ecrêtage'!C62</f>
        <v>10742.508207895562</v>
      </c>
      <c r="F63" s="319">
        <f>'E) Fact soc'!G68</f>
        <v>219577.09197749186</v>
      </c>
      <c r="G63" s="316">
        <f>'H) Péréquation directe'!I73</f>
        <v>50018.612687632616</v>
      </c>
      <c r="H63" s="319">
        <f>+'I) Dépenses thématiques'!O62</f>
        <v>-717927.33397393522</v>
      </c>
      <c r="I63" s="316">
        <f>'K) Plafonnement aide'!J62</f>
        <v>0</v>
      </c>
      <c r="J63" s="319">
        <f>'J) Plafonnement effort'!J62</f>
        <v>0</v>
      </c>
      <c r="K63" s="316">
        <f>'L) Plafonnement taux'!Q63</f>
        <v>0</v>
      </c>
      <c r="L63" s="314">
        <f t="shared" si="2"/>
        <v>-448331.62930881075</v>
      </c>
      <c r="M63" s="235">
        <f>'M) Police'!O63</f>
        <v>34231.966573617465</v>
      </c>
      <c r="N63" s="235">
        <f t="shared" si="1"/>
        <v>-414099.66273519327</v>
      </c>
      <c r="P63" s="322"/>
    </row>
    <row r="64" spans="1:16" s="155" customFormat="1" x14ac:dyDescent="0.25">
      <c r="A64" s="152">
        <f>'B) D RI'!A65</f>
        <v>5494</v>
      </c>
      <c r="B64" s="153" t="str">
        <f>'B) D RI'!B65</f>
        <v>Pampigny</v>
      </c>
      <c r="C64" s="317">
        <f>'B) D RI'!S65</f>
        <v>75</v>
      </c>
      <c r="D64" s="154">
        <f>'B) D RI'!AA65</f>
        <v>1113</v>
      </c>
      <c r="E64" s="315">
        <f>'D) Ecrêtage'!C63</f>
        <v>37463.804333090258</v>
      </c>
      <c r="F64" s="319">
        <f>'E) Fact soc'!G69</f>
        <v>729925.89749131375</v>
      </c>
      <c r="G64" s="316">
        <f>'H) Péréquation directe'!I74</f>
        <v>317520.66927186097</v>
      </c>
      <c r="H64" s="319">
        <f>+'I) Dépenses thématiques'!O63</f>
        <v>-212137.74736865889</v>
      </c>
      <c r="I64" s="316">
        <f>'K) Plafonnement aide'!J63</f>
        <v>0</v>
      </c>
      <c r="J64" s="319">
        <f>'J) Plafonnement effort'!J63</f>
        <v>0</v>
      </c>
      <c r="K64" s="316">
        <f>'L) Plafonnement taux'!Q64</f>
        <v>0</v>
      </c>
      <c r="L64" s="314">
        <f t="shared" si="2"/>
        <v>835308.81939451583</v>
      </c>
      <c r="M64" s="235">
        <f>'M) Police'!O64</f>
        <v>118839.00511184376</v>
      </c>
      <c r="N64" s="235">
        <f t="shared" si="1"/>
        <v>954147.82450635964</v>
      </c>
      <c r="P64" s="322"/>
    </row>
    <row r="65" spans="1:16" s="155" customFormat="1" x14ac:dyDescent="0.25">
      <c r="A65" s="152">
        <f>'B) D RI'!A66</f>
        <v>5495</v>
      </c>
      <c r="B65" s="153" t="str">
        <f>'B) D RI'!B66</f>
        <v>Penthalaz</v>
      </c>
      <c r="C65" s="317">
        <f>'B) D RI'!S66</f>
        <v>74</v>
      </c>
      <c r="D65" s="154">
        <f>'B) D RI'!AA66</f>
        <v>3283</v>
      </c>
      <c r="E65" s="315">
        <f>'D) Ecrêtage'!C64</f>
        <v>91501.360926624242</v>
      </c>
      <c r="F65" s="319">
        <f>'E) Fact soc'!G70</f>
        <v>1657844.2278006501</v>
      </c>
      <c r="G65" s="316">
        <f>'H) Péréquation directe'!I75</f>
        <v>-321645.60913656349</v>
      </c>
      <c r="H65" s="319">
        <f>+'I) Dépenses thématiques'!O64</f>
        <v>-556149.92027934443</v>
      </c>
      <c r="I65" s="316">
        <f>'K) Plafonnement aide'!J64</f>
        <v>0</v>
      </c>
      <c r="J65" s="319">
        <f>'J) Plafonnement effort'!J64</f>
        <v>0</v>
      </c>
      <c r="K65" s="316">
        <f>'L) Plafonnement taux'!Q65</f>
        <v>0</v>
      </c>
      <c r="L65" s="314">
        <f t="shared" si="2"/>
        <v>780048.69838474214</v>
      </c>
      <c r="M65" s="235">
        <f>'M) Police'!O65</f>
        <v>289796.13623368752</v>
      </c>
      <c r="N65" s="235">
        <f t="shared" si="1"/>
        <v>1069844.8346184297</v>
      </c>
      <c r="P65" s="322"/>
    </row>
    <row r="66" spans="1:16" s="155" customFormat="1" x14ac:dyDescent="0.25">
      <c r="A66" s="152">
        <f>'B) D RI'!A67</f>
        <v>5496</v>
      </c>
      <c r="B66" s="153" t="str">
        <f>'B) D RI'!B67</f>
        <v>Penthaz</v>
      </c>
      <c r="C66" s="317">
        <f>'B) D RI'!S67</f>
        <v>71</v>
      </c>
      <c r="D66" s="154">
        <f>'B) D RI'!AA67</f>
        <v>1747</v>
      </c>
      <c r="E66" s="315">
        <f>'D) Ecrêtage'!C65</f>
        <v>56734.953960585386</v>
      </c>
      <c r="F66" s="319">
        <f>'E) Fact soc'!G71</f>
        <v>1127421.3723092191</v>
      </c>
      <c r="G66" s="316">
        <f>'H) Péréquation directe'!I76</f>
        <v>332193.80085736921</v>
      </c>
      <c r="H66" s="319">
        <f>+'I) Dépenses thématiques'!O65</f>
        <v>-247962.62758432454</v>
      </c>
      <c r="I66" s="316">
        <f>'K) Plafonnement aide'!J65</f>
        <v>0</v>
      </c>
      <c r="J66" s="319">
        <f>'J) Plafonnement effort'!J65</f>
        <v>0</v>
      </c>
      <c r="K66" s="316">
        <f>'L) Plafonnement taux'!Q66</f>
        <v>0</v>
      </c>
      <c r="L66" s="314">
        <f t="shared" si="2"/>
        <v>1211652.545582264</v>
      </c>
      <c r="M66" s="235">
        <f>'M) Police'!O66</f>
        <v>179537.21528824361</v>
      </c>
      <c r="N66" s="235">
        <f t="shared" si="1"/>
        <v>1391189.7608705075</v>
      </c>
      <c r="P66" s="322"/>
    </row>
    <row r="67" spans="1:16" s="155" customFormat="1" x14ac:dyDescent="0.25">
      <c r="A67" s="152">
        <f>'B) D RI'!A68</f>
        <v>5497</v>
      </c>
      <c r="B67" s="153" t="str">
        <f>'B) D RI'!B68</f>
        <v>Pompaples</v>
      </c>
      <c r="C67" s="317">
        <f>'B) D RI'!S68</f>
        <v>66</v>
      </c>
      <c r="D67" s="154">
        <f>'B) D RI'!AA68</f>
        <v>847</v>
      </c>
      <c r="E67" s="315">
        <f>'D) Ecrêtage'!C66</f>
        <v>22161.340037381338</v>
      </c>
      <c r="F67" s="319">
        <f>'E) Fact soc'!G72</f>
        <v>477435.02922676568</v>
      </c>
      <c r="G67" s="316">
        <f>'H) Péréquation directe'!I77</f>
        <v>69943.546991347568</v>
      </c>
      <c r="H67" s="319">
        <f>+'I) Dépenses thématiques'!O66</f>
        <v>-196140.93076841932</v>
      </c>
      <c r="I67" s="316">
        <f>'K) Plafonnement aide'!J66</f>
        <v>0</v>
      </c>
      <c r="J67" s="319">
        <f>'J) Plafonnement effort'!J66</f>
        <v>0</v>
      </c>
      <c r="K67" s="316">
        <f>'L) Plafonnement taux'!Q67</f>
        <v>0</v>
      </c>
      <c r="L67" s="314">
        <f t="shared" si="2"/>
        <v>351237.64544969401</v>
      </c>
      <c r="M67" s="235">
        <f>'M) Police'!O67</f>
        <v>69722.196111371974</v>
      </c>
      <c r="N67" s="235">
        <f t="shared" si="1"/>
        <v>420959.84156106599</v>
      </c>
      <c r="P67" s="322"/>
    </row>
    <row r="68" spans="1:16" s="155" customFormat="1" x14ac:dyDescent="0.25">
      <c r="A68" s="152">
        <f>'B) D RI'!A69</f>
        <v>5498</v>
      </c>
      <c r="B68" s="153" t="str">
        <f>'B) D RI'!B69</f>
        <v>La Sarraz</v>
      </c>
      <c r="C68" s="317">
        <f>'B) D RI'!S69</f>
        <v>66</v>
      </c>
      <c r="D68" s="154">
        <f>'B) D RI'!AA69</f>
        <v>2596</v>
      </c>
      <c r="E68" s="315">
        <f>'D) Ecrêtage'!C67</f>
        <v>77385.435956102505</v>
      </c>
      <c r="F68" s="319">
        <f>'E) Fact soc'!G73</f>
        <v>1386969.1197281247</v>
      </c>
      <c r="G68" s="316">
        <f>'H) Péréquation directe'!I78</f>
        <v>211454.72575898515</v>
      </c>
      <c r="H68" s="319">
        <f>+'I) Dépenses thématiques'!O67</f>
        <v>-663372.56412330503</v>
      </c>
      <c r="I68" s="316">
        <f>'K) Plafonnement aide'!J67</f>
        <v>0</v>
      </c>
      <c r="J68" s="319">
        <f>'J) Plafonnement effort'!J67</f>
        <v>0</v>
      </c>
      <c r="K68" s="316">
        <f>'L) Plafonnement taux'!Q68</f>
        <v>0</v>
      </c>
      <c r="L68" s="314">
        <f t="shared" si="2"/>
        <v>935051.28136380482</v>
      </c>
      <c r="M68" s="235">
        <f>'M) Police'!O68</f>
        <v>245264.71209917293</v>
      </c>
      <c r="N68" s="235">
        <f t="shared" si="1"/>
        <v>1180315.9934629777</v>
      </c>
      <c r="P68" s="322"/>
    </row>
    <row r="69" spans="1:16" s="155" customFormat="1" x14ac:dyDescent="0.25">
      <c r="A69" s="152">
        <f>'B) D RI'!A70</f>
        <v>5499</v>
      </c>
      <c r="B69" s="153" t="str">
        <f>'B) D RI'!B70</f>
        <v>Senarclens</v>
      </c>
      <c r="C69" s="317">
        <f>'B) D RI'!S70</f>
        <v>68.5</v>
      </c>
      <c r="D69" s="154">
        <f>'B) D RI'!AA70</f>
        <v>488</v>
      </c>
      <c r="E69" s="315">
        <f>'D) Ecrêtage'!C68</f>
        <v>23640.951925367579</v>
      </c>
      <c r="F69" s="319">
        <f>'E) Fact soc'!G74</f>
        <v>434597.27637370431</v>
      </c>
      <c r="G69" s="316">
        <f>'H) Péréquation directe'!I79</f>
        <v>418559.25423163327</v>
      </c>
      <c r="H69" s="319">
        <f>+'I) Dépenses thématiques'!O68</f>
        <v>0</v>
      </c>
      <c r="I69" s="316">
        <f>'K) Plafonnement aide'!J68</f>
        <v>0</v>
      </c>
      <c r="J69" s="319">
        <f>'J) Plafonnement effort'!J68</f>
        <v>0</v>
      </c>
      <c r="K69" s="316">
        <f>'L) Plafonnement taux'!Q69</f>
        <v>0</v>
      </c>
      <c r="L69" s="314">
        <f t="shared" si="2"/>
        <v>853156.53060533758</v>
      </c>
      <c r="M69" s="235">
        <f>'M) Police'!O69</f>
        <v>71761.255052405526</v>
      </c>
      <c r="N69" s="235">
        <f t="shared" si="1"/>
        <v>924917.78565774311</v>
      </c>
      <c r="P69" s="322"/>
    </row>
    <row r="70" spans="1:16" s="155" customFormat="1" x14ac:dyDescent="0.25">
      <c r="A70" s="152">
        <f>'B) D RI'!A71</f>
        <v>5500</v>
      </c>
      <c r="B70" s="153" t="str">
        <f>'B) D RI'!B71</f>
        <v>Sévery</v>
      </c>
      <c r="C70" s="317">
        <f>'B) D RI'!S71</f>
        <v>75</v>
      </c>
      <c r="D70" s="154">
        <f>'B) D RI'!AA71</f>
        <v>225</v>
      </c>
      <c r="E70" s="315">
        <f>'D) Ecrêtage'!C69</f>
        <v>6301.5037699957575</v>
      </c>
      <c r="F70" s="319">
        <f>'E) Fact soc'!G75</f>
        <v>129168.03963006442</v>
      </c>
      <c r="G70" s="316">
        <f>'H) Péréquation directe'!I80</f>
        <v>15071.043193528356</v>
      </c>
      <c r="H70" s="319">
        <f>+'I) Dépenses thématiques'!O69</f>
        <v>-36027.225273619144</v>
      </c>
      <c r="I70" s="316">
        <f>'K) Plafonnement aide'!J69</f>
        <v>0</v>
      </c>
      <c r="J70" s="319">
        <f>'J) Plafonnement effort'!J69</f>
        <v>0</v>
      </c>
      <c r="K70" s="316">
        <f>'L) Plafonnement taux'!Q70</f>
        <v>0</v>
      </c>
      <c r="L70" s="314">
        <f t="shared" si="2"/>
        <v>108211.85754997362</v>
      </c>
      <c r="M70" s="235">
        <f>'M) Police'!O70</f>
        <v>19831.300191104616</v>
      </c>
      <c r="N70" s="235">
        <f t="shared" si="1"/>
        <v>128043.15774107823</v>
      </c>
      <c r="P70" s="322"/>
    </row>
    <row r="71" spans="1:16" s="155" customFormat="1" x14ac:dyDescent="0.25">
      <c r="A71" s="152">
        <f>'B) D RI'!A72</f>
        <v>5501</v>
      </c>
      <c r="B71" s="153" t="str">
        <f>'B) D RI'!B72</f>
        <v>Sullens</v>
      </c>
      <c r="C71" s="317">
        <f>'B) D RI'!S72</f>
        <v>70</v>
      </c>
      <c r="D71" s="154">
        <f>'B) D RI'!AA72</f>
        <v>1036</v>
      </c>
      <c r="E71" s="315">
        <f>'D) Ecrêtage'!C70</f>
        <v>37513.894014769903</v>
      </c>
      <c r="F71" s="319">
        <f>'E) Fact soc'!G76</f>
        <v>667536.8990404763</v>
      </c>
      <c r="G71" s="316">
        <f>'H) Péréquation directe'!I81</f>
        <v>449512.41098086361</v>
      </c>
      <c r="H71" s="319">
        <f>+'I) Dépenses thématiques'!O70</f>
        <v>-7247.9855833096899</v>
      </c>
      <c r="I71" s="316">
        <f>'K) Plafonnement aide'!J70</f>
        <v>0</v>
      </c>
      <c r="J71" s="319">
        <f>'J) Plafonnement effort'!J70</f>
        <v>0</v>
      </c>
      <c r="K71" s="316">
        <f>'L) Plafonnement taux'!Q71</f>
        <v>0</v>
      </c>
      <c r="L71" s="314">
        <f t="shared" si="2"/>
        <v>1109801.3244380301</v>
      </c>
      <c r="M71" s="235">
        <f>'M) Police'!O71</f>
        <v>118598.16576120679</v>
      </c>
      <c r="N71" s="235">
        <f t="shared" ref="N71:N134" si="3">L71+M71</f>
        <v>1228399.4901992369</v>
      </c>
      <c r="P71" s="322"/>
    </row>
    <row r="72" spans="1:16" s="155" customFormat="1" x14ac:dyDescent="0.25">
      <c r="A72" s="152">
        <f>'B) D RI'!A73</f>
        <v>5503</v>
      </c>
      <c r="B72" s="153" t="str">
        <f>'B) D RI'!B73</f>
        <v>Vufflens-la-Ville</v>
      </c>
      <c r="C72" s="317">
        <f>'B) D RI'!S73</f>
        <v>67</v>
      </c>
      <c r="D72" s="154">
        <f>'B) D RI'!AA73</f>
        <v>1298</v>
      </c>
      <c r="E72" s="315">
        <f>'D) Ecrêtage'!C71</f>
        <v>71529.073769442432</v>
      </c>
      <c r="F72" s="319">
        <f>'E) Fact soc'!G77</f>
        <v>1693091.2136053436</v>
      </c>
      <c r="G72" s="316">
        <f>'H) Péréquation directe'!I82</f>
        <v>1221719.9657656318</v>
      </c>
      <c r="H72" s="319">
        <f>+'I) Dépenses thématiques'!O71</f>
        <v>0</v>
      </c>
      <c r="I72" s="316">
        <f>'K) Plafonnement aide'!J71</f>
        <v>0</v>
      </c>
      <c r="J72" s="319">
        <f>'J) Plafonnement effort'!J71</f>
        <v>0</v>
      </c>
      <c r="K72" s="316">
        <f>'L) Plafonnement taux'!Q72</f>
        <v>0</v>
      </c>
      <c r="L72" s="314">
        <f t="shared" si="2"/>
        <v>2914811.1793709751</v>
      </c>
      <c r="M72" s="235">
        <f>'M) Police'!O72</f>
        <v>202335.1044368204</v>
      </c>
      <c r="N72" s="235">
        <f t="shared" si="3"/>
        <v>3117146.2838077955</v>
      </c>
      <c r="P72" s="322"/>
    </row>
    <row r="73" spans="1:16" s="155" customFormat="1" x14ac:dyDescent="0.25">
      <c r="A73" s="152">
        <f>'B) D RI'!A74</f>
        <v>5511</v>
      </c>
      <c r="B73" s="153" t="str">
        <f>'B) D RI'!B74</f>
        <v>Assens</v>
      </c>
      <c r="C73" s="317">
        <f>'B) D RI'!S74</f>
        <v>70</v>
      </c>
      <c r="D73" s="154">
        <f>'B) D RI'!AA74</f>
        <v>1077</v>
      </c>
      <c r="E73" s="315">
        <f>'D) Ecrêtage'!C72</f>
        <v>42924.75672243804</v>
      </c>
      <c r="F73" s="319">
        <f>'E) Fact soc'!G78</f>
        <v>726945.96771905501</v>
      </c>
      <c r="G73" s="316">
        <f>'H) Péréquation directe'!I83</f>
        <v>614541.19172595593</v>
      </c>
      <c r="H73" s="319">
        <f>+'I) Dépenses thématiques'!O72</f>
        <v>-348379.58999481268</v>
      </c>
      <c r="I73" s="316">
        <f>'K) Plafonnement aide'!J72</f>
        <v>0</v>
      </c>
      <c r="J73" s="319">
        <f>'J) Plafonnement effort'!J72</f>
        <v>0</v>
      </c>
      <c r="K73" s="316">
        <f>'L) Plafonnement taux'!Q73</f>
        <v>0</v>
      </c>
      <c r="L73" s="314">
        <f t="shared" si="2"/>
        <v>993107.56945019844</v>
      </c>
      <c r="M73" s="235">
        <f>'M) Police'!O73</f>
        <v>136210.64501155514</v>
      </c>
      <c r="N73" s="235">
        <f t="shared" si="3"/>
        <v>1129318.2144617536</v>
      </c>
      <c r="P73" s="322"/>
    </row>
    <row r="74" spans="1:16" s="155" customFormat="1" x14ac:dyDescent="0.25">
      <c r="A74" s="152">
        <f>'B) D RI'!A75</f>
        <v>5512</v>
      </c>
      <c r="B74" s="153" t="str">
        <f>'B) D RI'!B75</f>
        <v>Bercher</v>
      </c>
      <c r="C74" s="317">
        <f>'B) D RI'!S75</f>
        <v>79</v>
      </c>
      <c r="D74" s="154">
        <f>'B) D RI'!AA75</f>
        <v>1239</v>
      </c>
      <c r="E74" s="315">
        <f>'D) Ecrêtage'!C73</f>
        <v>37044.132282785904</v>
      </c>
      <c r="F74" s="319">
        <f>'E) Fact soc'!G79</f>
        <v>683194.81102110643</v>
      </c>
      <c r="G74" s="316">
        <f>'H) Péréquation directe'!I84</f>
        <v>83933.553385511274</v>
      </c>
      <c r="H74" s="319">
        <f>+'I) Dépenses thématiques'!O73</f>
        <v>-154118.13647280299</v>
      </c>
      <c r="I74" s="316">
        <f>'K) Plafonnement aide'!J73</f>
        <v>0</v>
      </c>
      <c r="J74" s="319">
        <f>'J) Plafonnement effort'!J73</f>
        <v>0</v>
      </c>
      <c r="K74" s="316">
        <f>'L) Plafonnement taux'!Q74</f>
        <v>0</v>
      </c>
      <c r="L74" s="314">
        <f t="shared" si="2"/>
        <v>613010.22793381475</v>
      </c>
      <c r="M74" s="235">
        <f>'M) Police'!O74</f>
        <v>117150.37780519076</v>
      </c>
      <c r="N74" s="235">
        <f t="shared" si="3"/>
        <v>730160.60573900549</v>
      </c>
      <c r="P74" s="322"/>
    </row>
    <row r="75" spans="1:16" s="155" customFormat="1" x14ac:dyDescent="0.25">
      <c r="A75" s="152">
        <f>'B) D RI'!A76</f>
        <v>5513</v>
      </c>
      <c r="B75" s="153" t="str">
        <f>'B) D RI'!B76</f>
        <v>Bioley-Orjulaz</v>
      </c>
      <c r="C75" s="317">
        <f>'B) D RI'!S76</f>
        <v>68</v>
      </c>
      <c r="D75" s="154">
        <f>'B) D RI'!AA76</f>
        <v>516</v>
      </c>
      <c r="E75" s="315">
        <f>'D) Ecrêtage'!C74</f>
        <v>21181.93028195855</v>
      </c>
      <c r="F75" s="319">
        <f>'E) Fact soc'!G80</f>
        <v>408051.42560669518</v>
      </c>
      <c r="G75" s="316">
        <f>'H) Péréquation directe'!I85</f>
        <v>329370.78857558867</v>
      </c>
      <c r="H75" s="319">
        <f>+'I) Dépenses thématiques'!O74</f>
        <v>-7877.9019537193153</v>
      </c>
      <c r="I75" s="316">
        <f>'K) Plafonnement aide'!J74</f>
        <v>0</v>
      </c>
      <c r="J75" s="319">
        <f>'J) Plafonnement effort'!J74</f>
        <v>0</v>
      </c>
      <c r="K75" s="316">
        <f>'L) Plafonnement taux'!Q75</f>
        <v>0</v>
      </c>
      <c r="L75" s="314">
        <f t="shared" si="2"/>
        <v>729544.31222856452</v>
      </c>
      <c r="M75" s="235">
        <f>'M) Police'!O75</f>
        <v>66813.536606759299</v>
      </c>
      <c r="N75" s="235">
        <f t="shared" si="3"/>
        <v>796357.84883532382</v>
      </c>
      <c r="P75" s="322"/>
    </row>
    <row r="76" spans="1:16" s="155" customFormat="1" x14ac:dyDescent="0.25">
      <c r="A76" s="152">
        <f>'B) D RI'!A77</f>
        <v>5514</v>
      </c>
      <c r="B76" s="153" t="str">
        <f>'B) D RI'!B77</f>
        <v>Bottens</v>
      </c>
      <c r="C76" s="317">
        <f>'B) D RI'!S77</f>
        <v>69</v>
      </c>
      <c r="D76" s="154">
        <f>'B) D RI'!AA77</f>
        <v>1298</v>
      </c>
      <c r="E76" s="315">
        <f>'D) Ecrêtage'!C75</f>
        <v>44638.492368569219</v>
      </c>
      <c r="F76" s="319">
        <f>'E) Fact soc'!G81</f>
        <v>742261.5155122279</v>
      </c>
      <c r="G76" s="316">
        <f>'H) Péréquation directe'!I86</f>
        <v>419884.68198248697</v>
      </c>
      <c r="H76" s="319">
        <f>+'I) Dépenses thématiques'!O75</f>
        <v>0</v>
      </c>
      <c r="I76" s="316">
        <f>'K) Plafonnement aide'!J75</f>
        <v>0</v>
      </c>
      <c r="J76" s="319">
        <f>'J) Plafonnement effort'!J75</f>
        <v>0</v>
      </c>
      <c r="K76" s="316">
        <f>'L) Plafonnement taux'!Q76</f>
        <v>0</v>
      </c>
      <c r="L76" s="314">
        <f t="shared" si="2"/>
        <v>1162146.197494715</v>
      </c>
      <c r="M76" s="235">
        <f>'M) Police'!O76</f>
        <v>142191.91799548955</v>
      </c>
      <c r="N76" s="235">
        <f t="shared" si="3"/>
        <v>1304338.1154902047</v>
      </c>
      <c r="P76" s="322"/>
    </row>
    <row r="77" spans="1:16" s="155" customFormat="1" x14ac:dyDescent="0.25">
      <c r="A77" s="152">
        <f>'B) D RI'!A78</f>
        <v>5515</v>
      </c>
      <c r="B77" s="153" t="str">
        <f>'B) D RI'!B78</f>
        <v>Bretigny-sur-Morrens</v>
      </c>
      <c r="C77" s="317">
        <f>'B) D RI'!S78</f>
        <v>81</v>
      </c>
      <c r="D77" s="154">
        <f>'B) D RI'!AA78</f>
        <v>843</v>
      </c>
      <c r="E77" s="315">
        <f>'D) Ecrêtage'!C76</f>
        <v>28831.158924958156</v>
      </c>
      <c r="F77" s="319">
        <f>'E) Fact soc'!G82</f>
        <v>548125.95354644954</v>
      </c>
      <c r="G77" s="316">
        <f>'H) Péréquation directe'!I87</f>
        <v>245827.73417084455</v>
      </c>
      <c r="H77" s="319">
        <f>+'I) Dépenses thématiques'!O76</f>
        <v>-48188.244941222307</v>
      </c>
      <c r="I77" s="316">
        <f>'K) Plafonnement aide'!J76</f>
        <v>0</v>
      </c>
      <c r="J77" s="319">
        <f>'J) Plafonnement effort'!J76</f>
        <v>0</v>
      </c>
      <c r="K77" s="316">
        <f>'L) Plafonnement taux'!Q77</f>
        <v>0</v>
      </c>
      <c r="L77" s="314">
        <f t="shared" si="2"/>
        <v>745765.44277607184</v>
      </c>
      <c r="M77" s="235">
        <f>'M) Police'!O77</f>
        <v>91847.094984442127</v>
      </c>
      <c r="N77" s="235">
        <f t="shared" si="3"/>
        <v>837612.53776051395</v>
      </c>
      <c r="P77" s="322"/>
    </row>
    <row r="78" spans="1:16" s="155" customFormat="1" x14ac:dyDescent="0.25">
      <c r="A78" s="152">
        <f>'B) D RI'!A79</f>
        <v>5516</v>
      </c>
      <c r="B78" s="153" t="str">
        <f>'B) D RI'!B79</f>
        <v>Cugy</v>
      </c>
      <c r="C78" s="317">
        <f>'B) D RI'!S79</f>
        <v>78</v>
      </c>
      <c r="D78" s="154">
        <f>'B) D RI'!AA79</f>
        <v>2742</v>
      </c>
      <c r="E78" s="315">
        <f>'D) Ecrêtage'!C77</f>
        <v>111243.36559703569</v>
      </c>
      <c r="F78" s="319">
        <f>'E) Fact soc'!G83</f>
        <v>1962784.8665650059</v>
      </c>
      <c r="G78" s="316">
        <f>'H) Péréquation directe'!I88</f>
        <v>1240061.9530743319</v>
      </c>
      <c r="H78" s="319">
        <f>+'I) Dépenses thématiques'!O77</f>
        <v>-136498.55792339254</v>
      </c>
      <c r="I78" s="316">
        <f>'K) Plafonnement aide'!J77</f>
        <v>0</v>
      </c>
      <c r="J78" s="319">
        <f>'J) Plafonnement effort'!J77</f>
        <v>0</v>
      </c>
      <c r="K78" s="316">
        <f>'L) Plafonnement taux'!Q78</f>
        <v>0</v>
      </c>
      <c r="L78" s="314">
        <f t="shared" si="2"/>
        <v>3066348.2617159453</v>
      </c>
      <c r="M78" s="235">
        <f>'M) Police'!O78</f>
        <v>354159.07915714494</v>
      </c>
      <c r="N78" s="235">
        <f t="shared" si="3"/>
        <v>3420507.3408730901</v>
      </c>
      <c r="P78" s="322"/>
    </row>
    <row r="79" spans="1:16" s="155" customFormat="1" x14ac:dyDescent="0.25">
      <c r="A79" s="152">
        <f>'B) D RI'!A80</f>
        <v>5518</v>
      </c>
      <c r="B79" s="153" t="str">
        <f>'B) D RI'!B80</f>
        <v>Echallens</v>
      </c>
      <c r="C79" s="317">
        <f>'B) D RI'!S80</f>
        <v>74</v>
      </c>
      <c r="D79" s="154">
        <f>'B) D RI'!AA80</f>
        <v>5742</v>
      </c>
      <c r="E79" s="315">
        <f>'D) Ecrêtage'!C78</f>
        <v>180959.47694399237</v>
      </c>
      <c r="F79" s="319">
        <f>'E) Fact soc'!G84</f>
        <v>3107643.5130777154</v>
      </c>
      <c r="G79" s="316">
        <f>'H) Péréquation directe'!I89</f>
        <v>-261806.58233116008</v>
      </c>
      <c r="H79" s="319">
        <f>+'I) Dépenses thématiques'!O78</f>
        <v>-1008106.4787868578</v>
      </c>
      <c r="I79" s="316">
        <f>'K) Plafonnement aide'!J78</f>
        <v>0</v>
      </c>
      <c r="J79" s="319">
        <f>'J) Plafonnement effort'!J78</f>
        <v>0</v>
      </c>
      <c r="K79" s="316">
        <f>'L) Plafonnement taux'!Q79</f>
        <v>0</v>
      </c>
      <c r="L79" s="314">
        <f t="shared" si="2"/>
        <v>1837730.4519596975</v>
      </c>
      <c r="M79" s="235">
        <f>'M) Police'!O79</f>
        <v>570637.03145960788</v>
      </c>
      <c r="N79" s="235">
        <f t="shared" si="3"/>
        <v>2408367.4834193056</v>
      </c>
      <c r="P79" s="322"/>
    </row>
    <row r="80" spans="1:16" s="155" customFormat="1" x14ac:dyDescent="0.25">
      <c r="A80" s="152">
        <f>'B) D RI'!A81</f>
        <v>5520</v>
      </c>
      <c r="B80" s="153" t="str">
        <f>'B) D RI'!B81</f>
        <v>Essertines-sur-Yverdon</v>
      </c>
      <c r="C80" s="317">
        <f>'B) D RI'!S81</f>
        <v>73</v>
      </c>
      <c r="D80" s="154">
        <f>'B) D RI'!AA81</f>
        <v>1024</v>
      </c>
      <c r="E80" s="315">
        <f>'D) Ecrêtage'!C79</f>
        <v>31792.947431853896</v>
      </c>
      <c r="F80" s="319">
        <f>'E) Fact soc'!G85</f>
        <v>601629.55658600049</v>
      </c>
      <c r="G80" s="316">
        <f>'H) Péréquation directe'!I90</f>
        <v>212617.23127519741</v>
      </c>
      <c r="H80" s="319">
        <f>+'I) Dépenses thématiques'!O79</f>
        <v>-125779.09338809819</v>
      </c>
      <c r="I80" s="316">
        <f>'K) Plafonnement aide'!J79</f>
        <v>0</v>
      </c>
      <c r="J80" s="319">
        <f>'J) Plafonnement effort'!J79</f>
        <v>0</v>
      </c>
      <c r="K80" s="316">
        <f>'L) Plafonnement taux'!Q80</f>
        <v>0</v>
      </c>
      <c r="L80" s="314">
        <f t="shared" si="2"/>
        <v>688467.69447309978</v>
      </c>
      <c r="M80" s="235">
        <f>'M) Police'!O80</f>
        <v>100911.49259948794</v>
      </c>
      <c r="N80" s="235">
        <f t="shared" si="3"/>
        <v>789379.18707258767</v>
      </c>
      <c r="P80" s="322"/>
    </row>
    <row r="81" spans="1:16" s="155" customFormat="1" x14ac:dyDescent="0.25">
      <c r="A81" s="152">
        <f>'B) D RI'!A82</f>
        <v>5521</v>
      </c>
      <c r="B81" s="153" t="str">
        <f>'B) D RI'!B82</f>
        <v>Etagnières</v>
      </c>
      <c r="C81" s="317">
        <f>'B) D RI'!S82</f>
        <v>73</v>
      </c>
      <c r="D81" s="154">
        <f>'B) D RI'!AA82</f>
        <v>1118</v>
      </c>
      <c r="E81" s="315">
        <f>'D) Ecrêtage'!C80</f>
        <v>41863.452740254725</v>
      </c>
      <c r="F81" s="319">
        <f>'E) Fact soc'!G86</f>
        <v>740628.74297765957</v>
      </c>
      <c r="G81" s="316">
        <f>'H) Péréquation directe'!I91</f>
        <v>508115.72652300232</v>
      </c>
      <c r="H81" s="319">
        <f>+'I) Dépenses thématiques'!O80</f>
        <v>-23319.061903612364</v>
      </c>
      <c r="I81" s="316">
        <f>'K) Plafonnement aide'!J80</f>
        <v>0</v>
      </c>
      <c r="J81" s="319">
        <f>'J) Plafonnement effort'!J80</f>
        <v>0</v>
      </c>
      <c r="K81" s="316">
        <f>'L) Plafonnement taux'!Q81</f>
        <v>0</v>
      </c>
      <c r="L81" s="314">
        <f t="shared" si="2"/>
        <v>1225425.4075970494</v>
      </c>
      <c r="M81" s="235">
        <f>'M) Police'!O81</f>
        <v>132124.7042294541</v>
      </c>
      <c r="N81" s="235">
        <f t="shared" si="3"/>
        <v>1357550.1118265034</v>
      </c>
      <c r="P81" s="322"/>
    </row>
    <row r="82" spans="1:16" s="155" customFormat="1" x14ac:dyDescent="0.25">
      <c r="A82" s="152">
        <f>'B) D RI'!A83</f>
        <v>5522</v>
      </c>
      <c r="B82" s="153" t="str">
        <f>'B) D RI'!B83</f>
        <v>Fey</v>
      </c>
      <c r="C82" s="317">
        <f>'B) D RI'!S83</f>
        <v>75</v>
      </c>
      <c r="D82" s="154">
        <f>'B) D RI'!AA83</f>
        <v>734</v>
      </c>
      <c r="E82" s="315">
        <f>'D) Ecrêtage'!C81</f>
        <v>21530.578579692767</v>
      </c>
      <c r="F82" s="319">
        <f>'E) Fact soc'!G87</f>
        <v>392659.25541969133</v>
      </c>
      <c r="G82" s="316">
        <f>'H) Péréquation directe'!I92</f>
        <v>90692.129875755403</v>
      </c>
      <c r="H82" s="319">
        <f>+'I) Dépenses thématiques'!O81</f>
        <v>-36791.646467924162</v>
      </c>
      <c r="I82" s="316">
        <f>'K) Plafonnement aide'!J81</f>
        <v>0</v>
      </c>
      <c r="J82" s="319">
        <f>'J) Plafonnement effort'!J81</f>
        <v>0</v>
      </c>
      <c r="K82" s="316">
        <f>'L) Plafonnement taux'!Q82</f>
        <v>0</v>
      </c>
      <c r="L82" s="314">
        <f t="shared" si="2"/>
        <v>446559.73882752255</v>
      </c>
      <c r="M82" s="235">
        <f>'M) Police'!O82</f>
        <v>68309.799885977278</v>
      </c>
      <c r="N82" s="235">
        <f t="shared" si="3"/>
        <v>514869.53871349985</v>
      </c>
      <c r="P82" s="322"/>
    </row>
    <row r="83" spans="1:16" s="155" customFormat="1" x14ac:dyDescent="0.25">
      <c r="A83" s="152">
        <f>'B) D RI'!A84</f>
        <v>5523</v>
      </c>
      <c r="B83" s="153" t="str">
        <f>'B) D RI'!B84</f>
        <v>Froideville</v>
      </c>
      <c r="C83" s="317">
        <f>'B) D RI'!S84</f>
        <v>76</v>
      </c>
      <c r="D83" s="154">
        <f>'B) D RI'!AA84</f>
        <v>2576</v>
      </c>
      <c r="E83" s="315">
        <f>'D) Ecrêtage'!C82</f>
        <v>82933.673531693348</v>
      </c>
      <c r="F83" s="319">
        <f>'E) Fact soc'!G88</f>
        <v>1438042.6662744998</v>
      </c>
      <c r="G83" s="316">
        <f>'H) Péréquation directe'!I93</f>
        <v>258893.72355253645</v>
      </c>
      <c r="H83" s="319">
        <f>+'I) Dépenses thématiques'!O82</f>
        <v>-78707.550349086261</v>
      </c>
      <c r="I83" s="316">
        <f>'K) Plafonnement aide'!J82</f>
        <v>0</v>
      </c>
      <c r="J83" s="319">
        <f>'J) Plafonnement effort'!J82</f>
        <v>0</v>
      </c>
      <c r="K83" s="316">
        <f>'L) Plafonnement taux'!Q83</f>
        <v>0</v>
      </c>
      <c r="L83" s="314">
        <f t="shared" si="2"/>
        <v>1618228.83947795</v>
      </c>
      <c r="M83" s="235">
        <f>'M) Police'!O83</f>
        <v>262086.61989095423</v>
      </c>
      <c r="N83" s="235">
        <f t="shared" si="3"/>
        <v>1880315.4593689041</v>
      </c>
      <c r="P83" s="322"/>
    </row>
    <row r="84" spans="1:16" s="155" customFormat="1" x14ac:dyDescent="0.25">
      <c r="A84" s="152">
        <f>'B) D RI'!A85</f>
        <v>5527</v>
      </c>
      <c r="B84" s="153" t="str">
        <f>'B) D RI'!B85</f>
        <v>Morrens</v>
      </c>
      <c r="C84" s="317">
        <f>'B) D RI'!S85</f>
        <v>74</v>
      </c>
      <c r="D84" s="154">
        <f>'B) D RI'!AA85</f>
        <v>1077</v>
      </c>
      <c r="E84" s="315">
        <f>'D) Ecrêtage'!C83</f>
        <v>37846.307885294293</v>
      </c>
      <c r="F84" s="319">
        <f>'E) Fact soc'!G89</f>
        <v>717876.5201888741</v>
      </c>
      <c r="G84" s="316">
        <f>'H) Péréquation directe'!I94</f>
        <v>388696.21530649997</v>
      </c>
      <c r="H84" s="319">
        <f>+'I) Dépenses thématiques'!O83</f>
        <v>-29028.501392938924</v>
      </c>
      <c r="I84" s="316">
        <f>'K) Plafonnement aide'!J83</f>
        <v>0</v>
      </c>
      <c r="J84" s="319">
        <f>'J) Plafonnement effort'!J83</f>
        <v>0</v>
      </c>
      <c r="K84" s="316">
        <f>'L) Plafonnement taux'!Q84</f>
        <v>0</v>
      </c>
      <c r="L84" s="314">
        <f t="shared" si="2"/>
        <v>1077544.2341024352</v>
      </c>
      <c r="M84" s="235">
        <f>'M) Police'!O84</f>
        <v>119898.28001221223</v>
      </c>
      <c r="N84" s="235">
        <f t="shared" si="3"/>
        <v>1197442.5141146474</v>
      </c>
      <c r="P84" s="322"/>
    </row>
    <row r="85" spans="1:16" s="155" customFormat="1" x14ac:dyDescent="0.25">
      <c r="A85" s="152">
        <f>'B) D RI'!A86</f>
        <v>5529</v>
      </c>
      <c r="B85" s="153" t="str">
        <f>'B) D RI'!B86</f>
        <v>Oulens-sous-Echallens</v>
      </c>
      <c r="C85" s="317">
        <f>'B) D RI'!S86</f>
        <v>71</v>
      </c>
      <c r="D85" s="154">
        <f>'B) D RI'!AA86</f>
        <v>611</v>
      </c>
      <c r="E85" s="315">
        <f>'D) Ecrêtage'!C84</f>
        <v>21232.684624593807</v>
      </c>
      <c r="F85" s="319">
        <f>'E) Fact soc'!G90</f>
        <v>357503.29032905784</v>
      </c>
      <c r="G85" s="316">
        <f>'H) Péréquation directe'!I95</f>
        <v>230964.13157734676</v>
      </c>
      <c r="H85" s="319">
        <f>+'I) Dépenses thématiques'!O84</f>
        <v>-129522.36252732796</v>
      </c>
      <c r="I85" s="316">
        <f>'K) Plafonnement aide'!J84</f>
        <v>0</v>
      </c>
      <c r="J85" s="319">
        <f>'J) Plafonnement effort'!J84</f>
        <v>0</v>
      </c>
      <c r="K85" s="316">
        <f>'L) Plafonnement taux'!Q85</f>
        <v>0</v>
      </c>
      <c r="L85" s="314">
        <f t="shared" si="2"/>
        <v>458945.0593790767</v>
      </c>
      <c r="M85" s="235">
        <f>'M) Police'!O85</f>
        <v>67543.319094556384</v>
      </c>
      <c r="N85" s="235">
        <f t="shared" si="3"/>
        <v>526488.37847363309</v>
      </c>
      <c r="P85" s="322"/>
    </row>
    <row r="86" spans="1:16" s="155" customFormat="1" x14ac:dyDescent="0.25">
      <c r="A86" s="152">
        <f>'B) D RI'!A87</f>
        <v>5530</v>
      </c>
      <c r="B86" s="153" t="str">
        <f>'B) D RI'!B87</f>
        <v>Pailly</v>
      </c>
      <c r="C86" s="317">
        <f>'B) D RI'!S87</f>
        <v>77.5</v>
      </c>
      <c r="D86" s="154">
        <f>'B) D RI'!AA87</f>
        <v>561</v>
      </c>
      <c r="E86" s="315">
        <f>'D) Ecrêtage'!C85</f>
        <v>16822.836054480296</v>
      </c>
      <c r="F86" s="319">
        <f>'E) Fact soc'!G91</f>
        <v>353161.40058655443</v>
      </c>
      <c r="G86" s="316">
        <f>'H) Péréquation directe'!I96</f>
        <v>72345.301764277276</v>
      </c>
      <c r="H86" s="319">
        <f>+'I) Dépenses thématiques'!O85</f>
        <v>-231853.89226133886</v>
      </c>
      <c r="I86" s="316">
        <f>'K) Plafonnement aide'!J85</f>
        <v>0</v>
      </c>
      <c r="J86" s="319">
        <f>'J) Plafonnement effort'!J85</f>
        <v>0</v>
      </c>
      <c r="K86" s="316">
        <f>'L) Plafonnement taux'!Q86</f>
        <v>0</v>
      </c>
      <c r="L86" s="314">
        <f t="shared" si="2"/>
        <v>193652.81008949285</v>
      </c>
      <c r="M86" s="235">
        <f>'M) Police'!O86</f>
        <v>53784.120559893985</v>
      </c>
      <c r="N86" s="235">
        <f t="shared" si="3"/>
        <v>247436.93064938684</v>
      </c>
      <c r="P86" s="322"/>
    </row>
    <row r="87" spans="1:16" s="155" customFormat="1" x14ac:dyDescent="0.25">
      <c r="A87" s="152">
        <f>'B) D RI'!A88</f>
        <v>5531</v>
      </c>
      <c r="B87" s="153" t="str">
        <f>'B) D RI'!B88</f>
        <v>Penthéréaz</v>
      </c>
      <c r="C87" s="317">
        <f>'B) D RI'!S88</f>
        <v>78</v>
      </c>
      <c r="D87" s="154">
        <f>'B) D RI'!AA88</f>
        <v>421</v>
      </c>
      <c r="E87" s="315">
        <f>'D) Ecrêtage'!C86</f>
        <v>14989.425098501475</v>
      </c>
      <c r="F87" s="319">
        <f>'E) Fact soc'!G92</f>
        <v>263551.25688373635</v>
      </c>
      <c r="G87" s="316">
        <f>'H) Péréquation directe'!I97</f>
        <v>157534.57863251129</v>
      </c>
      <c r="H87" s="319">
        <f>+'I) Dépenses thématiques'!O86</f>
        <v>-47872.06866800307</v>
      </c>
      <c r="I87" s="316">
        <f>'K) Plafonnement aide'!J86</f>
        <v>0</v>
      </c>
      <c r="J87" s="319">
        <f>'J) Plafonnement effort'!J86</f>
        <v>0</v>
      </c>
      <c r="K87" s="316">
        <f>'L) Plafonnement taux'!Q87</f>
        <v>0</v>
      </c>
      <c r="L87" s="314">
        <f t="shared" si="2"/>
        <v>373213.76684824459</v>
      </c>
      <c r="M87" s="235">
        <f>'M) Police'!O87</f>
        <v>47899.72482239973</v>
      </c>
      <c r="N87" s="235">
        <f t="shared" si="3"/>
        <v>421113.49167064432</v>
      </c>
      <c r="P87" s="322"/>
    </row>
    <row r="88" spans="1:16" s="155" customFormat="1" x14ac:dyDescent="0.25">
      <c r="A88" s="152">
        <f>'B) D RI'!A89</f>
        <v>5533</v>
      </c>
      <c r="B88" s="153" t="str">
        <f>'B) D RI'!B89</f>
        <v>Poliez-Pittet</v>
      </c>
      <c r="C88" s="317">
        <f>'B) D RI'!S89</f>
        <v>71</v>
      </c>
      <c r="D88" s="154">
        <f>'B) D RI'!AA89</f>
        <v>846</v>
      </c>
      <c r="E88" s="315">
        <f>'D) Ecrêtage'!C87</f>
        <v>25275.822973621725</v>
      </c>
      <c r="F88" s="319">
        <f>'E) Fact soc'!G93</f>
        <v>424101.00656971481</v>
      </c>
      <c r="G88" s="316">
        <f>'H) Péréquation directe'!I98</f>
        <v>153514.33129161026</v>
      </c>
      <c r="H88" s="319">
        <f>+'I) Dépenses thématiques'!O87</f>
        <v>-30578.496018130525</v>
      </c>
      <c r="I88" s="316">
        <f>'K) Plafonnement aide'!J87</f>
        <v>0</v>
      </c>
      <c r="J88" s="319">
        <f>'J) Plafonnement effort'!J87</f>
        <v>0</v>
      </c>
      <c r="K88" s="316">
        <f>'L) Plafonnement taux'!Q88</f>
        <v>0</v>
      </c>
      <c r="L88" s="314">
        <f t="shared" si="2"/>
        <v>547036.84184319456</v>
      </c>
      <c r="M88" s="235">
        <f>'M) Police'!O88</f>
        <v>79920.629931736097</v>
      </c>
      <c r="N88" s="235">
        <f t="shared" si="3"/>
        <v>626957.4717749306</v>
      </c>
      <c r="P88" s="322"/>
    </row>
    <row r="89" spans="1:16" s="155" customFormat="1" x14ac:dyDescent="0.25">
      <c r="A89" s="152">
        <f>'B) D RI'!A90</f>
        <v>5534</v>
      </c>
      <c r="B89" s="153" t="str">
        <f>'B) D RI'!B90</f>
        <v>Rueyres</v>
      </c>
      <c r="C89" s="317">
        <f>'B) D RI'!S90</f>
        <v>73</v>
      </c>
      <c r="D89" s="154">
        <f>'B) D RI'!AA90</f>
        <v>255</v>
      </c>
      <c r="E89" s="315">
        <f>'D) Ecrêtage'!C88</f>
        <v>8313.1321594227738</v>
      </c>
      <c r="F89" s="319">
        <f>'E) Fact soc'!G94</f>
        <v>140522.50384773713</v>
      </c>
      <c r="G89" s="316">
        <f>'H) Péréquation directe'!I99</f>
        <v>70710.941439905146</v>
      </c>
      <c r="H89" s="319">
        <f>+'I) Dépenses thématiques'!O88</f>
        <v>-22974.308407799748</v>
      </c>
      <c r="I89" s="316">
        <f>'K) Plafonnement aide'!J88</f>
        <v>0</v>
      </c>
      <c r="J89" s="319">
        <f>'J) Plafonnement effort'!J88</f>
        <v>0</v>
      </c>
      <c r="K89" s="316">
        <f>'L) Plafonnement taux'!Q89</f>
        <v>0</v>
      </c>
      <c r="L89" s="314">
        <f t="shared" si="2"/>
        <v>188259.13687984252</v>
      </c>
      <c r="M89" s="235">
        <f>'M) Police'!O89</f>
        <v>25637.528618099997</v>
      </c>
      <c r="N89" s="235">
        <f t="shared" si="3"/>
        <v>213896.66549794254</v>
      </c>
      <c r="P89" s="322"/>
    </row>
    <row r="90" spans="1:16" s="155" customFormat="1" x14ac:dyDescent="0.25">
      <c r="A90" s="152">
        <f>'B) D RI'!A91</f>
        <v>5535</v>
      </c>
      <c r="B90" s="153" t="str">
        <f>'B) D RI'!B91</f>
        <v>Saint-Barthélemy</v>
      </c>
      <c r="C90" s="317">
        <f>'B) D RI'!S91</f>
        <v>77</v>
      </c>
      <c r="D90" s="154">
        <f>'B) D RI'!AA91</f>
        <v>778</v>
      </c>
      <c r="E90" s="315">
        <f>'D) Ecrêtage'!C89</f>
        <v>21802.428816169639</v>
      </c>
      <c r="F90" s="319">
        <f>'E) Fact soc'!G95</f>
        <v>422846.00341937522</v>
      </c>
      <c r="G90" s="316">
        <f>'H) Péréquation directe'!I100</f>
        <v>36875.060592184425</v>
      </c>
      <c r="H90" s="319">
        <f>+'I) Dépenses thématiques'!O89</f>
        <v>-157.26624707398892</v>
      </c>
      <c r="I90" s="316">
        <f>'K) Plafonnement aide'!J89</f>
        <v>0</v>
      </c>
      <c r="J90" s="319">
        <f>'J) Plafonnement effort'!J89</f>
        <v>0</v>
      </c>
      <c r="K90" s="316">
        <f>'L) Plafonnement taux'!Q90</f>
        <v>0</v>
      </c>
      <c r="L90" s="314">
        <f t="shared" si="2"/>
        <v>459563.79776448564</v>
      </c>
      <c r="M90" s="235">
        <f>'M) Police'!O90</f>
        <v>69029.55414782709</v>
      </c>
      <c r="N90" s="235">
        <f t="shared" si="3"/>
        <v>528593.35191231268</v>
      </c>
      <c r="P90" s="322"/>
    </row>
    <row r="91" spans="1:16" s="155" customFormat="1" x14ac:dyDescent="0.25">
      <c r="A91" s="152">
        <f>'B) D RI'!A92</f>
        <v>5537</v>
      </c>
      <c r="B91" s="153" t="str">
        <f>'B) D RI'!B92</f>
        <v>Villars-le-Terroir</v>
      </c>
      <c r="C91" s="317">
        <f>'B) D RI'!S92</f>
        <v>73</v>
      </c>
      <c r="D91" s="154">
        <f>'B) D RI'!AA92</f>
        <v>1213</v>
      </c>
      <c r="E91" s="315">
        <f>'D) Ecrêtage'!C90</f>
        <v>37312.302103659451</v>
      </c>
      <c r="F91" s="319">
        <f>'E) Fact soc'!G96</f>
        <v>634877.59736156557</v>
      </c>
      <c r="G91" s="316">
        <f>'H) Péréquation directe'!I101</f>
        <v>195912.77878138446</v>
      </c>
      <c r="H91" s="319">
        <f>+'I) Dépenses thématiques'!O90</f>
        <v>-22046.906340632147</v>
      </c>
      <c r="I91" s="316">
        <f>'K) Plafonnement aide'!J90</f>
        <v>0</v>
      </c>
      <c r="J91" s="319">
        <f>'J) Plafonnement effort'!J90</f>
        <v>0</v>
      </c>
      <c r="K91" s="316">
        <f>'L) Plafonnement taux'!Q91</f>
        <v>0</v>
      </c>
      <c r="L91" s="314">
        <f t="shared" si="2"/>
        <v>808743.46980231791</v>
      </c>
      <c r="M91" s="235">
        <f>'M) Police'!O91</f>
        <v>118287.72276195005</v>
      </c>
      <c r="N91" s="235">
        <f t="shared" si="3"/>
        <v>927031.1925642679</v>
      </c>
      <c r="P91" s="322"/>
    </row>
    <row r="92" spans="1:16" s="155" customFormat="1" x14ac:dyDescent="0.25">
      <c r="A92" s="152">
        <f>'B) D RI'!A93</f>
        <v>5539</v>
      </c>
      <c r="B92" s="153" t="str">
        <f>'B) D RI'!B93</f>
        <v>Vuarrens</v>
      </c>
      <c r="C92" s="317">
        <f>'B) D RI'!S93</f>
        <v>75</v>
      </c>
      <c r="D92" s="154">
        <f>'B) D RI'!AA93</f>
        <v>1001</v>
      </c>
      <c r="E92" s="315">
        <f>'D) Ecrêtage'!C91</f>
        <v>28863.357859136209</v>
      </c>
      <c r="F92" s="319">
        <f>'E) Fact soc'!G97</f>
        <v>530167.6931315203</v>
      </c>
      <c r="G92" s="316">
        <f>'H) Péréquation directe'!I102</f>
        <v>102167.20617040963</v>
      </c>
      <c r="H92" s="319">
        <f>+'I) Dépenses thématiques'!O91</f>
        <v>-79189.893735237405</v>
      </c>
      <c r="I92" s="316">
        <f>'K) Plafonnement aide'!J91</f>
        <v>0</v>
      </c>
      <c r="J92" s="319">
        <f>'J) Plafonnement effort'!J91</f>
        <v>0</v>
      </c>
      <c r="K92" s="316">
        <f>'L) Plafonnement taux'!Q92</f>
        <v>0</v>
      </c>
      <c r="L92" s="314">
        <f t="shared" si="2"/>
        <v>553145.00556669245</v>
      </c>
      <c r="M92" s="235">
        <f>'M) Police'!O92</f>
        <v>91209.074655910343</v>
      </c>
      <c r="N92" s="235">
        <f t="shared" si="3"/>
        <v>644354.08022260282</v>
      </c>
      <c r="P92" s="322"/>
    </row>
    <row r="93" spans="1:16" s="155" customFormat="1" x14ac:dyDescent="0.25">
      <c r="A93" s="152">
        <f>'B) D RI'!A94</f>
        <v>5540</v>
      </c>
      <c r="B93" s="153" t="str">
        <f>'B) D RI'!B94</f>
        <v>Montilliez</v>
      </c>
      <c r="C93" s="317">
        <f>'B) D RI'!S94</f>
        <v>74</v>
      </c>
      <c r="D93" s="154">
        <f>'B) D RI'!AA94</f>
        <v>1781</v>
      </c>
      <c r="E93" s="315">
        <f>'D) Ecrêtage'!C92</f>
        <v>59091.740495657374</v>
      </c>
      <c r="F93" s="319">
        <f>'E) Fact soc'!G98</f>
        <v>1010338.2054242165</v>
      </c>
      <c r="G93" s="316">
        <f>'H) Péréquation directe'!I103</f>
        <v>348920.73280259571</v>
      </c>
      <c r="H93" s="319">
        <f>+'I) Dépenses thématiques'!O92</f>
        <v>-647877.88821704942</v>
      </c>
      <c r="I93" s="316">
        <f>'K) Plafonnement aide'!J92</f>
        <v>0</v>
      </c>
      <c r="J93" s="319">
        <f>'J) Plafonnement effort'!J92</f>
        <v>0</v>
      </c>
      <c r="K93" s="316">
        <f>'L) Plafonnement taux'!Q93</f>
        <v>0</v>
      </c>
      <c r="L93" s="314">
        <f>F93+G93+H93+I93+J93+K93</f>
        <v>711381.05000976264</v>
      </c>
      <c r="M93" s="235">
        <f>'M) Police'!O93</f>
        <v>187880.47120225534</v>
      </c>
      <c r="N93" s="235">
        <f t="shared" si="3"/>
        <v>899261.52121201798</v>
      </c>
      <c r="P93" s="322"/>
    </row>
    <row r="94" spans="1:16" s="155" customFormat="1" x14ac:dyDescent="0.25">
      <c r="A94" s="152">
        <f>'B) D RI'!A95</f>
        <v>5541</v>
      </c>
      <c r="B94" s="153" t="str">
        <f>'B) D RI'!B95</f>
        <v>Goumoëns</v>
      </c>
      <c r="C94" s="317">
        <f>'B) D RI'!S95</f>
        <v>77</v>
      </c>
      <c r="D94" s="154">
        <f>'B) D RI'!AA95</f>
        <v>1119</v>
      </c>
      <c r="E94" s="315">
        <f>'D) Ecrêtage'!C93</f>
        <v>35230.967112736034</v>
      </c>
      <c r="F94" s="319">
        <f>'E) Fact soc'!G99</f>
        <v>609825.67535833851</v>
      </c>
      <c r="G94" s="316">
        <f>'H) Péréquation directe'!I104</f>
        <v>196130.62070700387</v>
      </c>
      <c r="H94" s="319">
        <f>+'I) Dépenses thématiques'!O93</f>
        <v>-79427.368854255765</v>
      </c>
      <c r="I94" s="316">
        <f>'K) Plafonnement aide'!J93</f>
        <v>0</v>
      </c>
      <c r="J94" s="319">
        <f>'J) Plafonnement effort'!J93</f>
        <v>0</v>
      </c>
      <c r="K94" s="316">
        <f>'L) Plafonnement taux'!Q94</f>
        <v>0</v>
      </c>
      <c r="L94" s="314">
        <f>F94+G94+H94+I94+J94+K94</f>
        <v>726528.92721108661</v>
      </c>
      <c r="M94" s="235">
        <f>'M) Police'!O94</f>
        <v>111820.04969529333</v>
      </c>
      <c r="N94" s="235">
        <f t="shared" si="3"/>
        <v>838348.97690637992</v>
      </c>
      <c r="P94" s="322"/>
    </row>
    <row r="95" spans="1:16" s="155" customFormat="1" x14ac:dyDescent="0.25">
      <c r="A95" s="152">
        <f>'B) D RI'!A96</f>
        <v>5551</v>
      </c>
      <c r="B95" s="153" t="str">
        <f>'B) D RI'!B96</f>
        <v>Bonvillars</v>
      </c>
      <c r="C95" s="317">
        <f>'B) D RI'!S96</f>
        <v>55</v>
      </c>
      <c r="D95" s="154">
        <f>'B) D RI'!AA96</f>
        <v>505</v>
      </c>
      <c r="E95" s="315">
        <f>'D) Ecrêtage'!C94</f>
        <v>21415.305138743261</v>
      </c>
      <c r="F95" s="319">
        <f>'E) Fact soc'!G100</f>
        <v>372848.06914909289</v>
      </c>
      <c r="G95" s="316">
        <f>'H) Péréquation directe'!I105</f>
        <v>356601.73692305246</v>
      </c>
      <c r="H95" s="319">
        <f>+'I) Dépenses thématiques'!O94</f>
        <v>-61105.122035013454</v>
      </c>
      <c r="I95" s="316">
        <f>'K) Plafonnement aide'!J94</f>
        <v>0</v>
      </c>
      <c r="J95" s="319">
        <f>'J) Plafonnement effort'!J94</f>
        <v>0</v>
      </c>
      <c r="K95" s="316">
        <f>'L) Plafonnement taux'!Q95</f>
        <v>0</v>
      </c>
      <c r="L95" s="314">
        <f t="shared" si="2"/>
        <v>668344.68403713196</v>
      </c>
      <c r="M95" s="235">
        <f>'M) Police'!O95</f>
        <v>66698.806882618825</v>
      </c>
      <c r="N95" s="235">
        <f t="shared" si="3"/>
        <v>735043.49091975077</v>
      </c>
      <c r="P95" s="322"/>
    </row>
    <row r="96" spans="1:16" s="155" customFormat="1" x14ac:dyDescent="0.25">
      <c r="A96" s="152">
        <f>'B) D RI'!A97</f>
        <v>5552</v>
      </c>
      <c r="B96" s="153" t="str">
        <f>'B) D RI'!B97</f>
        <v>Bullet</v>
      </c>
      <c r="C96" s="317">
        <f>'B) D RI'!S97</f>
        <v>73</v>
      </c>
      <c r="D96" s="154">
        <f>'B) D RI'!AA97</f>
        <v>655</v>
      </c>
      <c r="E96" s="315">
        <f>'D) Ecrêtage'!C95</f>
        <v>17732.087898586105</v>
      </c>
      <c r="F96" s="319">
        <f>'E) Fact soc'!G101</f>
        <v>323250.94462396111</v>
      </c>
      <c r="G96" s="316">
        <f>'H) Péréquation directe'!I106</f>
        <v>31446.395894623129</v>
      </c>
      <c r="H96" s="319">
        <f>+'I) Dépenses thématiques'!O95</f>
        <v>-211613.5400584375</v>
      </c>
      <c r="I96" s="316">
        <f>'K) Plafonnement aide'!J95</f>
        <v>0</v>
      </c>
      <c r="J96" s="319">
        <f>'J) Plafonnement effort'!J95</f>
        <v>0</v>
      </c>
      <c r="K96" s="316">
        <f>'L) Plafonnement taux'!Q96</f>
        <v>0</v>
      </c>
      <c r="L96" s="314">
        <f t="shared" si="2"/>
        <v>143083.80046014674</v>
      </c>
      <c r="M96" s="235">
        <f>'M) Police'!O96</f>
        <v>55874.607931207618</v>
      </c>
      <c r="N96" s="235">
        <f t="shared" si="3"/>
        <v>198958.40839135437</v>
      </c>
      <c r="P96" s="322"/>
    </row>
    <row r="97" spans="1:16" s="155" customFormat="1" x14ac:dyDescent="0.25">
      <c r="A97" s="152">
        <f>'B) D RI'!A98</f>
        <v>5553</v>
      </c>
      <c r="B97" s="153" t="str">
        <f>'B) D RI'!B98</f>
        <v>Champagne</v>
      </c>
      <c r="C97" s="317">
        <f>'B) D RI'!S98</f>
        <v>65</v>
      </c>
      <c r="D97" s="154">
        <f>'B) D RI'!AA98</f>
        <v>1034</v>
      </c>
      <c r="E97" s="315">
        <f>'D) Ecrêtage'!C96</f>
        <v>38083.02347761167</v>
      </c>
      <c r="F97" s="319">
        <f>'E) Fact soc'!G102</f>
        <v>717821.93809368927</v>
      </c>
      <c r="G97" s="316">
        <f>'H) Péréquation directe'!I107</f>
        <v>496778.72972541873</v>
      </c>
      <c r="H97" s="319">
        <f>+'I) Dépenses thématiques'!O96</f>
        <v>-297995.03963370627</v>
      </c>
      <c r="I97" s="316">
        <f>'K) Plafonnement aide'!J96</f>
        <v>0</v>
      </c>
      <c r="J97" s="319">
        <f>'J) Plafonnement effort'!J96</f>
        <v>0</v>
      </c>
      <c r="K97" s="316">
        <f>'L) Plafonnement taux'!Q97</f>
        <v>0</v>
      </c>
      <c r="L97" s="314">
        <f t="shared" si="2"/>
        <v>916605.62818540167</v>
      </c>
      <c r="M97" s="235">
        <f>'M) Police'!O97</f>
        <v>118943.5389917023</v>
      </c>
      <c r="N97" s="235">
        <f t="shared" si="3"/>
        <v>1035549.1671771039</v>
      </c>
      <c r="P97" s="322"/>
    </row>
    <row r="98" spans="1:16" s="155" customFormat="1" x14ac:dyDescent="0.25">
      <c r="A98" s="152">
        <f>'B) D RI'!A99</f>
        <v>5554</v>
      </c>
      <c r="B98" s="153" t="str">
        <f>'B) D RI'!B99</f>
        <v>Concise</v>
      </c>
      <c r="C98" s="317">
        <f>'B) D RI'!S99</f>
        <v>75</v>
      </c>
      <c r="D98" s="154">
        <f>'B) D RI'!AA99</f>
        <v>995</v>
      </c>
      <c r="E98" s="315">
        <f>'D) Ecrêtage'!C97</f>
        <v>29757.199499444905</v>
      </c>
      <c r="F98" s="319">
        <f>'E) Fact soc'!G103</f>
        <v>599374.17951420229</v>
      </c>
      <c r="G98" s="316">
        <f>'H) Péréquation directe'!I108</f>
        <v>147279.21793804743</v>
      </c>
      <c r="H98" s="319">
        <f>+'I) Dépenses thématiques'!O97</f>
        <v>-134299.98595218218</v>
      </c>
      <c r="I98" s="316">
        <f>'K) Plafonnement aide'!J97</f>
        <v>0</v>
      </c>
      <c r="J98" s="319">
        <f>'J) Plafonnement effort'!J97</f>
        <v>0</v>
      </c>
      <c r="K98" s="316">
        <f>'L) Plafonnement taux'!Q98</f>
        <v>0</v>
      </c>
      <c r="L98" s="314">
        <f t="shared" si="2"/>
        <v>612353.41150006745</v>
      </c>
      <c r="M98" s="235">
        <f>'M) Police'!O98</f>
        <v>94224.75394882512</v>
      </c>
      <c r="N98" s="235">
        <f t="shared" si="3"/>
        <v>706578.16544889263</v>
      </c>
      <c r="P98" s="322"/>
    </row>
    <row r="99" spans="1:16" s="155" customFormat="1" x14ac:dyDescent="0.25">
      <c r="A99" s="152">
        <f>'B) D RI'!A100</f>
        <v>5555</v>
      </c>
      <c r="B99" s="153" t="str">
        <f>'B) D RI'!B100</f>
        <v>Corcelles-près-Concise</v>
      </c>
      <c r="C99" s="317">
        <f>'B) D RI'!S100</f>
        <v>71</v>
      </c>
      <c r="D99" s="154">
        <f>'B) D RI'!AA100</f>
        <v>401</v>
      </c>
      <c r="E99" s="315">
        <f>'D) Ecrêtage'!C98</f>
        <v>13026.26930420642</v>
      </c>
      <c r="F99" s="319">
        <f>'E) Fact soc'!G104</f>
        <v>247072.65525673362</v>
      </c>
      <c r="G99" s="316">
        <f>'H) Péréquation directe'!I109</f>
        <v>114933.62636266882</v>
      </c>
      <c r="H99" s="319">
        <f>+'I) Dépenses thématiques'!O98</f>
        <v>-157008.27875836025</v>
      </c>
      <c r="I99" s="316">
        <f>'K) Plafonnement aide'!J98</f>
        <v>0</v>
      </c>
      <c r="J99" s="319">
        <f>'J) Plafonnement effort'!J98</f>
        <v>0</v>
      </c>
      <c r="K99" s="316">
        <f>'L) Plafonnement taux'!Q99</f>
        <v>0</v>
      </c>
      <c r="L99" s="314">
        <f t="shared" si="2"/>
        <v>204998.00286104222</v>
      </c>
      <c r="M99" s="235">
        <f>'M) Police'!O99</f>
        <v>40892.210273696241</v>
      </c>
      <c r="N99" s="235">
        <f t="shared" si="3"/>
        <v>245890.21313473844</v>
      </c>
      <c r="P99" s="322"/>
    </row>
    <row r="100" spans="1:16" s="155" customFormat="1" x14ac:dyDescent="0.25">
      <c r="A100" s="152">
        <f>'B) D RI'!A101</f>
        <v>5556</v>
      </c>
      <c r="B100" s="153" t="str">
        <f>'B) D RI'!B101</f>
        <v>Fiez</v>
      </c>
      <c r="C100" s="317">
        <f>'B) D RI'!S101</f>
        <v>69</v>
      </c>
      <c r="D100" s="154">
        <f>'B) D RI'!AA101</f>
        <v>447</v>
      </c>
      <c r="E100" s="315">
        <f>'D) Ecrêtage'!C99</f>
        <v>12681.485348367609</v>
      </c>
      <c r="F100" s="319">
        <f>'E) Fact soc'!G105</f>
        <v>243486.56023046665</v>
      </c>
      <c r="G100" s="316">
        <f>'H) Péréquation directe'!I110</f>
        <v>62142.223019746569</v>
      </c>
      <c r="H100" s="319">
        <f>+'I) Dépenses thématiques'!O99</f>
        <v>-34453.00102734824</v>
      </c>
      <c r="I100" s="316">
        <f>'K) Plafonnement aide'!J99</f>
        <v>0</v>
      </c>
      <c r="J100" s="319">
        <f>'J) Plafonnement effort'!J99</f>
        <v>0</v>
      </c>
      <c r="K100" s="316">
        <f>'L) Plafonnement taux'!Q100</f>
        <v>0</v>
      </c>
      <c r="L100" s="314">
        <f t="shared" si="2"/>
        <v>271175.78222286503</v>
      </c>
      <c r="M100" s="235">
        <f>'M) Police'!O100</f>
        <v>40152.532624853426</v>
      </c>
      <c r="N100" s="235">
        <f t="shared" si="3"/>
        <v>311328.31484771846</v>
      </c>
      <c r="P100" s="322"/>
    </row>
    <row r="101" spans="1:16" s="155" customFormat="1" x14ac:dyDescent="0.25">
      <c r="A101" s="152">
        <f>'B) D RI'!A102</f>
        <v>5557</v>
      </c>
      <c r="B101" s="153" t="str">
        <f>'B) D RI'!B102</f>
        <v>Fontaines-sur-Grandson</v>
      </c>
      <c r="C101" s="317">
        <f>'B) D RI'!S102</f>
        <v>69</v>
      </c>
      <c r="D101" s="154">
        <f>'B) D RI'!AA102</f>
        <v>218</v>
      </c>
      <c r="E101" s="315">
        <f>'D) Ecrêtage'!C100</f>
        <v>5466.9806268353996</v>
      </c>
      <c r="F101" s="319">
        <f>'E) Fact soc'!G106</f>
        <v>105640.87180216327</v>
      </c>
      <c r="G101" s="316">
        <f>'H) Péréquation directe'!I111</f>
        <v>2161.4123895065131</v>
      </c>
      <c r="H101" s="319">
        <f>+'I) Dépenses thématiques'!O100</f>
        <v>-58532.731499590307</v>
      </c>
      <c r="I101" s="316">
        <f>'K) Plafonnement aide'!J100</f>
        <v>0</v>
      </c>
      <c r="J101" s="319">
        <f>'J) Plafonnement effort'!J100</f>
        <v>0</v>
      </c>
      <c r="K101" s="316">
        <f>'L) Plafonnement taux'!Q101</f>
        <v>0</v>
      </c>
      <c r="L101" s="314">
        <f t="shared" si="2"/>
        <v>49269.552692079473</v>
      </c>
      <c r="M101" s="235">
        <f>'M) Police'!O101</f>
        <v>17076.911509552789</v>
      </c>
      <c r="N101" s="235">
        <f t="shared" si="3"/>
        <v>66346.464201632261</v>
      </c>
      <c r="P101" s="322"/>
    </row>
    <row r="102" spans="1:16" s="155" customFormat="1" x14ac:dyDescent="0.25">
      <c r="A102" s="152">
        <f>'B) D RI'!A103</f>
        <v>5559</v>
      </c>
      <c r="B102" s="153" t="str">
        <f>'B) D RI'!B103</f>
        <v>Giez</v>
      </c>
      <c r="C102" s="317">
        <f>'B) D RI'!S103</f>
        <v>66</v>
      </c>
      <c r="D102" s="154">
        <f>'B) D RI'!AA103</f>
        <v>412</v>
      </c>
      <c r="E102" s="315">
        <f>'D) Ecrêtage'!C101</f>
        <v>19176.421195753639</v>
      </c>
      <c r="F102" s="319">
        <f>'E) Fact soc'!G107</f>
        <v>420879.45642216172</v>
      </c>
      <c r="G102" s="316">
        <f>'H) Péréquation directe'!I112</f>
        <v>337497.7997520417</v>
      </c>
      <c r="H102" s="319">
        <f>+'I) Dépenses thématiques'!O101</f>
        <v>-15285.630927702647</v>
      </c>
      <c r="I102" s="316">
        <f>'K) Plafonnement aide'!J101</f>
        <v>0</v>
      </c>
      <c r="J102" s="319">
        <f>'J) Plafonnement effort'!J101</f>
        <v>0</v>
      </c>
      <c r="K102" s="316">
        <f>'L) Plafonnement taux'!Q102</f>
        <v>0</v>
      </c>
      <c r="L102" s="314">
        <f t="shared" si="2"/>
        <v>743091.62524650083</v>
      </c>
      <c r="M102" s="235">
        <f>'M) Police'!O102</f>
        <v>59547.887884442702</v>
      </c>
      <c r="N102" s="235">
        <f t="shared" si="3"/>
        <v>802639.51313094352</v>
      </c>
      <c r="P102" s="322"/>
    </row>
    <row r="103" spans="1:16" s="155" customFormat="1" x14ac:dyDescent="0.25">
      <c r="A103" s="152">
        <f>'B) D RI'!A104</f>
        <v>5560</v>
      </c>
      <c r="B103" s="153" t="str">
        <f>'B) D RI'!B104</f>
        <v>Grandevent</v>
      </c>
      <c r="C103" s="317">
        <f>'B) D RI'!S104</f>
        <v>68</v>
      </c>
      <c r="D103" s="154">
        <f>'B) D RI'!AA104</f>
        <v>238</v>
      </c>
      <c r="E103" s="315">
        <f>'D) Ecrêtage'!C102</f>
        <v>7435.5518015193766</v>
      </c>
      <c r="F103" s="319">
        <f>'E) Fact soc'!G108</f>
        <v>136210.75979641112</v>
      </c>
      <c r="G103" s="316">
        <f>'H) Péréquation directe'!I113</f>
        <v>61648.71714824115</v>
      </c>
      <c r="H103" s="319">
        <f>+'I) Dépenses thématiques'!O102</f>
        <v>-28494.845873024427</v>
      </c>
      <c r="I103" s="316">
        <f>'K) Plafonnement aide'!J102</f>
        <v>0</v>
      </c>
      <c r="J103" s="319">
        <f>'J) Plafonnement effort'!J102</f>
        <v>0</v>
      </c>
      <c r="K103" s="316">
        <f>'L) Plafonnement taux'!Q103</f>
        <v>0</v>
      </c>
      <c r="L103" s="314">
        <f t="shared" si="2"/>
        <v>169364.63107162784</v>
      </c>
      <c r="M103" s="235">
        <f>'M) Police'!O103</f>
        <v>23522.016611900246</v>
      </c>
      <c r="N103" s="235">
        <f t="shared" si="3"/>
        <v>192886.64768352808</v>
      </c>
      <c r="P103" s="322"/>
    </row>
    <row r="104" spans="1:16" s="155" customFormat="1" x14ac:dyDescent="0.25">
      <c r="A104" s="152">
        <f>'B) D RI'!A105</f>
        <v>5561</v>
      </c>
      <c r="B104" s="153" t="str">
        <f>'B) D RI'!B105</f>
        <v>Grandson</v>
      </c>
      <c r="C104" s="317">
        <f>'B) D RI'!S105</f>
        <v>69</v>
      </c>
      <c r="D104" s="154">
        <f>'B) D RI'!AA105</f>
        <v>3360</v>
      </c>
      <c r="E104" s="315">
        <f>'D) Ecrêtage'!C103</f>
        <v>121785.01104961828</v>
      </c>
      <c r="F104" s="319">
        <f>'E) Fact soc'!G109</f>
        <v>2360178.7634896985</v>
      </c>
      <c r="G104" s="316">
        <f>'H) Péréquation directe'!I114</f>
        <v>920349.96645263117</v>
      </c>
      <c r="H104" s="319">
        <f>+'I) Dépenses thématiques'!O103</f>
        <v>-801150.22941584501</v>
      </c>
      <c r="I104" s="316">
        <f>'K) Plafonnement aide'!J103</f>
        <v>0</v>
      </c>
      <c r="J104" s="319">
        <f>'J) Plafonnement effort'!J103</f>
        <v>0</v>
      </c>
      <c r="K104" s="316">
        <f>'L) Plafonnement taux'!Q104</f>
        <v>0</v>
      </c>
      <c r="L104" s="314">
        <f t="shared" si="2"/>
        <v>2479378.5005264846</v>
      </c>
      <c r="M104" s="235">
        <f>'M) Police'!O104</f>
        <v>387505.35722942004</v>
      </c>
      <c r="N104" s="235">
        <f t="shared" si="3"/>
        <v>2866883.8577559046</v>
      </c>
      <c r="P104" s="322"/>
    </row>
    <row r="105" spans="1:16" s="155" customFormat="1" x14ac:dyDescent="0.25">
      <c r="A105" s="152">
        <f>'B) D RI'!A106</f>
        <v>5562</v>
      </c>
      <c r="B105" s="153" t="str">
        <f>'B) D RI'!B106</f>
        <v>Mauborget</v>
      </c>
      <c r="C105" s="317">
        <f>'B) D RI'!S106</f>
        <v>70</v>
      </c>
      <c r="D105" s="154">
        <f>'B) D RI'!AA106</f>
        <v>122</v>
      </c>
      <c r="E105" s="315">
        <f>'D) Ecrêtage'!C104</f>
        <v>5293.9932786811205</v>
      </c>
      <c r="F105" s="319">
        <f>'E) Fact soc'!G110</f>
        <v>98641.978442553227</v>
      </c>
      <c r="G105" s="316">
        <f>'H) Péréquation directe'!I115</f>
        <v>88736.913188738545</v>
      </c>
      <c r="H105" s="319">
        <f>+'I) Dépenses thématiques'!O104</f>
        <v>-15658.006391682602</v>
      </c>
      <c r="I105" s="316">
        <f>'K) Plafonnement aide'!J104</f>
        <v>0</v>
      </c>
      <c r="J105" s="319">
        <f>'J) Plafonnement effort'!J104</f>
        <v>0</v>
      </c>
      <c r="K105" s="316">
        <f>'L) Plafonnement taux'!Q105</f>
        <v>0</v>
      </c>
      <c r="L105" s="314">
        <f t="shared" si="2"/>
        <v>171720.88523960917</v>
      </c>
      <c r="M105" s="235">
        <f>'M) Police'!O105</f>
        <v>16714.063465576408</v>
      </c>
      <c r="N105" s="235">
        <f t="shared" si="3"/>
        <v>188434.94870518558</v>
      </c>
      <c r="P105" s="322"/>
    </row>
    <row r="106" spans="1:16" s="155" customFormat="1" x14ac:dyDescent="0.25">
      <c r="A106" s="152">
        <f>'B) D RI'!A107</f>
        <v>5563</v>
      </c>
      <c r="B106" s="153" t="str">
        <f>'B) D RI'!B107</f>
        <v>Mutrux</v>
      </c>
      <c r="C106" s="317">
        <f>'B) D RI'!S107</f>
        <v>78.5</v>
      </c>
      <c r="D106" s="154">
        <f>'B) D RI'!AA107</f>
        <v>158</v>
      </c>
      <c r="E106" s="315">
        <f>'D) Ecrêtage'!C105</f>
        <v>3292.4675996165679</v>
      </c>
      <c r="F106" s="319">
        <f>'E) Fact soc'!G111</f>
        <v>56158.012360125525</v>
      </c>
      <c r="G106" s="316">
        <f>'H) Péréquation directe'!I116</f>
        <v>-45818.106211827035</v>
      </c>
      <c r="H106" s="319">
        <f>+'I) Dépenses thématiques'!O105</f>
        <v>-30308.287707354906</v>
      </c>
      <c r="I106" s="316">
        <f>'K) Plafonnement aide'!J105</f>
        <v>0</v>
      </c>
      <c r="J106" s="319">
        <f>'J) Plafonnement effort'!J105</f>
        <v>0</v>
      </c>
      <c r="K106" s="316">
        <f>'L) Plafonnement taux'!Q106</f>
        <v>0</v>
      </c>
      <c r="L106" s="314">
        <f t="shared" si="2"/>
        <v>-19968.381559056415</v>
      </c>
      <c r="M106" s="235">
        <f>'M) Police'!O106</f>
        <v>10400.51138523294</v>
      </c>
      <c r="N106" s="235">
        <f t="shared" si="3"/>
        <v>-9567.8701738234759</v>
      </c>
      <c r="P106" s="322"/>
    </row>
    <row r="107" spans="1:16" s="155" customFormat="1" x14ac:dyDescent="0.25">
      <c r="A107" s="152">
        <f>'B) D RI'!A108</f>
        <v>5564</v>
      </c>
      <c r="B107" s="153" t="str">
        <f>'B) D RI'!B108</f>
        <v>Novalles</v>
      </c>
      <c r="C107" s="317">
        <f>'B) D RI'!S108</f>
        <v>76</v>
      </c>
      <c r="D107" s="154">
        <f>'B) D RI'!AA108</f>
        <v>101</v>
      </c>
      <c r="E107" s="315">
        <f>'D) Ecrêtage'!C106</f>
        <v>2878.9025109575691</v>
      </c>
      <c r="F107" s="319">
        <f>'E) Fact soc'!G112</f>
        <v>58038.870099978303</v>
      </c>
      <c r="G107" s="316">
        <f>'H) Péréquation directe'!I117</f>
        <v>7917.6211378754524</v>
      </c>
      <c r="H107" s="319">
        <f>+'I) Dépenses thématiques'!O106</f>
        <v>-11981.757094914847</v>
      </c>
      <c r="I107" s="316">
        <f>'K) Plafonnement aide'!J106</f>
        <v>0</v>
      </c>
      <c r="J107" s="319">
        <f>'J) Plafonnement effort'!J106</f>
        <v>0</v>
      </c>
      <c r="K107" s="316">
        <f>'L) Plafonnement taux'!Q107</f>
        <v>0</v>
      </c>
      <c r="L107" s="314">
        <f t="shared" si="2"/>
        <v>53974.734142938905</v>
      </c>
      <c r="M107" s="235">
        <f>'M) Police'!O107</f>
        <v>9225.5653371051321</v>
      </c>
      <c r="N107" s="235">
        <f t="shared" si="3"/>
        <v>63200.299480044036</v>
      </c>
      <c r="P107" s="322"/>
    </row>
    <row r="108" spans="1:16" s="155" customFormat="1" x14ac:dyDescent="0.25">
      <c r="A108" s="152">
        <f>'B) D RI'!A109</f>
        <v>5565</v>
      </c>
      <c r="B108" s="153" t="str">
        <f>'B) D RI'!B109</f>
        <v>Onnens</v>
      </c>
      <c r="C108" s="317">
        <f>'B) D RI'!S109</f>
        <v>65</v>
      </c>
      <c r="D108" s="154">
        <f>'B) D RI'!AA109</f>
        <v>494</v>
      </c>
      <c r="E108" s="315">
        <f>'D) Ecrêtage'!C107</f>
        <v>22496.162634074011</v>
      </c>
      <c r="F108" s="319">
        <f>'E) Fact soc'!G113</f>
        <v>392942.0755701171</v>
      </c>
      <c r="G108" s="316">
        <f>'H) Péréquation directe'!I118</f>
        <v>394590.80646739836</v>
      </c>
      <c r="H108" s="319">
        <f>+'I) Dépenses thématiques'!O107</f>
        <v>-83941.163535381667</v>
      </c>
      <c r="I108" s="316">
        <f>'K) Plafonnement aide'!J107</f>
        <v>0</v>
      </c>
      <c r="J108" s="319">
        <f>'J) Plafonnement effort'!J107</f>
        <v>0</v>
      </c>
      <c r="K108" s="316">
        <f>'L) Plafonnement taux'!Q108</f>
        <v>0</v>
      </c>
      <c r="L108" s="314">
        <f t="shared" si="2"/>
        <v>703591.71850213385</v>
      </c>
      <c r="M108" s="235">
        <f>'M) Police'!O108</f>
        <v>69714.471835006596</v>
      </c>
      <c r="N108" s="235">
        <f t="shared" si="3"/>
        <v>773306.19033714046</v>
      </c>
      <c r="P108" s="322"/>
    </row>
    <row r="109" spans="1:16" s="155" customFormat="1" x14ac:dyDescent="0.25">
      <c r="A109" s="152">
        <f>'B) D RI'!A110</f>
        <v>5566</v>
      </c>
      <c r="B109" s="153" t="str">
        <f>'B) D RI'!B110</f>
        <v>Provence</v>
      </c>
      <c r="C109" s="317">
        <f>'B) D RI'!S110</f>
        <v>81</v>
      </c>
      <c r="D109" s="154">
        <f>'B) D RI'!AA110</f>
        <v>373</v>
      </c>
      <c r="E109" s="315">
        <f>'D) Ecrêtage'!C108</f>
        <v>8235.6819296483191</v>
      </c>
      <c r="F109" s="319">
        <f>'E) Fact soc'!G114</f>
        <v>172518.88628978247</v>
      </c>
      <c r="G109" s="316">
        <f>'H) Péréquation directe'!I119</f>
        <v>-100883.88787676604</v>
      </c>
      <c r="H109" s="319">
        <f>+'I) Dépenses thématiques'!O108</f>
        <v>-124135.74018087419</v>
      </c>
      <c r="I109" s="316">
        <f>'K) Plafonnement aide'!J108</f>
        <v>0</v>
      </c>
      <c r="J109" s="319">
        <f>'J) Plafonnement effort'!J108</f>
        <v>0</v>
      </c>
      <c r="K109" s="316">
        <f>'L) Plafonnement taux'!Q109</f>
        <v>0</v>
      </c>
      <c r="L109" s="314">
        <f t="shared" si="2"/>
        <v>-52500.741767857748</v>
      </c>
      <c r="M109" s="235">
        <f>'M) Police'!O109</f>
        <v>26022.017567095878</v>
      </c>
      <c r="N109" s="235">
        <f t="shared" si="3"/>
        <v>-26478.72420076187</v>
      </c>
      <c r="P109" s="322"/>
    </row>
    <row r="110" spans="1:16" s="155" customFormat="1" x14ac:dyDescent="0.25">
      <c r="A110" s="152">
        <f>'B) D RI'!A111</f>
        <v>5568</v>
      </c>
      <c r="B110" s="153" t="str">
        <f>'B) D RI'!B111</f>
        <v>Sainte-Croix</v>
      </c>
      <c r="C110" s="317">
        <f>'B) D RI'!S111</f>
        <v>70</v>
      </c>
      <c r="D110" s="154">
        <f>'B) D RI'!AA111</f>
        <v>4845</v>
      </c>
      <c r="E110" s="315">
        <f>'D) Ecrêtage'!C109</f>
        <v>101939.03540611925</v>
      </c>
      <c r="F110" s="319">
        <f>'E) Fact soc'!G115</f>
        <v>2376017.2821776848</v>
      </c>
      <c r="G110" s="316">
        <f>'H) Péréquation directe'!I120</f>
        <v>-1923547.3576056969</v>
      </c>
      <c r="H110" s="319">
        <f>+'I) Dépenses thématiques'!O109</f>
        <v>-1076052.6330015236</v>
      </c>
      <c r="I110" s="316">
        <f>'K) Plafonnement aide'!J109</f>
        <v>0</v>
      </c>
      <c r="J110" s="319">
        <f>'J) Plafonnement effort'!J109</f>
        <v>0</v>
      </c>
      <c r="K110" s="316">
        <f>'L) Plafonnement taux'!Q110</f>
        <v>0</v>
      </c>
      <c r="L110" s="314">
        <f t="shared" si="2"/>
        <v>-623582.70842953562</v>
      </c>
      <c r="M110" s="235">
        <f>'M) Police'!O110</f>
        <v>320848.3809295246</v>
      </c>
      <c r="N110" s="235">
        <f t="shared" si="3"/>
        <v>-302734.32750001102</v>
      </c>
      <c r="P110" s="322"/>
    </row>
    <row r="111" spans="1:16" s="155" customFormat="1" x14ac:dyDescent="0.25">
      <c r="A111" s="152">
        <f>'B) D RI'!A112</f>
        <v>5571</v>
      </c>
      <c r="B111" s="153" t="str">
        <f>'B) D RI'!B112</f>
        <v>Tévenon</v>
      </c>
      <c r="C111" s="317">
        <f>'B) D RI'!S112</f>
        <v>73</v>
      </c>
      <c r="D111" s="154">
        <f>'B) D RI'!AA112</f>
        <v>877</v>
      </c>
      <c r="E111" s="315">
        <f>'D) Ecrêtage'!C110</f>
        <v>22492.192645834311</v>
      </c>
      <c r="F111" s="319">
        <f>'E) Fact soc'!G116</f>
        <v>431132.87631471688</v>
      </c>
      <c r="G111" s="316">
        <f>'H) Péréquation directe'!I121</f>
        <v>-9730.4935629794491</v>
      </c>
      <c r="H111" s="319">
        <f>+'I) Dépenses thématiques'!O110</f>
        <v>-117915.30849098388</v>
      </c>
      <c r="I111" s="316">
        <f>'K) Plafonnement aide'!J110</f>
        <v>0</v>
      </c>
      <c r="J111" s="319">
        <f>'J) Plafonnement effort'!J110</f>
        <v>0</v>
      </c>
      <c r="K111" s="316">
        <f>'L) Plafonnement taux'!Q111</f>
        <v>0</v>
      </c>
      <c r="L111" s="314">
        <f t="shared" si="2"/>
        <v>303487.07426075358</v>
      </c>
      <c r="M111" s="235">
        <f>'M) Police'!O111</f>
        <v>70433.460678368254</v>
      </c>
      <c r="N111" s="235">
        <f t="shared" si="3"/>
        <v>373920.5349391218</v>
      </c>
      <c r="P111" s="322"/>
    </row>
    <row r="112" spans="1:16" s="155" customFormat="1" x14ac:dyDescent="0.25">
      <c r="A112" s="152">
        <f>'B) D RI'!A113</f>
        <v>5581</v>
      </c>
      <c r="B112" s="153" t="str">
        <f>'B) D RI'!B113</f>
        <v>Belmont-sur-Lausanne</v>
      </c>
      <c r="C112" s="317">
        <f>'B) D RI'!S113</f>
        <v>69.5</v>
      </c>
      <c r="D112" s="154">
        <f>'B) D RI'!AA113</f>
        <v>3732</v>
      </c>
      <c r="E112" s="315">
        <f>'D) Ecrêtage'!C111</f>
        <v>185422.93708910214</v>
      </c>
      <c r="F112" s="319">
        <f>'E) Fact soc'!G117</f>
        <v>3760439.026456852</v>
      </c>
      <c r="G112" s="316">
        <f>'H) Péréquation directe'!I122</f>
        <v>2571041.095755728</v>
      </c>
      <c r="H112" s="319">
        <f>+'I) Dépenses thématiques'!O111</f>
        <v>-781397.10172772664</v>
      </c>
      <c r="I112" s="316">
        <f>'K) Plafonnement aide'!J111</f>
        <v>0</v>
      </c>
      <c r="J112" s="319">
        <f>'J) Plafonnement effort'!J111</f>
        <v>0</v>
      </c>
      <c r="K112" s="316">
        <f>'L) Plafonnement taux'!Q112</f>
        <v>0</v>
      </c>
      <c r="L112" s="314">
        <f t="shared" si="2"/>
        <v>5550083.0204848526</v>
      </c>
      <c r="M112" s="235">
        <f>'M) Police'!O112</f>
        <v>245756.30439519614</v>
      </c>
      <c r="N112" s="235">
        <f t="shared" si="3"/>
        <v>5795839.3248800486</v>
      </c>
      <c r="P112" s="322"/>
    </row>
    <row r="113" spans="1:16" s="155" customFormat="1" x14ac:dyDescent="0.25">
      <c r="A113" s="152">
        <f>'B) D RI'!A114</f>
        <v>5582</v>
      </c>
      <c r="B113" s="153" t="str">
        <f>'B) D RI'!B114</f>
        <v>Cheseaux-sur-Lausanne</v>
      </c>
      <c r="C113" s="317">
        <f>'B) D RI'!S114</f>
        <v>74.5</v>
      </c>
      <c r="D113" s="154">
        <f>'B) D RI'!AA114</f>
        <v>4338</v>
      </c>
      <c r="E113" s="315">
        <f>'D) Ecrêtage'!C112</f>
        <v>172785.13258345879</v>
      </c>
      <c r="F113" s="319">
        <f>'E) Fact soc'!G118</f>
        <v>3069286.9313248331</v>
      </c>
      <c r="G113" s="316">
        <f>'H) Péréquation directe'!I123</f>
        <v>1533821.3096172917</v>
      </c>
      <c r="H113" s="319">
        <f>+'I) Dépenses thématiques'!O112</f>
        <v>-269667.37418015348</v>
      </c>
      <c r="I113" s="316">
        <f>'K) Plafonnement aide'!J112</f>
        <v>0</v>
      </c>
      <c r="J113" s="319">
        <f>'J) Plafonnement effort'!J112</f>
        <v>0</v>
      </c>
      <c r="K113" s="316">
        <f>'L) Plafonnement taux'!Q113</f>
        <v>0</v>
      </c>
      <c r="L113" s="314">
        <f t="shared" si="2"/>
        <v>4333440.8667619713</v>
      </c>
      <c r="M113" s="235">
        <f>'M) Police'!O113</f>
        <v>548165.50045072311</v>
      </c>
      <c r="N113" s="235">
        <f t="shared" si="3"/>
        <v>4881606.3672126941</v>
      </c>
      <c r="P113" s="322"/>
    </row>
    <row r="114" spans="1:16" s="155" customFormat="1" x14ac:dyDescent="0.25">
      <c r="A114" s="152">
        <f>'B) D RI'!A115</f>
        <v>5583</v>
      </c>
      <c r="B114" s="153" t="str">
        <f>'B) D RI'!B115</f>
        <v>Crissier</v>
      </c>
      <c r="C114" s="317">
        <f>'B) D RI'!S115</f>
        <v>65</v>
      </c>
      <c r="D114" s="154">
        <f>'B) D RI'!AA115</f>
        <v>7905</v>
      </c>
      <c r="E114" s="315">
        <f>'D) Ecrêtage'!C113</f>
        <v>311434.56630958844</v>
      </c>
      <c r="F114" s="319">
        <f>'E) Fact soc'!G119</f>
        <v>6918631.2641988415</v>
      </c>
      <c r="G114" s="316">
        <f>'H) Péréquation directe'!I124</f>
        <v>2031364.2015507128</v>
      </c>
      <c r="H114" s="319">
        <f>+'I) Dépenses thématiques'!O113</f>
        <v>-2315864.2470718906</v>
      </c>
      <c r="I114" s="316">
        <f>'K) Plafonnement aide'!J113</f>
        <v>0</v>
      </c>
      <c r="J114" s="319">
        <f>'J) Plafonnement effort'!J113</f>
        <v>0</v>
      </c>
      <c r="K114" s="316">
        <f>'L) Plafonnement taux'!Q114</f>
        <v>0</v>
      </c>
      <c r="L114" s="314">
        <f t="shared" si="2"/>
        <v>6634131.2186776642</v>
      </c>
      <c r="M114" s="235">
        <f>'M) Police'!O114</f>
        <v>412769.90473075304</v>
      </c>
      <c r="N114" s="235">
        <f t="shared" si="3"/>
        <v>7046901.1234084172</v>
      </c>
      <c r="P114" s="322"/>
    </row>
    <row r="115" spans="1:16" s="155" customFormat="1" x14ac:dyDescent="0.25">
      <c r="A115" s="152">
        <f>'B) D RI'!A116</f>
        <v>5584</v>
      </c>
      <c r="B115" s="153" t="str">
        <f>'B) D RI'!B116</f>
        <v>Epalinges</v>
      </c>
      <c r="C115" s="317">
        <f>'B) D RI'!S116</f>
        <v>66</v>
      </c>
      <c r="D115" s="154">
        <f>'B) D RI'!AA116</f>
        <v>9624</v>
      </c>
      <c r="E115" s="315">
        <f>'D) Ecrêtage'!C114</f>
        <v>462898.41144046158</v>
      </c>
      <c r="F115" s="319">
        <f>'E) Fact soc'!G120</f>
        <v>11376171.513539258</v>
      </c>
      <c r="G115" s="316">
        <f>'H) Péréquation directe'!I125</f>
        <v>4638126.5896817856</v>
      </c>
      <c r="H115" s="319">
        <f>+'I) Dépenses thématiques'!O114</f>
        <v>-3402668.3857556256</v>
      </c>
      <c r="I115" s="316">
        <f>'K) Plafonnement aide'!J114</f>
        <v>0</v>
      </c>
      <c r="J115" s="319">
        <f>'J) Plafonnement effort'!J114</f>
        <v>0</v>
      </c>
      <c r="K115" s="316">
        <f>'L) Plafonnement taux'!Q115</f>
        <v>0</v>
      </c>
      <c r="L115" s="314">
        <f t="shared" si="2"/>
        <v>12611629.717465419</v>
      </c>
      <c r="M115" s="235">
        <f>'M) Police'!O115</f>
        <v>1410809.6697109831</v>
      </c>
      <c r="N115" s="235">
        <f t="shared" si="3"/>
        <v>14022439.387176402</v>
      </c>
      <c r="P115" s="322"/>
    </row>
    <row r="116" spans="1:16" s="155" customFormat="1" x14ac:dyDescent="0.25">
      <c r="A116" s="152">
        <f>'B) D RI'!A117</f>
        <v>5585</v>
      </c>
      <c r="B116" s="153" t="str">
        <f>'B) D RI'!B117</f>
        <v>Jouxtens-Mézery</v>
      </c>
      <c r="C116" s="317">
        <f>'B) D RI'!S117</f>
        <v>53</v>
      </c>
      <c r="D116" s="154">
        <f>'B) D RI'!AA117</f>
        <v>1471</v>
      </c>
      <c r="E116" s="315">
        <f>'D) Ecrêtage'!C115</f>
        <v>219524.13851096807</v>
      </c>
      <c r="F116" s="319">
        <f>'E) Fact soc'!G121</f>
        <v>7215605.836335877</v>
      </c>
      <c r="G116" s="316">
        <f>'H) Péréquation directe'!I126</f>
        <v>4162942.5259221159</v>
      </c>
      <c r="H116" s="319">
        <f>+'I) Dépenses thématiques'!O115</f>
        <v>0</v>
      </c>
      <c r="I116" s="316">
        <f>'K) Plafonnement aide'!J115</f>
        <v>0</v>
      </c>
      <c r="J116" s="319">
        <f>'J) Plafonnement effort'!J115</f>
        <v>-598237.34373152582</v>
      </c>
      <c r="K116" s="316">
        <f>'L) Plafonnement taux'!Q116</f>
        <v>0</v>
      </c>
      <c r="L116" s="314">
        <f t="shared" si="2"/>
        <v>10780311.018526467</v>
      </c>
      <c r="M116" s="235">
        <f>'M) Police'!O116</f>
        <v>412817.20469369926</v>
      </c>
      <c r="N116" s="235">
        <f t="shared" si="3"/>
        <v>11193128.223220166</v>
      </c>
      <c r="P116" s="322"/>
    </row>
    <row r="117" spans="1:16" s="155" customFormat="1" x14ac:dyDescent="0.25">
      <c r="A117" s="152">
        <f>'B) D RI'!A118</f>
        <v>5586</v>
      </c>
      <c r="B117" s="153" t="str">
        <f>'B) D RI'!B118</f>
        <v>Lausanne</v>
      </c>
      <c r="C117" s="317">
        <f>'B) D RI'!S118</f>
        <v>79</v>
      </c>
      <c r="D117" s="154">
        <f>'B) D RI'!AA118</f>
        <v>139720</v>
      </c>
      <c r="E117" s="315">
        <f>'D) Ecrêtage'!C116</f>
        <v>5631743.9365920834</v>
      </c>
      <c r="F117" s="319">
        <f>'E) Fact soc'!G122</f>
        <v>109463235.27782373</v>
      </c>
      <c r="G117" s="316">
        <f>'H) Péréquation directe'!I127</f>
        <v>-42029218.246393412</v>
      </c>
      <c r="H117" s="319">
        <f>+'I) Dépenses thématiques'!O116</f>
        <v>-53467985.964185812</v>
      </c>
      <c r="I117" s="316">
        <f>'K) Plafonnement aide'!J116</f>
        <v>0</v>
      </c>
      <c r="J117" s="319">
        <f>'J) Plafonnement effort'!J116</f>
        <v>0</v>
      </c>
      <c r="K117" s="316">
        <f>'L) Plafonnement taux'!Q117</f>
        <v>0</v>
      </c>
      <c r="L117" s="314">
        <f t="shared" ref="L117:L167" si="4">F117+G117+H117+I117+J117+K117</f>
        <v>13966031.067244507</v>
      </c>
      <c r="M117" s="235">
        <f>'M) Police'!O117</f>
        <v>7464214.5081104329</v>
      </c>
      <c r="N117" s="235">
        <f t="shared" si="3"/>
        <v>21430245.575354941</v>
      </c>
      <c r="P117" s="322"/>
    </row>
    <row r="118" spans="1:16" s="155" customFormat="1" x14ac:dyDescent="0.25">
      <c r="A118" s="152">
        <f>'B) D RI'!A119</f>
        <v>5587</v>
      </c>
      <c r="B118" s="153" t="str">
        <f>'B) D RI'!B119</f>
        <v>Le Mont-sur-Lausanne</v>
      </c>
      <c r="C118" s="317">
        <f>'B) D RI'!S119</f>
        <v>75</v>
      </c>
      <c r="D118" s="154">
        <f>'B) D RI'!AA119</f>
        <v>8516</v>
      </c>
      <c r="E118" s="315">
        <f>'D) Ecrêtage'!C117</f>
        <v>419159.15757031104</v>
      </c>
      <c r="F118" s="319">
        <f>'E) Fact soc'!G123</f>
        <v>8009040.2713324111</v>
      </c>
      <c r="G118" s="316">
        <f>'H) Péréquation directe'!I128</f>
        <v>4570958.9030893287</v>
      </c>
      <c r="H118" s="319">
        <f>+'I) Dépenses thématiques'!O117</f>
        <v>-2400717.1322618397</v>
      </c>
      <c r="I118" s="316">
        <f>'K) Plafonnement aide'!J117</f>
        <v>0</v>
      </c>
      <c r="J118" s="319">
        <f>'J) Plafonnement effort'!J117</f>
        <v>0</v>
      </c>
      <c r="K118" s="316">
        <f>'L) Plafonnement taux'!Q118</f>
        <v>0</v>
      </c>
      <c r="L118" s="314">
        <f t="shared" si="4"/>
        <v>10179282.0421599</v>
      </c>
      <c r="M118" s="235">
        <f>'M) Police'!O118</f>
        <v>1261047.0958841708</v>
      </c>
      <c r="N118" s="235">
        <f t="shared" si="3"/>
        <v>11440329.13804407</v>
      </c>
      <c r="P118" s="322"/>
    </row>
    <row r="119" spans="1:16" s="155" customFormat="1" x14ac:dyDescent="0.25">
      <c r="A119" s="152">
        <f>'B) D RI'!A120</f>
        <v>5588</v>
      </c>
      <c r="B119" s="153" t="str">
        <f>'B) D RI'!B120</f>
        <v>Paudex</v>
      </c>
      <c r="C119" s="317">
        <f>'B) D RI'!S120</f>
        <v>61.5</v>
      </c>
      <c r="D119" s="154">
        <f>'B) D RI'!AA120</f>
        <v>1507</v>
      </c>
      <c r="E119" s="315">
        <f>'D) Ecrêtage'!C118</f>
        <v>128424.0019189813</v>
      </c>
      <c r="F119" s="319">
        <f>'E) Fact soc'!G124</f>
        <v>3424218.6779864561</v>
      </c>
      <c r="G119" s="316">
        <f>'H) Péréquation directe'!I129</f>
        <v>2302615.607984574</v>
      </c>
      <c r="H119" s="319">
        <f>+'I) Dépenses thématiques'!O118</f>
        <v>0</v>
      </c>
      <c r="I119" s="316">
        <f>'K) Plafonnement aide'!J118</f>
        <v>0</v>
      </c>
      <c r="J119" s="319">
        <f>'J) Plafonnement effort'!J118</f>
        <v>0</v>
      </c>
      <c r="K119" s="316">
        <f>'L) Plafonnement taux'!Q119</f>
        <v>0</v>
      </c>
      <c r="L119" s="314">
        <f t="shared" si="4"/>
        <v>5726834.2859710306</v>
      </c>
      <c r="M119" s="235">
        <f>'M) Police'!O119</f>
        <v>170210.91674372662</v>
      </c>
      <c r="N119" s="235">
        <f t="shared" si="3"/>
        <v>5897045.2027147571</v>
      </c>
      <c r="P119" s="322"/>
    </row>
    <row r="120" spans="1:16" s="155" customFormat="1" x14ac:dyDescent="0.25">
      <c r="A120" s="152">
        <f>'B) D RI'!A121</f>
        <v>5589</v>
      </c>
      <c r="B120" s="153" t="str">
        <f>'B) D RI'!B121</f>
        <v>Prilly</v>
      </c>
      <c r="C120" s="317">
        <f>'B) D RI'!S121</f>
        <v>73.5</v>
      </c>
      <c r="D120" s="154">
        <f>'B) D RI'!AA121</f>
        <v>12392</v>
      </c>
      <c r="E120" s="315">
        <f>'D) Ecrêtage'!C119</f>
        <v>381105.28464677284</v>
      </c>
      <c r="F120" s="319">
        <f>'E) Fact soc'!G125</f>
        <v>7109536.4148298251</v>
      </c>
      <c r="G120" s="316">
        <f>'H) Péréquation directe'!I130</f>
        <v>-3175776.1032612771</v>
      </c>
      <c r="H120" s="319">
        <f>+'I) Dépenses thématiques'!O119</f>
        <v>-2671462.0585123529</v>
      </c>
      <c r="I120" s="316">
        <f>'K) Plafonnement aide'!J119</f>
        <v>0</v>
      </c>
      <c r="J120" s="319">
        <f>'J) Plafonnement effort'!J119</f>
        <v>0</v>
      </c>
      <c r="K120" s="316">
        <f>'L) Plafonnement taux'!Q120</f>
        <v>0</v>
      </c>
      <c r="L120" s="314">
        <f t="shared" si="4"/>
        <v>1262298.2530561951</v>
      </c>
      <c r="M120" s="235">
        <f>'M) Police'!O120</f>
        <v>505110.25124827877</v>
      </c>
      <c r="N120" s="235">
        <f t="shared" si="3"/>
        <v>1767408.5043044738</v>
      </c>
      <c r="P120" s="322"/>
    </row>
    <row r="121" spans="1:16" s="155" customFormat="1" x14ac:dyDescent="0.25">
      <c r="A121" s="152">
        <f>'B) D RI'!A122</f>
        <v>5590</v>
      </c>
      <c r="B121" s="153" t="str">
        <f>'B) D RI'!B122</f>
        <v>Pully</v>
      </c>
      <c r="C121" s="317">
        <f>'B) D RI'!S122</f>
        <v>61</v>
      </c>
      <c r="D121" s="154">
        <f>'B) D RI'!AA122</f>
        <v>18336</v>
      </c>
      <c r="E121" s="315">
        <f>'D) Ecrêtage'!C120</f>
        <v>1400746.467371441</v>
      </c>
      <c r="F121" s="319">
        <f>'E) Fact soc'!G126</f>
        <v>39138923.956659891</v>
      </c>
      <c r="G121" s="316">
        <f>'H) Péréquation directe'!I131</f>
        <v>15146214.679203341</v>
      </c>
      <c r="H121" s="319">
        <f>+'I) Dépenses thématiques'!O120</f>
        <v>-2230066.6617270145</v>
      </c>
      <c r="I121" s="316">
        <f>'K) Plafonnement aide'!J120</f>
        <v>0</v>
      </c>
      <c r="J121" s="319">
        <f>'J) Plafonnement effort'!J120</f>
        <v>0</v>
      </c>
      <c r="K121" s="316">
        <f>'L) Plafonnement taux'!Q121</f>
        <v>0</v>
      </c>
      <c r="L121" s="314">
        <f t="shared" si="4"/>
        <v>52055071.974136218</v>
      </c>
      <c r="M121" s="235">
        <f>'M) Police'!O121</f>
        <v>1856524.767755195</v>
      </c>
      <c r="N121" s="235">
        <f t="shared" si="3"/>
        <v>53911596.741891414</v>
      </c>
      <c r="P121" s="322"/>
    </row>
    <row r="122" spans="1:16" s="155" customFormat="1" x14ac:dyDescent="0.25">
      <c r="A122" s="152">
        <f>'B) D RI'!A123</f>
        <v>5591</v>
      </c>
      <c r="B122" s="153" t="str">
        <f>'B) D RI'!B123</f>
        <v>Renens</v>
      </c>
      <c r="C122" s="317">
        <f>'B) D RI'!S123</f>
        <v>78.5</v>
      </c>
      <c r="D122" s="154">
        <f>'B) D RI'!AA123</f>
        <v>20968</v>
      </c>
      <c r="E122" s="315">
        <f>'D) Ecrêtage'!C121</f>
        <v>542865.69746271567</v>
      </c>
      <c r="F122" s="319">
        <f>'E) Fact soc'!G127</f>
        <v>11350086.974473739</v>
      </c>
      <c r="G122" s="316">
        <f>'H) Péréquation directe'!I132</f>
        <v>-14743339.262691248</v>
      </c>
      <c r="H122" s="319">
        <f>+'I) Dépenses thématiques'!O121</f>
        <v>-5923443.249972241</v>
      </c>
      <c r="I122" s="316">
        <f>'K) Plafonnement aide'!J121</f>
        <v>0</v>
      </c>
      <c r="J122" s="319">
        <f>'J) Plafonnement effort'!J121</f>
        <v>0</v>
      </c>
      <c r="K122" s="316">
        <f>'L) Plafonnement taux'!Q122</f>
        <v>0</v>
      </c>
      <c r="L122" s="314">
        <f t="shared" si="4"/>
        <v>-9316695.5381897502</v>
      </c>
      <c r="M122" s="235">
        <f>'M) Police'!O122</f>
        <v>719504.66153628123</v>
      </c>
      <c r="N122" s="235">
        <f t="shared" si="3"/>
        <v>-8597190.8766534682</v>
      </c>
      <c r="P122" s="322"/>
    </row>
    <row r="123" spans="1:16" s="155" customFormat="1" x14ac:dyDescent="0.25">
      <c r="A123" s="152">
        <f>'B) D RI'!A124</f>
        <v>5592</v>
      </c>
      <c r="B123" s="153" t="str">
        <f>'B) D RI'!B124</f>
        <v>Romanel-sur-Lausanne</v>
      </c>
      <c r="C123" s="317">
        <f>'B) D RI'!S124</f>
        <v>70</v>
      </c>
      <c r="D123" s="154">
        <f>'B) D RI'!AA124</f>
        <v>3311</v>
      </c>
      <c r="E123" s="315">
        <f>'D) Ecrêtage'!C122</f>
        <v>113665.67141569764</v>
      </c>
      <c r="F123" s="319">
        <f>'E) Fact soc'!G128</f>
        <v>2005976.8376847163</v>
      </c>
      <c r="G123" s="316">
        <f>'H) Péréquation directe'!I133</f>
        <v>648806.24873828469</v>
      </c>
      <c r="H123" s="319">
        <f>+'I) Dépenses thématiques'!O122</f>
        <v>-236922.06828864524</v>
      </c>
      <c r="I123" s="316">
        <f>'K) Plafonnement aide'!J122</f>
        <v>0</v>
      </c>
      <c r="J123" s="319">
        <f>'J) Plafonnement effort'!J122</f>
        <v>0</v>
      </c>
      <c r="K123" s="316">
        <f>'L) Plafonnement taux'!Q123</f>
        <v>0</v>
      </c>
      <c r="L123" s="314">
        <f t="shared" si="4"/>
        <v>2417861.018134356</v>
      </c>
      <c r="M123" s="235">
        <f>'M) Police'!O123</f>
        <v>355215.6775138661</v>
      </c>
      <c r="N123" s="235">
        <f t="shared" si="3"/>
        <v>2773076.6956482222</v>
      </c>
      <c r="P123" s="322"/>
    </row>
    <row r="124" spans="1:16" s="155" customFormat="1" x14ac:dyDescent="0.25">
      <c r="A124" s="152">
        <f>'B) D RI'!A125</f>
        <v>5601</v>
      </c>
      <c r="B124" s="153" t="str">
        <f>'B) D RI'!B125</f>
        <v>Chexbres</v>
      </c>
      <c r="C124" s="317">
        <f>'B) D RI'!S125</f>
        <v>69</v>
      </c>
      <c r="D124" s="154">
        <f>'B) D RI'!AA125</f>
        <v>2238</v>
      </c>
      <c r="E124" s="315">
        <f>'D) Ecrêtage'!C123</f>
        <v>102425.76498358055</v>
      </c>
      <c r="F124" s="319">
        <f>'E) Fact soc'!G129</f>
        <v>1974085.6185889894</v>
      </c>
      <c r="G124" s="316">
        <f>'H) Péréquation directe'!I134</f>
        <v>1519713.4553330392</v>
      </c>
      <c r="H124" s="319">
        <f>+'I) Dépenses thématiques'!O123</f>
        <v>-229020.6820917312</v>
      </c>
      <c r="I124" s="316">
        <f>'K) Plafonnement aide'!J123</f>
        <v>0</v>
      </c>
      <c r="J124" s="319">
        <f>'J) Plafonnement effort'!J123</f>
        <v>0</v>
      </c>
      <c r="K124" s="316">
        <f>'L) Plafonnement taux'!Q124</f>
        <v>0</v>
      </c>
      <c r="L124" s="314">
        <f t="shared" si="4"/>
        <v>3264778.3918302977</v>
      </c>
      <c r="M124" s="235">
        <f>'M) Police'!O124</f>
        <v>135753.31009409981</v>
      </c>
      <c r="N124" s="235">
        <f t="shared" si="3"/>
        <v>3400531.7019243976</v>
      </c>
      <c r="P124" s="322"/>
    </row>
    <row r="125" spans="1:16" s="155" customFormat="1" x14ac:dyDescent="0.25">
      <c r="A125" s="152">
        <f>'B) D RI'!A126</f>
        <v>5604</v>
      </c>
      <c r="B125" s="153" t="str">
        <f>'B) D RI'!B126</f>
        <v>Forel (Lavaux)</v>
      </c>
      <c r="C125" s="317">
        <f>'B) D RI'!S126</f>
        <v>70</v>
      </c>
      <c r="D125" s="154">
        <f>'B) D RI'!AA126</f>
        <v>2082</v>
      </c>
      <c r="E125" s="315">
        <f>'D) Ecrêtage'!C124</f>
        <v>73155.644895461912</v>
      </c>
      <c r="F125" s="319">
        <f>'E) Fact soc'!G130</f>
        <v>1326682.3243002489</v>
      </c>
      <c r="G125" s="316">
        <f>'H) Péréquation directe'!I135</f>
        <v>587571.24776272778</v>
      </c>
      <c r="H125" s="319">
        <f>+'I) Dépenses thématiques'!O124</f>
        <v>-322879.423989665</v>
      </c>
      <c r="I125" s="316">
        <f>'K) Plafonnement aide'!J124</f>
        <v>0</v>
      </c>
      <c r="J125" s="319">
        <f>'J) Plafonnement effort'!J124</f>
        <v>0</v>
      </c>
      <c r="K125" s="316">
        <f>'L) Plafonnement taux'!Q125</f>
        <v>0</v>
      </c>
      <c r="L125" s="314">
        <f t="shared" si="4"/>
        <v>1591374.1480733117</v>
      </c>
      <c r="M125" s="235">
        <f>'M) Police'!O125</f>
        <v>231194.1181946104</v>
      </c>
      <c r="N125" s="235">
        <f t="shared" si="3"/>
        <v>1822568.266267922</v>
      </c>
      <c r="P125" s="322"/>
    </row>
    <row r="126" spans="1:16" s="155" customFormat="1" x14ac:dyDescent="0.25">
      <c r="A126" s="152">
        <f>'B) D RI'!A127</f>
        <v>5606</v>
      </c>
      <c r="B126" s="153" t="str">
        <f>'B) D RI'!B127</f>
        <v>Lutry</v>
      </c>
      <c r="C126" s="317">
        <f>'B) D RI'!S127</f>
        <v>55.5</v>
      </c>
      <c r="D126" s="154">
        <f>'B) D RI'!AA127</f>
        <v>10285</v>
      </c>
      <c r="E126" s="315">
        <f>'D) Ecrêtage'!C125</f>
        <v>811441.75973886927</v>
      </c>
      <c r="F126" s="319">
        <f>'E) Fact soc'!G131</f>
        <v>22269933.152881712</v>
      </c>
      <c r="G126" s="316">
        <f>'H) Péréquation directe'!I136</f>
        <v>11146176.400391873</v>
      </c>
      <c r="H126" s="319">
        <f>+'I) Dépenses thématiques'!O125</f>
        <v>-2119609.3138680914</v>
      </c>
      <c r="I126" s="316">
        <f>'K) Plafonnement aide'!J125</f>
        <v>0</v>
      </c>
      <c r="J126" s="319">
        <f>'J) Plafonnement effort'!J125</f>
        <v>0</v>
      </c>
      <c r="K126" s="316">
        <f>'L) Plafonnement taux'!Q126</f>
        <v>0</v>
      </c>
      <c r="L126" s="314">
        <f t="shared" si="4"/>
        <v>31296500.239405494</v>
      </c>
      <c r="M126" s="235">
        <f>'M) Police'!O126</f>
        <v>1075470.6577079643</v>
      </c>
      <c r="N126" s="235">
        <f t="shared" si="3"/>
        <v>32371970.897113457</v>
      </c>
      <c r="P126" s="322"/>
    </row>
    <row r="127" spans="1:16" s="155" customFormat="1" x14ac:dyDescent="0.25">
      <c r="A127" s="152">
        <f>'B) D RI'!A128</f>
        <v>5607</v>
      </c>
      <c r="B127" s="153" t="str">
        <f>'B) D RI'!B128</f>
        <v>Puidoux</v>
      </c>
      <c r="C127" s="317">
        <f>'B) D RI'!S128</f>
        <v>70</v>
      </c>
      <c r="D127" s="154">
        <f>'B) D RI'!AA128</f>
        <v>2880</v>
      </c>
      <c r="E127" s="315">
        <f>'D) Ecrêtage'!C126</f>
        <v>106681.90706629901</v>
      </c>
      <c r="F127" s="319">
        <f>'E) Fact soc'!G132</f>
        <v>2068218.6772442833</v>
      </c>
      <c r="G127" s="316">
        <f>'H) Péréquation directe'!I137</f>
        <v>944818.84430837911</v>
      </c>
      <c r="H127" s="319">
        <f>+'I) Dépenses thématiques'!O126</f>
        <v>-779336.34681836469</v>
      </c>
      <c r="I127" s="316">
        <f>'K) Plafonnement aide'!J126</f>
        <v>0</v>
      </c>
      <c r="J127" s="319">
        <f>'J) Plafonnement effort'!J126</f>
        <v>0</v>
      </c>
      <c r="K127" s="316">
        <f>'L) Plafonnement taux'!Q127</f>
        <v>0</v>
      </c>
      <c r="L127" s="314">
        <f t="shared" si="4"/>
        <v>2233701.1747342977</v>
      </c>
      <c r="M127" s="235">
        <f>'M) Police'!O127</f>
        <v>141394.32606359196</v>
      </c>
      <c r="N127" s="235">
        <f t="shared" si="3"/>
        <v>2375095.5007978897</v>
      </c>
      <c r="P127" s="322"/>
    </row>
    <row r="128" spans="1:16" s="155" customFormat="1" x14ac:dyDescent="0.25">
      <c r="A128" s="152">
        <f>'B) D RI'!A129</f>
        <v>5609</v>
      </c>
      <c r="B128" s="153" t="str">
        <f>'B) D RI'!B129</f>
        <v>Rivaz</v>
      </c>
      <c r="C128" s="317">
        <f>'B) D RI'!S129</f>
        <v>63.5</v>
      </c>
      <c r="D128" s="154">
        <f>'B) D RI'!AA129</f>
        <v>358</v>
      </c>
      <c r="E128" s="315">
        <f>'D) Ecrêtage'!C127</f>
        <v>13473.763444719882</v>
      </c>
      <c r="F128" s="319">
        <f>'E) Fact soc'!G133</f>
        <v>217334.49714702842</v>
      </c>
      <c r="G128" s="316">
        <f>'H) Péréquation directe'!I138</f>
        <v>187310.11630199055</v>
      </c>
      <c r="H128" s="319">
        <f>+'I) Dépenses thématiques'!O127</f>
        <v>-29593.419138855945</v>
      </c>
      <c r="I128" s="316">
        <f>'K) Plafonnement aide'!J127</f>
        <v>0</v>
      </c>
      <c r="J128" s="319">
        <f>'J) Plafonnement effort'!J127</f>
        <v>0</v>
      </c>
      <c r="K128" s="316">
        <f>'L) Plafonnement taux'!Q128</f>
        <v>0</v>
      </c>
      <c r="L128" s="314">
        <f t="shared" si="4"/>
        <v>375051.19431016303</v>
      </c>
      <c r="M128" s="235">
        <f>'M) Police'!O128</f>
        <v>17857.889441575771</v>
      </c>
      <c r="N128" s="235">
        <f t="shared" si="3"/>
        <v>392909.08375173883</v>
      </c>
      <c r="P128" s="322"/>
    </row>
    <row r="129" spans="1:16" s="155" customFormat="1" x14ac:dyDescent="0.25">
      <c r="A129" s="152">
        <f>'B) D RI'!A130</f>
        <v>5610</v>
      </c>
      <c r="B129" s="153" t="str">
        <f>'B) D RI'!B130</f>
        <v>St-Saphorin (Lavaux)</v>
      </c>
      <c r="C129" s="317">
        <f>'B) D RI'!S130</f>
        <v>70</v>
      </c>
      <c r="D129" s="154">
        <f>'B) D RI'!AA130</f>
        <v>391</v>
      </c>
      <c r="E129" s="315">
        <f>'D) Ecrêtage'!C128</f>
        <v>21538.059608526812</v>
      </c>
      <c r="F129" s="319">
        <f>'E) Fact soc'!G134</f>
        <v>410425.99691273214</v>
      </c>
      <c r="G129" s="316">
        <f>'H) Péréquation directe'!I139</f>
        <v>388020.11784470233</v>
      </c>
      <c r="H129" s="319">
        <f>+'I) Dépenses thématiques'!O128</f>
        <v>-24452.861680004229</v>
      </c>
      <c r="I129" s="316">
        <f>'K) Plafonnement aide'!J128</f>
        <v>0</v>
      </c>
      <c r="J129" s="319">
        <f>'J) Plafonnement effort'!J128</f>
        <v>0</v>
      </c>
      <c r="K129" s="316">
        <f>'L) Plafonnement taux'!Q129</f>
        <v>0</v>
      </c>
      <c r="L129" s="314">
        <f t="shared" si="4"/>
        <v>773993.25307743018</v>
      </c>
      <c r="M129" s="235">
        <f>'M) Police'!O129</f>
        <v>28546.16595082554</v>
      </c>
      <c r="N129" s="235">
        <f t="shared" si="3"/>
        <v>802539.41902825574</v>
      </c>
      <c r="P129" s="322"/>
    </row>
    <row r="130" spans="1:16" s="155" customFormat="1" x14ac:dyDescent="0.25">
      <c r="A130" s="152">
        <f>'B) D RI'!A131</f>
        <v>5611</v>
      </c>
      <c r="B130" s="153" t="str">
        <f>'B) D RI'!B131</f>
        <v>Savigny</v>
      </c>
      <c r="C130" s="317">
        <f>'B) D RI'!S131</f>
        <v>69</v>
      </c>
      <c r="D130" s="154">
        <f>'B) D RI'!AA131</f>
        <v>3353</v>
      </c>
      <c r="E130" s="315">
        <f>'D) Ecrêtage'!C129</f>
        <v>135057.67308998347</v>
      </c>
      <c r="F130" s="319">
        <f>'E) Fact soc'!G135</f>
        <v>2921687.7195289372</v>
      </c>
      <c r="G130" s="316">
        <f>'H) Péréquation directe'!I140</f>
        <v>1450264.3559499106</v>
      </c>
      <c r="H130" s="319">
        <f>+'I) Dépenses thématiques'!O129</f>
        <v>-436100.55976992677</v>
      </c>
      <c r="I130" s="316">
        <f>'K) Plafonnement aide'!J129</f>
        <v>0</v>
      </c>
      <c r="J130" s="319">
        <f>'J) Plafonnement effort'!J129</f>
        <v>0</v>
      </c>
      <c r="K130" s="316">
        <f>'L) Plafonnement taux'!Q130</f>
        <v>0</v>
      </c>
      <c r="L130" s="314">
        <f t="shared" si="4"/>
        <v>3935851.5157089215</v>
      </c>
      <c r="M130" s="235">
        <f>'M) Police'!O130</f>
        <v>179003.06801234256</v>
      </c>
      <c r="N130" s="235">
        <f t="shared" si="3"/>
        <v>4114854.5837212643</v>
      </c>
      <c r="P130" s="322"/>
    </row>
    <row r="131" spans="1:16" s="155" customFormat="1" x14ac:dyDescent="0.25">
      <c r="A131" s="152">
        <f>'B) D RI'!A132</f>
        <v>5613</v>
      </c>
      <c r="B131" s="153" t="str">
        <f>'B) D RI'!B132</f>
        <v>Bourg-en-Lavaux</v>
      </c>
      <c r="C131" s="317">
        <f>'B) D RI'!S132</f>
        <v>61</v>
      </c>
      <c r="D131" s="154">
        <f>'B) D RI'!AA132</f>
        <v>5367</v>
      </c>
      <c r="E131" s="315">
        <f>'D) Ecrêtage'!C130</f>
        <v>293013.05852938921</v>
      </c>
      <c r="F131" s="319">
        <f>'E) Fact soc'!G136</f>
        <v>6270603.6776411925</v>
      </c>
      <c r="G131" s="316">
        <f>'H) Péréquation directe'!I141</f>
        <v>3899898.3578978265</v>
      </c>
      <c r="H131" s="319">
        <f>+'I) Dépenses thématiques'!O130</f>
        <v>-79161.990927764564</v>
      </c>
      <c r="I131" s="316">
        <f>'K) Plafonnement aide'!J130</f>
        <v>0</v>
      </c>
      <c r="J131" s="319">
        <f>'J) Plafonnement effort'!J130</f>
        <v>0</v>
      </c>
      <c r="K131" s="316">
        <f>'L) Plafonnement taux'!Q131</f>
        <v>0</v>
      </c>
      <c r="L131" s="314">
        <f t="shared" si="4"/>
        <v>10091340.044611255</v>
      </c>
      <c r="M131" s="235">
        <f>'M) Police'!O131</f>
        <v>388354.36183988815</v>
      </c>
      <c r="N131" s="235">
        <f t="shared" si="3"/>
        <v>10479694.406451143</v>
      </c>
      <c r="P131" s="322"/>
    </row>
    <row r="132" spans="1:16" s="155" customFormat="1" x14ac:dyDescent="0.25">
      <c r="A132" s="152">
        <f>'B) D RI'!A133</f>
        <v>5621</v>
      </c>
      <c r="B132" s="153" t="str">
        <f>'B) D RI'!B133</f>
        <v>Aclens</v>
      </c>
      <c r="C132" s="317">
        <f>'B) D RI'!S133</f>
        <v>62</v>
      </c>
      <c r="D132" s="154">
        <f>'B) D RI'!AA133</f>
        <v>535</v>
      </c>
      <c r="E132" s="315">
        <f>'D) Ecrêtage'!C131</f>
        <v>33712.724093262899</v>
      </c>
      <c r="F132" s="319">
        <f>'E) Fact soc'!G137</f>
        <v>921111.17347536446</v>
      </c>
      <c r="G132" s="316">
        <f>'H) Péréquation directe'!I142</f>
        <v>616971.0023802527</v>
      </c>
      <c r="H132" s="319">
        <f>+'I) Dépenses thématiques'!O131</f>
        <v>-59826.418416656437</v>
      </c>
      <c r="I132" s="316">
        <f>'K) Plafonnement aide'!J131</f>
        <v>0</v>
      </c>
      <c r="J132" s="319">
        <f>'J) Plafonnement effort'!J131</f>
        <v>0</v>
      </c>
      <c r="K132" s="316">
        <f>'L) Plafonnement taux'!Q132</f>
        <v>0</v>
      </c>
      <c r="L132" s="314">
        <f t="shared" si="4"/>
        <v>1478255.7574389605</v>
      </c>
      <c r="M132" s="235">
        <f>'M) Police'!O132</f>
        <v>89003.880760387576</v>
      </c>
      <c r="N132" s="235">
        <f t="shared" si="3"/>
        <v>1567259.638199348</v>
      </c>
      <c r="P132" s="322"/>
    </row>
    <row r="133" spans="1:16" s="155" customFormat="1" x14ac:dyDescent="0.25">
      <c r="A133" s="152">
        <f>'B) D RI'!A134</f>
        <v>5622</v>
      </c>
      <c r="B133" s="153" t="str">
        <f>'B) D RI'!B134</f>
        <v>Bremblens</v>
      </c>
      <c r="C133" s="317">
        <f>'B) D RI'!S134</f>
        <v>66</v>
      </c>
      <c r="D133" s="154">
        <f>'B) D RI'!AA134</f>
        <v>548</v>
      </c>
      <c r="E133" s="315">
        <f>'D) Ecrêtage'!C132</f>
        <v>25760.394087687673</v>
      </c>
      <c r="F133" s="319">
        <f>'E) Fact soc'!G138</f>
        <v>545181.5583436474</v>
      </c>
      <c r="G133" s="316">
        <f>'H) Péréquation directe'!I143</f>
        <v>454054.41013702482</v>
      </c>
      <c r="H133" s="319">
        <f>+'I) Dépenses thématiques'!O132</f>
        <v>-5335.5153224588948</v>
      </c>
      <c r="I133" s="316">
        <f>'K) Plafonnement aide'!J132</f>
        <v>0</v>
      </c>
      <c r="J133" s="319">
        <f>'J) Plafonnement effort'!J132</f>
        <v>0</v>
      </c>
      <c r="K133" s="316">
        <f>'L) Plafonnement taux'!Q133</f>
        <v>0</v>
      </c>
      <c r="L133" s="314">
        <f t="shared" si="4"/>
        <v>993900.45315821329</v>
      </c>
      <c r="M133" s="235">
        <f>'M) Police'!O133</f>
        <v>79540.976376855469</v>
      </c>
      <c r="N133" s="235">
        <f t="shared" si="3"/>
        <v>1073441.4295350688</v>
      </c>
      <c r="P133" s="322"/>
    </row>
    <row r="134" spans="1:16" s="155" customFormat="1" x14ac:dyDescent="0.25">
      <c r="A134" s="152">
        <f>'B) D RI'!A135</f>
        <v>5623</v>
      </c>
      <c r="B134" s="153" t="str">
        <f>'B) D RI'!B135</f>
        <v>Buchillon</v>
      </c>
      <c r="C134" s="317">
        <f>'B) D RI'!S135</f>
        <v>53</v>
      </c>
      <c r="D134" s="154">
        <f>'B) D RI'!AA135</f>
        <v>650</v>
      </c>
      <c r="E134" s="315">
        <f>'D) Ecrêtage'!C133</f>
        <v>119048.13355212047</v>
      </c>
      <c r="F134" s="319">
        <f>'E) Fact soc'!G139</f>
        <v>4257494.0701486804</v>
      </c>
      <c r="G134" s="316">
        <f>'H) Péréquation directe'!I144</f>
        <v>2333426.9121328038</v>
      </c>
      <c r="H134" s="319">
        <f>+'I) Dépenses thématiques'!O133</f>
        <v>0</v>
      </c>
      <c r="I134" s="316">
        <f>'K) Plafonnement aide'!J133</f>
        <v>0</v>
      </c>
      <c r="J134" s="319">
        <f>'J) Plafonnement effort'!J133</f>
        <v>-740711.18677970162</v>
      </c>
      <c r="K134" s="316">
        <f>'L) Plafonnement taux'!Q134</f>
        <v>0</v>
      </c>
      <c r="L134" s="314">
        <f t="shared" si="4"/>
        <v>5850209.7955017816</v>
      </c>
      <c r="M134" s="235">
        <f>'M) Police'!O134</f>
        <v>157784.30547055762</v>
      </c>
      <c r="N134" s="235">
        <f t="shared" si="3"/>
        <v>6007994.1009723395</v>
      </c>
      <c r="P134" s="322"/>
    </row>
    <row r="135" spans="1:16" s="155" customFormat="1" x14ac:dyDescent="0.25">
      <c r="A135" s="152">
        <f>'B) D RI'!A136</f>
        <v>5624</v>
      </c>
      <c r="B135" s="153" t="str">
        <f>'B) D RI'!B136</f>
        <v>Bussigny</v>
      </c>
      <c r="C135" s="317">
        <f>'B) D RI'!S136</f>
        <v>63</v>
      </c>
      <c r="D135" s="154">
        <f>'B) D RI'!AA136</f>
        <v>8759</v>
      </c>
      <c r="E135" s="315">
        <f>'D) Ecrêtage'!C134</f>
        <v>356482.21982509014</v>
      </c>
      <c r="F135" s="319">
        <f>'E) Fact soc'!G140</f>
        <v>7128532.5904031461</v>
      </c>
      <c r="G135" s="316">
        <f>'H) Péréquation directe'!I145</f>
        <v>2583636.4830011623</v>
      </c>
      <c r="H135" s="319">
        <f>+'I) Dépenses thématiques'!O134</f>
        <v>-1325064.4427871266</v>
      </c>
      <c r="I135" s="316">
        <f>'K) Plafonnement aide'!J134</f>
        <v>0</v>
      </c>
      <c r="J135" s="319">
        <f>'J) Plafonnement effort'!J134</f>
        <v>0</v>
      </c>
      <c r="K135" s="316">
        <f>'L) Plafonnement taux'!Q135</f>
        <v>0</v>
      </c>
      <c r="L135" s="314">
        <f t="shared" si="4"/>
        <v>8387104.6306171818</v>
      </c>
      <c r="M135" s="235">
        <f>'M) Police'!O135</f>
        <v>472475.27356721525</v>
      </c>
      <c r="N135" s="235">
        <f t="shared" ref="N135:N193" si="5">L135+M135</f>
        <v>8859579.9041843973</v>
      </c>
      <c r="P135" s="322"/>
    </row>
    <row r="136" spans="1:16" s="155" customFormat="1" x14ac:dyDescent="0.25">
      <c r="A136" s="152">
        <f>'B) D RI'!A137</f>
        <v>5625</v>
      </c>
      <c r="B136" s="153" t="str">
        <f>'B) D RI'!B137</f>
        <v>Bussy-Chardonney</v>
      </c>
      <c r="C136" s="317">
        <f>'B) D RI'!S137</f>
        <v>78</v>
      </c>
      <c r="D136" s="154">
        <f>'B) D RI'!AA137</f>
        <v>376</v>
      </c>
      <c r="E136" s="315">
        <f>'D) Ecrêtage'!C135</f>
        <v>13370.312366998642</v>
      </c>
      <c r="F136" s="319">
        <f>'E) Fact soc'!G141</f>
        <v>271766.40286096832</v>
      </c>
      <c r="G136" s="316">
        <f>'H) Péréquation directe'!I146</f>
        <v>139943.55220968032</v>
      </c>
      <c r="H136" s="319">
        <f>+'I) Dépenses thématiques'!O135</f>
        <v>-68419.598205190487</v>
      </c>
      <c r="I136" s="316">
        <f>'K) Plafonnement aide'!J135</f>
        <v>0</v>
      </c>
      <c r="J136" s="319">
        <f>'J) Plafonnement effort'!J135</f>
        <v>0</v>
      </c>
      <c r="K136" s="316">
        <f>'L) Plafonnement taux'!Q136</f>
        <v>0</v>
      </c>
      <c r="L136" s="314">
        <f t="shared" si="4"/>
        <v>343290.35686545813</v>
      </c>
      <c r="M136" s="235">
        <f>'M) Police'!O136</f>
        <v>41912.806848513057</v>
      </c>
      <c r="N136" s="235">
        <f t="shared" si="5"/>
        <v>385203.16371397121</v>
      </c>
      <c r="P136" s="322"/>
    </row>
    <row r="137" spans="1:16" s="155" customFormat="1" x14ac:dyDescent="0.25">
      <c r="A137" s="152">
        <f>'B) D RI'!A138</f>
        <v>5627</v>
      </c>
      <c r="B137" s="153" t="str">
        <f>'B) D RI'!B138</f>
        <v>Chavannes-près-Renens</v>
      </c>
      <c r="C137" s="317">
        <f>'B) D RI'!S138</f>
        <v>79</v>
      </c>
      <c r="D137" s="154">
        <f>'B) D RI'!AA138</f>
        <v>7741</v>
      </c>
      <c r="E137" s="315">
        <f>'D) Ecrêtage'!C136</f>
        <v>173390.58290122479</v>
      </c>
      <c r="F137" s="319">
        <f>'E) Fact soc'!G142</f>
        <v>3316067.4023920922</v>
      </c>
      <c r="G137" s="316">
        <f>'H) Péréquation directe'!I147</f>
        <v>-4257577.268406542</v>
      </c>
      <c r="H137" s="319">
        <f>+'I) Dépenses thématiques'!O136</f>
        <v>-1416102.1796459267</v>
      </c>
      <c r="I137" s="316">
        <f>'K) Plafonnement aide'!J136</f>
        <v>0</v>
      </c>
      <c r="J137" s="319">
        <f>'J) Plafonnement effort'!J136</f>
        <v>0</v>
      </c>
      <c r="K137" s="316">
        <f>'L) Plafonnement taux'!Q137</f>
        <v>0</v>
      </c>
      <c r="L137" s="314">
        <f t="shared" si="4"/>
        <v>-2357612.0456603765</v>
      </c>
      <c r="M137" s="235">
        <f>'M) Police'!O137</f>
        <v>229808.83346841513</v>
      </c>
      <c r="N137" s="235">
        <f t="shared" si="5"/>
        <v>-2127803.2121919612</v>
      </c>
      <c r="P137" s="322"/>
    </row>
    <row r="138" spans="1:16" s="155" customFormat="1" x14ac:dyDescent="0.25">
      <c r="A138" s="152">
        <f>'B) D RI'!A139</f>
        <v>5628</v>
      </c>
      <c r="B138" s="153" t="str">
        <f>'B) D RI'!B139</f>
        <v>Chigny</v>
      </c>
      <c r="C138" s="317">
        <f>'B) D RI'!S139</f>
        <v>62</v>
      </c>
      <c r="D138" s="154">
        <f>'B) D RI'!AA139</f>
        <v>358</v>
      </c>
      <c r="E138" s="315">
        <f>'D) Ecrêtage'!C137</f>
        <v>21894.357951349266</v>
      </c>
      <c r="F138" s="319">
        <f>'E) Fact soc'!G143</f>
        <v>464632.67111887527</v>
      </c>
      <c r="G138" s="316">
        <f>'H) Péréquation directe'!I148</f>
        <v>399367.5932823898</v>
      </c>
      <c r="H138" s="319">
        <f>+'I) Dépenses thématiques'!O137</f>
        <v>0</v>
      </c>
      <c r="I138" s="316">
        <f>'K) Plafonnement aide'!J137</f>
        <v>0</v>
      </c>
      <c r="J138" s="319">
        <f>'J) Plafonnement effort'!J137</f>
        <v>0</v>
      </c>
      <c r="K138" s="316">
        <f>'L) Plafonnement taux'!Q138</f>
        <v>0</v>
      </c>
      <c r="L138" s="314">
        <f t="shared" si="4"/>
        <v>864000.26440126507</v>
      </c>
      <c r="M138" s="235">
        <f>'M) Police'!O138</f>
        <v>58676.608613539516</v>
      </c>
      <c r="N138" s="235">
        <f t="shared" si="5"/>
        <v>922676.87301480456</v>
      </c>
      <c r="P138" s="322"/>
    </row>
    <row r="139" spans="1:16" s="155" customFormat="1" x14ac:dyDescent="0.25">
      <c r="A139" s="152">
        <f>'B) D RI'!A140</f>
        <v>5629</v>
      </c>
      <c r="B139" s="153" t="str">
        <f>'B) D RI'!B140</f>
        <v>Clarmont</v>
      </c>
      <c r="C139" s="317">
        <f>'B) D RI'!S140</f>
        <v>75</v>
      </c>
      <c r="D139" s="154">
        <f>'B) D RI'!AA140</f>
        <v>190</v>
      </c>
      <c r="E139" s="315">
        <f>'D) Ecrêtage'!C138</f>
        <v>6916.2311229358211</v>
      </c>
      <c r="F139" s="319">
        <f>'E) Fact soc'!G144</f>
        <v>136516.82546011946</v>
      </c>
      <c r="G139" s="316">
        <f>'H) Péréquation directe'!I149</f>
        <v>80751.571275198192</v>
      </c>
      <c r="H139" s="319">
        <f>+'I) Dépenses thématiques'!O138</f>
        <v>-41905.203132743613</v>
      </c>
      <c r="I139" s="316">
        <f>'K) Plafonnement aide'!J138</f>
        <v>0</v>
      </c>
      <c r="J139" s="319">
        <f>'J) Plafonnement effort'!J138</f>
        <v>0</v>
      </c>
      <c r="K139" s="316">
        <f>'L) Plafonnement taux'!Q139</f>
        <v>0</v>
      </c>
      <c r="L139" s="314">
        <f t="shared" si="4"/>
        <v>175363.19360257406</v>
      </c>
      <c r="M139" s="235">
        <f>'M) Police'!O139</f>
        <v>22160.762845757705</v>
      </c>
      <c r="N139" s="235">
        <f t="shared" si="5"/>
        <v>197523.95644833177</v>
      </c>
      <c r="P139" s="322"/>
    </row>
    <row r="140" spans="1:16" s="155" customFormat="1" x14ac:dyDescent="0.25">
      <c r="A140" s="152">
        <f>'B) D RI'!A141</f>
        <v>5631</v>
      </c>
      <c r="B140" s="153" t="str">
        <f>'B) D RI'!B141</f>
        <v>Denens</v>
      </c>
      <c r="C140" s="317">
        <f>'B) D RI'!S141</f>
        <v>70</v>
      </c>
      <c r="D140" s="154">
        <f>'B) D RI'!AA141</f>
        <v>747</v>
      </c>
      <c r="E140" s="315">
        <f>'D) Ecrêtage'!C139</f>
        <v>43815.97689546422</v>
      </c>
      <c r="F140" s="319">
        <f>'E) Fact soc'!G145</f>
        <v>955185.09814901021</v>
      </c>
      <c r="G140" s="316">
        <f>'H) Péréquation directe'!I150</f>
        <v>795417.00636214821</v>
      </c>
      <c r="H140" s="319">
        <f>+'I) Dépenses thématiques'!O139</f>
        <v>0</v>
      </c>
      <c r="I140" s="316">
        <f>'K) Plafonnement aide'!J139</f>
        <v>0</v>
      </c>
      <c r="J140" s="319">
        <f>'J) Plafonnement effort'!J139</f>
        <v>0</v>
      </c>
      <c r="K140" s="316">
        <f>'L) Plafonnement taux'!Q140</f>
        <v>0</v>
      </c>
      <c r="L140" s="314">
        <f t="shared" si="4"/>
        <v>1750602.1045111585</v>
      </c>
      <c r="M140" s="235">
        <f>'M) Police'!O140</f>
        <v>119957.51758542386</v>
      </c>
      <c r="N140" s="235">
        <f t="shared" si="5"/>
        <v>1870559.6220965823</v>
      </c>
      <c r="P140" s="322"/>
    </row>
    <row r="141" spans="1:16" s="155" customFormat="1" x14ac:dyDescent="0.25">
      <c r="A141" s="152">
        <f>'B) D RI'!A142</f>
        <v>5632</v>
      </c>
      <c r="B141" s="153" t="str">
        <f>'B) D RI'!B142</f>
        <v>Denges</v>
      </c>
      <c r="C141" s="317">
        <f>'B) D RI'!S142</f>
        <v>62</v>
      </c>
      <c r="D141" s="154">
        <f>'B) D RI'!AA142</f>
        <v>1610</v>
      </c>
      <c r="E141" s="315">
        <f>'D) Ecrêtage'!C140</f>
        <v>67687.396226466764</v>
      </c>
      <c r="F141" s="319">
        <f>'E) Fact soc'!G146</f>
        <v>1299188.740080622</v>
      </c>
      <c r="G141" s="316">
        <f>'H) Péréquation directe'!I151</f>
        <v>966211.01247312874</v>
      </c>
      <c r="H141" s="319">
        <f>+'I) Dépenses thématiques'!O140</f>
        <v>-95567.212474725529</v>
      </c>
      <c r="I141" s="316">
        <f>'K) Plafonnement aide'!J140</f>
        <v>0</v>
      </c>
      <c r="J141" s="319">
        <f>'J) Plafonnement effort'!J140</f>
        <v>0</v>
      </c>
      <c r="K141" s="316">
        <f>'L) Plafonnement taux'!Q141</f>
        <v>0</v>
      </c>
      <c r="L141" s="314">
        <f t="shared" si="4"/>
        <v>2169832.5400790251</v>
      </c>
      <c r="M141" s="235">
        <f>'M) Police'!O141</f>
        <v>216616.3189988659</v>
      </c>
      <c r="N141" s="235">
        <f t="shared" si="5"/>
        <v>2386448.8590778909</v>
      </c>
      <c r="P141" s="322"/>
    </row>
    <row r="142" spans="1:16" s="155" customFormat="1" x14ac:dyDescent="0.25">
      <c r="A142" s="152">
        <f>'B) D RI'!A143</f>
        <v>5633</v>
      </c>
      <c r="B142" s="153" t="str">
        <f>'B) D RI'!B143</f>
        <v>Echandens</v>
      </c>
      <c r="C142" s="317">
        <f>'B) D RI'!S143</f>
        <v>62</v>
      </c>
      <c r="D142" s="154">
        <f>'B) D RI'!AA143</f>
        <v>2789</v>
      </c>
      <c r="E142" s="315">
        <f>'D) Ecrêtage'!C141</f>
        <v>137438.92097427152</v>
      </c>
      <c r="F142" s="319">
        <f>'E) Fact soc'!G147</f>
        <v>2471363.9349582908</v>
      </c>
      <c r="G142" s="316">
        <f>'H) Péréquation directe'!I152</f>
        <v>2037212.2184102535</v>
      </c>
      <c r="H142" s="319">
        <f>+'I) Dépenses thématiques'!O141</f>
        <v>-540180.82659631956</v>
      </c>
      <c r="I142" s="316">
        <f>'K) Plafonnement aide'!J141</f>
        <v>0</v>
      </c>
      <c r="J142" s="319">
        <f>'J) Plafonnement effort'!J141</f>
        <v>0</v>
      </c>
      <c r="K142" s="316">
        <f>'L) Plafonnement taux'!Q142</f>
        <v>0</v>
      </c>
      <c r="L142" s="314">
        <f t="shared" si="4"/>
        <v>3968395.3267722242</v>
      </c>
      <c r="M142" s="235">
        <f>'M) Police'!O142</f>
        <v>413211.50852980377</v>
      </c>
      <c r="N142" s="235">
        <f t="shared" si="5"/>
        <v>4381606.8353020279</v>
      </c>
      <c r="P142" s="322"/>
    </row>
    <row r="143" spans="1:16" s="155" customFormat="1" x14ac:dyDescent="0.25">
      <c r="A143" s="152">
        <f>'B) D RI'!A144</f>
        <v>5634</v>
      </c>
      <c r="B143" s="153" t="str">
        <f>'B) D RI'!B144</f>
        <v>Echichens</v>
      </c>
      <c r="C143" s="317">
        <f>'B) D RI'!S144</f>
        <v>68</v>
      </c>
      <c r="D143" s="154">
        <f>'B) D RI'!AA144</f>
        <v>3050</v>
      </c>
      <c r="E143" s="315">
        <f>'D) Ecrêtage'!C142</f>
        <v>172707.41089939879</v>
      </c>
      <c r="F143" s="319">
        <f>'E) Fact soc'!G148</f>
        <v>3708959.8704315969</v>
      </c>
      <c r="G143" s="316">
        <f>'H) Péréquation directe'!I153</f>
        <v>2653795.227617221</v>
      </c>
      <c r="H143" s="319">
        <f>+'I) Dépenses thématiques'!O142</f>
        <v>0</v>
      </c>
      <c r="I143" s="316">
        <f>'K) Plafonnement aide'!J142</f>
        <v>0</v>
      </c>
      <c r="J143" s="319">
        <f>'J) Plafonnement effort'!J142</f>
        <v>0</v>
      </c>
      <c r="K143" s="316">
        <f>'L) Plafonnement taux'!Q143</f>
        <v>0</v>
      </c>
      <c r="L143" s="314">
        <f t="shared" si="4"/>
        <v>6362755.0980488174</v>
      </c>
      <c r="M143" s="235">
        <f>'M) Police'!O143</f>
        <v>481578.0727708948</v>
      </c>
      <c r="N143" s="235">
        <f t="shared" si="5"/>
        <v>6844333.1708197119</v>
      </c>
      <c r="P143" s="322"/>
    </row>
    <row r="144" spans="1:16" s="155" customFormat="1" x14ac:dyDescent="0.25">
      <c r="A144" s="152">
        <f>'B) D RI'!A145</f>
        <v>5635</v>
      </c>
      <c r="B144" s="153" t="str">
        <f>'B) D RI'!B145</f>
        <v>Ecublens</v>
      </c>
      <c r="C144" s="317">
        <f>'B) D RI'!S145</f>
        <v>64</v>
      </c>
      <c r="D144" s="154">
        <f>'B) D RI'!AA145</f>
        <v>12939</v>
      </c>
      <c r="E144" s="315">
        <f>'D) Ecrêtage'!C143</f>
        <v>425804.36099449953</v>
      </c>
      <c r="F144" s="319">
        <f>'E) Fact soc'!G149</f>
        <v>7932836.9168787543</v>
      </c>
      <c r="G144" s="316">
        <f>'H) Péréquation directe'!I154</f>
        <v>-1581227.6243433002</v>
      </c>
      <c r="H144" s="319">
        <f>+'I) Dépenses thématiques'!O143</f>
        <v>-3065010.2648171522</v>
      </c>
      <c r="I144" s="316">
        <f>'K) Plafonnement aide'!J143</f>
        <v>0</v>
      </c>
      <c r="J144" s="319">
        <f>'J) Plafonnement effort'!J143</f>
        <v>0</v>
      </c>
      <c r="K144" s="316">
        <f>'L) Plafonnement taux'!Q144</f>
        <v>0</v>
      </c>
      <c r="L144" s="314">
        <f t="shared" si="4"/>
        <v>3286599.0277183019</v>
      </c>
      <c r="M144" s="235">
        <f>'M) Police'!O144</f>
        <v>564353.62202833127</v>
      </c>
      <c r="N144" s="235">
        <f t="shared" si="5"/>
        <v>3850952.6497466331</v>
      </c>
      <c r="P144" s="322"/>
    </row>
    <row r="145" spans="1:16" s="155" customFormat="1" x14ac:dyDescent="0.25">
      <c r="A145" s="152">
        <f>'B) D RI'!A146</f>
        <v>5636</v>
      </c>
      <c r="B145" s="153" t="str">
        <f>'B) D RI'!B146</f>
        <v>Etoy</v>
      </c>
      <c r="C145" s="317">
        <f>'B) D RI'!S146</f>
        <v>61</v>
      </c>
      <c r="D145" s="154">
        <f>'B) D RI'!AA146</f>
        <v>2905</v>
      </c>
      <c r="E145" s="315">
        <f>'D) Ecrêtage'!C144</f>
        <v>163508.07491244882</v>
      </c>
      <c r="F145" s="319">
        <f>'E) Fact soc'!G150</f>
        <v>4020954.7993508605</v>
      </c>
      <c r="G145" s="316">
        <f>'H) Péréquation directe'!I155</f>
        <v>2525400.9854429429</v>
      </c>
      <c r="H145" s="319">
        <f>+'I) Dépenses thématiques'!O144</f>
        <v>0</v>
      </c>
      <c r="I145" s="316">
        <f>'K) Plafonnement aide'!J144</f>
        <v>0</v>
      </c>
      <c r="J145" s="319">
        <f>'J) Plafonnement effort'!J144</f>
        <v>0</v>
      </c>
      <c r="K145" s="316">
        <f>'L) Plafonnement taux'!Q145</f>
        <v>0</v>
      </c>
      <c r="L145" s="314">
        <f t="shared" si="4"/>
        <v>6546355.7847938035</v>
      </c>
      <c r="M145" s="235">
        <f>'M) Police'!O145</f>
        <v>457373.0304780422</v>
      </c>
      <c r="N145" s="235">
        <f t="shared" si="5"/>
        <v>7003728.815271846</v>
      </c>
      <c r="P145" s="322"/>
    </row>
    <row r="146" spans="1:16" s="155" customFormat="1" x14ac:dyDescent="0.25">
      <c r="A146" s="152">
        <f>'B) D RI'!A147</f>
        <v>5637</v>
      </c>
      <c r="B146" s="153" t="str">
        <f>'B) D RI'!B147</f>
        <v>Lavigny</v>
      </c>
      <c r="C146" s="317">
        <f>'B) D RI'!S147</f>
        <v>74.5</v>
      </c>
      <c r="D146" s="154">
        <f>'B) D RI'!AA147</f>
        <v>999</v>
      </c>
      <c r="E146" s="315">
        <f>'D) Ecrêtage'!C145</f>
        <v>35527.670702114687</v>
      </c>
      <c r="F146" s="319">
        <f>'E) Fact soc'!G151</f>
        <v>683348.97952851024</v>
      </c>
      <c r="G146" s="316">
        <f>'H) Péréquation directe'!I156</f>
        <v>391629.43884701922</v>
      </c>
      <c r="H146" s="319">
        <f>+'I) Dépenses thématiques'!O145</f>
        <v>-215136.03476068456</v>
      </c>
      <c r="I146" s="316">
        <f>'K) Plafonnement aide'!J145</f>
        <v>0</v>
      </c>
      <c r="J146" s="319">
        <f>'J) Plafonnement effort'!J145</f>
        <v>0</v>
      </c>
      <c r="K146" s="316">
        <f>'L) Plafonnement taux'!Q146</f>
        <v>0</v>
      </c>
      <c r="L146" s="314">
        <f t="shared" si="4"/>
        <v>859842.38361484476</v>
      </c>
      <c r="M146" s="235">
        <f>'M) Police'!O146</f>
        <v>112963.39869874991</v>
      </c>
      <c r="N146" s="235">
        <f t="shared" si="5"/>
        <v>972805.78231359471</v>
      </c>
      <c r="P146" s="322"/>
    </row>
    <row r="147" spans="1:16" s="155" customFormat="1" x14ac:dyDescent="0.25">
      <c r="A147" s="152">
        <f>'B) D RI'!A148</f>
        <v>5638</v>
      </c>
      <c r="B147" s="153" t="str">
        <f>'B) D RI'!B148</f>
        <v>Lonay</v>
      </c>
      <c r="C147" s="317">
        <f>'B) D RI'!S148</f>
        <v>55</v>
      </c>
      <c r="D147" s="154">
        <f>'B) D RI'!AA148</f>
        <v>2593</v>
      </c>
      <c r="E147" s="315">
        <f>'D) Ecrêtage'!C146</f>
        <v>156801.12521319877</v>
      </c>
      <c r="F147" s="319">
        <f>'E) Fact soc'!G152</f>
        <v>4202342.1010028943</v>
      </c>
      <c r="G147" s="316">
        <f>'H) Péréquation directe'!I157</f>
        <v>2498457.3399751205</v>
      </c>
      <c r="H147" s="319">
        <f>+'I) Dépenses thématiques'!O146</f>
        <v>-387426.41147645377</v>
      </c>
      <c r="I147" s="316">
        <f>'K) Plafonnement aide'!J146</f>
        <v>0</v>
      </c>
      <c r="J147" s="319">
        <f>'J) Plafonnement effort'!J146</f>
        <v>0</v>
      </c>
      <c r="K147" s="316">
        <f>'L) Plafonnement taux'!Q147</f>
        <v>0</v>
      </c>
      <c r="L147" s="314">
        <f t="shared" si="4"/>
        <v>6313373.0295015611</v>
      </c>
      <c r="M147" s="235">
        <f>'M) Police'!O147</f>
        <v>422636.37763192179</v>
      </c>
      <c r="N147" s="235">
        <f t="shared" si="5"/>
        <v>6736009.4071334824</v>
      </c>
      <c r="P147" s="322"/>
    </row>
    <row r="148" spans="1:16" s="155" customFormat="1" x14ac:dyDescent="0.25">
      <c r="A148" s="152">
        <f>'B) D RI'!A149</f>
        <v>5639</v>
      </c>
      <c r="B148" s="153" t="str">
        <f>'B) D RI'!B149</f>
        <v>Lully</v>
      </c>
      <c r="C148" s="317">
        <f>'B) D RI'!S149</f>
        <v>61</v>
      </c>
      <c r="D148" s="154">
        <f>'B) D RI'!AA149</f>
        <v>790</v>
      </c>
      <c r="E148" s="315">
        <f>'D) Ecrêtage'!C147</f>
        <v>44733.650298121938</v>
      </c>
      <c r="F148" s="319">
        <f>'E) Fact soc'!G153</f>
        <v>919673.89108547242</v>
      </c>
      <c r="G148" s="316">
        <f>'H) Péréquation directe'!I158</f>
        <v>808660.13541051687</v>
      </c>
      <c r="H148" s="319">
        <f>+'I) Dépenses thématiques'!O147</f>
        <v>0</v>
      </c>
      <c r="I148" s="316">
        <f>'K) Plafonnement aide'!J147</f>
        <v>0</v>
      </c>
      <c r="J148" s="319">
        <f>'J) Plafonnement effort'!J147</f>
        <v>0</v>
      </c>
      <c r="K148" s="316">
        <f>'L) Plafonnement taux'!Q148</f>
        <v>0</v>
      </c>
      <c r="L148" s="314">
        <f t="shared" si="4"/>
        <v>1728334.0264959894</v>
      </c>
      <c r="M148" s="235">
        <f>'M) Police'!O148</f>
        <v>124736.08489518455</v>
      </c>
      <c r="N148" s="235">
        <f t="shared" si="5"/>
        <v>1853070.1113911739</v>
      </c>
      <c r="P148" s="322"/>
    </row>
    <row r="149" spans="1:16" s="155" customFormat="1" x14ac:dyDescent="0.25">
      <c r="A149" s="152">
        <f>'B) D RI'!A150</f>
        <v>5640</v>
      </c>
      <c r="B149" s="153" t="str">
        <f>'B) D RI'!B150</f>
        <v>Lussy-sur-Morges</v>
      </c>
      <c r="C149" s="317">
        <f>'B) D RI'!S150</f>
        <v>66</v>
      </c>
      <c r="D149" s="154">
        <f>'B) D RI'!AA150</f>
        <v>687</v>
      </c>
      <c r="E149" s="315">
        <f>'D) Ecrêtage'!C148</f>
        <v>53214.189880771395</v>
      </c>
      <c r="F149" s="319">
        <f>'E) Fact soc'!G154</f>
        <v>1437475.5599930577</v>
      </c>
      <c r="G149" s="316">
        <f>'H) Péréquation directe'!I159</f>
        <v>993528.82671797858</v>
      </c>
      <c r="H149" s="319">
        <f>+'I) Dépenses thématiques'!O148</f>
        <v>0</v>
      </c>
      <c r="I149" s="316">
        <f>'K) Plafonnement aide'!J148</f>
        <v>0</v>
      </c>
      <c r="J149" s="319">
        <f>'J) Plafonnement effort'!J148</f>
        <v>0</v>
      </c>
      <c r="K149" s="316">
        <f>'L) Plafonnement taux'!Q149</f>
        <v>0</v>
      </c>
      <c r="L149" s="314">
        <f t="shared" si="4"/>
        <v>2431004.3867110363</v>
      </c>
      <c r="M149" s="235">
        <f>'M) Police'!O149</f>
        <v>70529.152713174437</v>
      </c>
      <c r="N149" s="235">
        <f t="shared" si="5"/>
        <v>2501533.5394242108</v>
      </c>
      <c r="P149" s="322"/>
    </row>
    <row r="150" spans="1:16" s="155" customFormat="1" x14ac:dyDescent="0.25">
      <c r="A150" s="152">
        <f>'B) D RI'!A151</f>
        <v>5642</v>
      </c>
      <c r="B150" s="153" t="str">
        <f>'B) D RI'!B151</f>
        <v>Morges</v>
      </c>
      <c r="C150" s="317">
        <f>'B) D RI'!S151</f>
        <v>68.5</v>
      </c>
      <c r="D150" s="154">
        <f>'B) D RI'!AA151</f>
        <v>15725</v>
      </c>
      <c r="E150" s="315">
        <f>'D) Ecrêtage'!C149</f>
        <v>729290.95553024486</v>
      </c>
      <c r="F150" s="319">
        <f>'E) Fact soc'!G155</f>
        <v>15274369.391250851</v>
      </c>
      <c r="G150" s="316">
        <f>'H) Péréquation directe'!I160</f>
        <v>4266202.2489447985</v>
      </c>
      <c r="H150" s="319">
        <f>+'I) Dépenses thématiques'!O149</f>
        <v>-1544974.8902802474</v>
      </c>
      <c r="I150" s="316">
        <f>'K) Plafonnement aide'!J149</f>
        <v>0</v>
      </c>
      <c r="J150" s="319">
        <f>'J) Plafonnement effort'!J149</f>
        <v>0</v>
      </c>
      <c r="K150" s="316">
        <f>'L) Plafonnement taux'!Q150</f>
        <v>0</v>
      </c>
      <c r="L150" s="314">
        <f t="shared" si="4"/>
        <v>17995596.749915402</v>
      </c>
      <c r="M150" s="235">
        <f>'M) Police'!O150</f>
        <v>966589.42455338803</v>
      </c>
      <c r="N150" s="235">
        <f t="shared" si="5"/>
        <v>18962186.174468789</v>
      </c>
      <c r="P150" s="322"/>
    </row>
    <row r="151" spans="1:16" s="155" customFormat="1" x14ac:dyDescent="0.25">
      <c r="A151" s="152">
        <f>'B) D RI'!A152</f>
        <v>5643</v>
      </c>
      <c r="B151" s="153" t="str">
        <f>'B) D RI'!B152</f>
        <v>Préverenges</v>
      </c>
      <c r="C151" s="317">
        <f>'B) D RI'!S152</f>
        <v>64</v>
      </c>
      <c r="D151" s="154">
        <f>'B) D RI'!AA152</f>
        <v>5298</v>
      </c>
      <c r="E151" s="315">
        <f>'D) Ecrêtage'!C150</f>
        <v>256716.54312991558</v>
      </c>
      <c r="F151" s="319">
        <f>'E) Fact soc'!G156</f>
        <v>4469239.1626944421</v>
      </c>
      <c r="G151" s="316">
        <f>'H) Péréquation directe'!I161</f>
        <v>3205072.2066733767</v>
      </c>
      <c r="H151" s="319">
        <f>+'I) Dépenses thématiques'!O150</f>
        <v>0</v>
      </c>
      <c r="I151" s="316">
        <f>'K) Plafonnement aide'!J150</f>
        <v>0</v>
      </c>
      <c r="J151" s="319">
        <f>'J) Plafonnement effort'!J150</f>
        <v>0</v>
      </c>
      <c r="K151" s="316">
        <f>'L) Plafonnement taux'!Q151</f>
        <v>0</v>
      </c>
      <c r="L151" s="314">
        <f t="shared" si="4"/>
        <v>7674311.3693678193</v>
      </c>
      <c r="M151" s="235">
        <f>'M) Police'!O151</f>
        <v>340247.59777373844</v>
      </c>
      <c r="N151" s="235">
        <f t="shared" si="5"/>
        <v>8014558.9671415575</v>
      </c>
      <c r="P151" s="322"/>
    </row>
    <row r="152" spans="1:16" s="155" customFormat="1" x14ac:dyDescent="0.25">
      <c r="A152" s="152">
        <f>'B) D RI'!A153</f>
        <v>5644</v>
      </c>
      <c r="B152" s="153" t="str">
        <f>'B) D RI'!B153</f>
        <v>Reverolle</v>
      </c>
      <c r="C152" s="317">
        <f>'B) D RI'!S153</f>
        <v>76</v>
      </c>
      <c r="D152" s="154">
        <f>'B) D RI'!AA153</f>
        <v>399</v>
      </c>
      <c r="E152" s="315">
        <f>'D) Ecrêtage'!C151</f>
        <v>13425.23260136249</v>
      </c>
      <c r="F152" s="319">
        <f>'E) Fact soc'!G157</f>
        <v>249968.21732384383</v>
      </c>
      <c r="G152" s="316">
        <f>'H) Péréquation directe'!I162</f>
        <v>120034.34886503452</v>
      </c>
      <c r="H152" s="319">
        <f>+'I) Dépenses thématiques'!O151</f>
        <v>-56900.011459488975</v>
      </c>
      <c r="I152" s="316">
        <f>'K) Plafonnement aide'!J151</f>
        <v>0</v>
      </c>
      <c r="J152" s="319">
        <f>'J) Plafonnement effort'!J151</f>
        <v>0</v>
      </c>
      <c r="K152" s="316">
        <f>'L) Plafonnement taux'!Q152</f>
        <v>0</v>
      </c>
      <c r="L152" s="314">
        <f t="shared" si="4"/>
        <v>313102.55472938938</v>
      </c>
      <c r="M152" s="235">
        <f>'M) Police'!O152</f>
        <v>42620.284032609576</v>
      </c>
      <c r="N152" s="235">
        <f t="shared" si="5"/>
        <v>355722.83876199892</v>
      </c>
      <c r="P152" s="322"/>
    </row>
    <row r="153" spans="1:16" s="155" customFormat="1" x14ac:dyDescent="0.25">
      <c r="A153" s="152">
        <f>'B) D RI'!A154</f>
        <v>5645</v>
      </c>
      <c r="B153" s="153" t="str">
        <f>'B) D RI'!B154</f>
        <v>Romanel-sur-Morges</v>
      </c>
      <c r="C153" s="317">
        <f>'B) D RI'!S154</f>
        <v>56</v>
      </c>
      <c r="D153" s="154">
        <f>'B) D RI'!AA154</f>
        <v>458</v>
      </c>
      <c r="E153" s="315">
        <f>'D) Ecrêtage'!C152</f>
        <v>24229.852670127519</v>
      </c>
      <c r="F153" s="319">
        <f>'E) Fact soc'!G158</f>
        <v>488615.67268868425</v>
      </c>
      <c r="G153" s="316">
        <f>'H) Péréquation directe'!I163</f>
        <v>434249.86789129552</v>
      </c>
      <c r="H153" s="319">
        <f>+'I) Dépenses thématiques'!O152</f>
        <v>-4000.1357667608563</v>
      </c>
      <c r="I153" s="316">
        <f>'K) Plafonnement aide'!J152</f>
        <v>0</v>
      </c>
      <c r="J153" s="319">
        <f>'J) Plafonnement effort'!J152</f>
        <v>0</v>
      </c>
      <c r="K153" s="316">
        <f>'L) Plafonnement taux'!Q153</f>
        <v>0</v>
      </c>
      <c r="L153" s="314">
        <f t="shared" si="4"/>
        <v>918865.40481321886</v>
      </c>
      <c r="M153" s="235">
        <f>'M) Police'!O153</f>
        <v>70056.448804935411</v>
      </c>
      <c r="N153" s="235">
        <f t="shared" si="5"/>
        <v>988921.8536181543</v>
      </c>
      <c r="P153" s="322"/>
    </row>
    <row r="154" spans="1:16" s="155" customFormat="1" x14ac:dyDescent="0.25">
      <c r="A154" s="152">
        <f>'B) D RI'!A155</f>
        <v>5646</v>
      </c>
      <c r="B154" s="153" t="str">
        <f>'B) D RI'!B155</f>
        <v>Saint-Prex</v>
      </c>
      <c r="C154" s="317">
        <f>'B) D RI'!S155</f>
        <v>55</v>
      </c>
      <c r="D154" s="154">
        <f>'B) D RI'!AA155</f>
        <v>5684</v>
      </c>
      <c r="E154" s="315">
        <f>'D) Ecrêtage'!C153</f>
        <v>461684.29365699238</v>
      </c>
      <c r="F154" s="319">
        <f>'E) Fact soc'!G159</f>
        <v>11539181.732813671</v>
      </c>
      <c r="G154" s="316">
        <f>'H) Péréquation directe'!I164</f>
        <v>7130966.0201632278</v>
      </c>
      <c r="H154" s="319">
        <f>+'I) Dépenses thématiques'!O153</f>
        <v>0</v>
      </c>
      <c r="I154" s="316">
        <f>'K) Plafonnement aide'!J153</f>
        <v>0</v>
      </c>
      <c r="J154" s="319">
        <f>'J) Plafonnement effort'!J153</f>
        <v>0</v>
      </c>
      <c r="K154" s="316">
        <f>'L) Plafonnement taux'!Q154</f>
        <v>0</v>
      </c>
      <c r="L154" s="314">
        <f t="shared" si="4"/>
        <v>18670147.752976898</v>
      </c>
      <c r="M154" s="235">
        <f>'M) Police'!O154</f>
        <v>611908.25465096906</v>
      </c>
      <c r="N154" s="235">
        <f t="shared" si="5"/>
        <v>19282056.007627867</v>
      </c>
      <c r="P154" s="322"/>
    </row>
    <row r="155" spans="1:16" s="155" customFormat="1" x14ac:dyDescent="0.25">
      <c r="A155" s="152">
        <f>'B) D RI'!A156</f>
        <v>5648</v>
      </c>
      <c r="B155" s="153" t="str">
        <f>'B) D RI'!B156</f>
        <v>Saint-Sulpice</v>
      </c>
      <c r="C155" s="317">
        <f>'B) D RI'!S156</f>
        <v>55</v>
      </c>
      <c r="D155" s="154">
        <f>'B) D RI'!AA156</f>
        <v>4669</v>
      </c>
      <c r="E155" s="315">
        <f>'D) Ecrêtage'!C154</f>
        <v>359984.01578722027</v>
      </c>
      <c r="F155" s="319">
        <f>'E) Fact soc'!G160</f>
        <v>9322564.7148221787</v>
      </c>
      <c r="G155" s="316">
        <f>'H) Péréquation directe'!I165</f>
        <v>5643549.5595280668</v>
      </c>
      <c r="H155" s="319">
        <f>+'I) Dépenses thématiques'!O154</f>
        <v>-6656.8945657613849</v>
      </c>
      <c r="I155" s="316">
        <f>'K) Plafonnement aide'!J154</f>
        <v>0</v>
      </c>
      <c r="J155" s="319">
        <f>'J) Plafonnement effort'!J154</f>
        <v>0</v>
      </c>
      <c r="K155" s="316">
        <f>'L) Plafonnement taux'!Q155</f>
        <v>0</v>
      </c>
      <c r="L155" s="314">
        <f t="shared" si="4"/>
        <v>14959457.379784483</v>
      </c>
      <c r="M155" s="235">
        <f>'M) Police'!O155</f>
        <v>477116.49243640818</v>
      </c>
      <c r="N155" s="235">
        <f t="shared" si="5"/>
        <v>15436573.872220892</v>
      </c>
      <c r="P155" s="322"/>
    </row>
    <row r="156" spans="1:16" s="155" customFormat="1" x14ac:dyDescent="0.25">
      <c r="A156" s="152">
        <f>'B) D RI'!A157</f>
        <v>5649</v>
      </c>
      <c r="B156" s="153" t="str">
        <f>'B) D RI'!B157</f>
        <v>Tolochenaz</v>
      </c>
      <c r="C156" s="317">
        <f>'B) D RI'!S157</f>
        <v>65</v>
      </c>
      <c r="D156" s="154">
        <f>'B) D RI'!AA157</f>
        <v>1933</v>
      </c>
      <c r="E156" s="315">
        <f>'D) Ecrêtage'!C155</f>
        <v>113998.65852486389</v>
      </c>
      <c r="F156" s="319">
        <f>'E) Fact soc'!G161</f>
        <v>2334052.0018999754</v>
      </c>
      <c r="G156" s="316">
        <f>'H) Péréquation directe'!I166</f>
        <v>1861083.4105983486</v>
      </c>
      <c r="H156" s="319">
        <f>+'I) Dépenses thématiques'!O155</f>
        <v>-64595.555652934367</v>
      </c>
      <c r="I156" s="316">
        <f>'K) Plafonnement aide'!J155</f>
        <v>0</v>
      </c>
      <c r="J156" s="319">
        <f>'J) Plafonnement effort'!J155</f>
        <v>0</v>
      </c>
      <c r="K156" s="316">
        <f>'L) Plafonnement taux'!Q156</f>
        <v>0</v>
      </c>
      <c r="L156" s="314">
        <f t="shared" si="4"/>
        <v>4130539.8568453896</v>
      </c>
      <c r="M156" s="235">
        <f>'M) Police'!O156</f>
        <v>151091.81994899511</v>
      </c>
      <c r="N156" s="235">
        <f t="shared" si="5"/>
        <v>4281631.6767943846</v>
      </c>
      <c r="P156" s="322"/>
    </row>
    <row r="157" spans="1:16" s="155" customFormat="1" x14ac:dyDescent="0.25">
      <c r="A157" s="152">
        <f>'B) D RI'!A158</f>
        <v>5650</v>
      </c>
      <c r="B157" s="153" t="str">
        <f>'B) D RI'!B158</f>
        <v>Vaux-sur-Morges</v>
      </c>
      <c r="C157" s="317">
        <f>'B) D RI'!S158</f>
        <v>56</v>
      </c>
      <c r="D157" s="154">
        <f>'B) D RI'!AA158</f>
        <v>184</v>
      </c>
      <c r="E157" s="315">
        <f>'D) Ecrêtage'!C156</f>
        <v>185104.32562171915</v>
      </c>
      <c r="F157" s="319">
        <f>'E) Fact soc'!G162</f>
        <v>8622754.8746545333</v>
      </c>
      <c r="G157" s="316">
        <f>'H) Péréquation directe'!I167</f>
        <v>3731403.804612054</v>
      </c>
      <c r="H157" s="319">
        <f>+'I) Dépenses thématiques'!O156</f>
        <v>0</v>
      </c>
      <c r="I157" s="316">
        <f>'K) Plafonnement aide'!J156</f>
        <v>0</v>
      </c>
      <c r="J157" s="319">
        <f>'J) Plafonnement effort'!J156</f>
        <v>-3469151.0494240671</v>
      </c>
      <c r="K157" s="316">
        <f>'L) Plafonnement taux'!Q157</f>
        <v>0</v>
      </c>
      <c r="L157" s="314">
        <f t="shared" si="4"/>
        <v>8885007.6298425198</v>
      </c>
      <c r="M157" s="235">
        <f>'M) Police'!O157</f>
        <v>260577.34872544286</v>
      </c>
      <c r="N157" s="235">
        <f t="shared" si="5"/>
        <v>9145584.9785679635</v>
      </c>
      <c r="P157" s="322"/>
    </row>
    <row r="158" spans="1:16" s="155" customFormat="1" x14ac:dyDescent="0.25">
      <c r="A158" s="152">
        <f>'B) D RI'!A159</f>
        <v>5651</v>
      </c>
      <c r="B158" s="153" t="str">
        <f>'B) D RI'!B159</f>
        <v>Villars-Sainte-Croix</v>
      </c>
      <c r="C158" s="317">
        <f>'B) D RI'!S159</f>
        <v>59</v>
      </c>
      <c r="D158" s="154">
        <f>'B) D RI'!AA159</f>
        <v>963</v>
      </c>
      <c r="E158" s="315">
        <f>'D) Ecrêtage'!C157</f>
        <v>50327.012990433635</v>
      </c>
      <c r="F158" s="319">
        <f>'E) Fact soc'!G163</f>
        <v>989468.35427143727</v>
      </c>
      <c r="G158" s="316">
        <f>'H) Péréquation directe'!I168</f>
        <v>900504.33566534787</v>
      </c>
      <c r="H158" s="319">
        <f>+'I) Dépenses thématiques'!O157</f>
        <v>0</v>
      </c>
      <c r="I158" s="316">
        <f>'K) Plafonnement aide'!J157</f>
        <v>0</v>
      </c>
      <c r="J158" s="319">
        <f>'J) Plafonnement effort'!J157</f>
        <v>0</v>
      </c>
      <c r="K158" s="316">
        <f>'L) Plafonnement taux'!Q158</f>
        <v>0</v>
      </c>
      <c r="L158" s="314">
        <f t="shared" si="4"/>
        <v>1889972.689936785</v>
      </c>
      <c r="M158" s="235">
        <f>'M) Police'!O158</f>
        <v>66702.539167711817</v>
      </c>
      <c r="N158" s="235">
        <f t="shared" si="5"/>
        <v>1956675.2291044968</v>
      </c>
      <c r="P158" s="322"/>
    </row>
    <row r="159" spans="1:16" s="155" customFormat="1" x14ac:dyDescent="0.25">
      <c r="A159" s="152">
        <f>'B) D RI'!A160</f>
        <v>5652</v>
      </c>
      <c r="B159" s="153" t="str">
        <f>'B) D RI'!B160</f>
        <v>Villars-sous-Yens</v>
      </c>
      <c r="C159" s="317">
        <f>'B) D RI'!S160</f>
        <v>76</v>
      </c>
      <c r="D159" s="154">
        <f>'B) D RI'!AA160</f>
        <v>608</v>
      </c>
      <c r="E159" s="315">
        <f>'D) Ecrêtage'!C158</f>
        <v>29665.347417842095</v>
      </c>
      <c r="F159" s="319">
        <f>'E) Fact soc'!G164</f>
        <v>525349.52115889383</v>
      </c>
      <c r="G159" s="316">
        <f>'H) Péréquation directe'!I169</f>
        <v>525764.2173453205</v>
      </c>
      <c r="H159" s="319">
        <f>+'I) Dépenses thématiques'!O158</f>
        <v>0</v>
      </c>
      <c r="I159" s="316">
        <f>'K) Plafonnement aide'!J158</f>
        <v>0</v>
      </c>
      <c r="J159" s="319">
        <f>'J) Plafonnement effort'!J158</f>
        <v>0</v>
      </c>
      <c r="K159" s="316">
        <f>'L) Plafonnement taux'!Q159</f>
        <v>0</v>
      </c>
      <c r="L159" s="314">
        <f t="shared" si="4"/>
        <v>1051113.7385042142</v>
      </c>
      <c r="M159" s="235">
        <f>'M) Police'!O159</f>
        <v>89687.182845764415</v>
      </c>
      <c r="N159" s="235">
        <f t="shared" si="5"/>
        <v>1140800.9213499785</v>
      </c>
      <c r="P159" s="322"/>
    </row>
    <row r="160" spans="1:16" s="155" customFormat="1" x14ac:dyDescent="0.25">
      <c r="A160" s="152">
        <f>'B) D RI'!A161</f>
        <v>5653</v>
      </c>
      <c r="B160" s="153" t="str">
        <f>'B) D RI'!B161</f>
        <v>Vufflens-le-Château</v>
      </c>
      <c r="C160" s="317">
        <f>'B) D RI'!S161</f>
        <v>55</v>
      </c>
      <c r="D160" s="154">
        <f>'B) D RI'!AA161</f>
        <v>886</v>
      </c>
      <c r="E160" s="315">
        <f>'D) Ecrêtage'!C159</f>
        <v>61628.734956407359</v>
      </c>
      <c r="F160" s="319">
        <f>'E) Fact soc'!G165</f>
        <v>1412242.1400244189</v>
      </c>
      <c r="G160" s="316">
        <f>'H) Péréquation directe'!I170</f>
        <v>1139346.9615264318</v>
      </c>
      <c r="H160" s="319">
        <f>+'I) Dépenses thématiques'!O159</f>
        <v>0</v>
      </c>
      <c r="I160" s="316">
        <f>'K) Plafonnement aide'!J159</f>
        <v>0</v>
      </c>
      <c r="J160" s="319">
        <f>'J) Plafonnement effort'!J159</f>
        <v>0</v>
      </c>
      <c r="K160" s="316">
        <f>'L) Plafonnement taux'!Q160</f>
        <v>0</v>
      </c>
      <c r="L160" s="314">
        <f t="shared" si="4"/>
        <v>2551589.101550851</v>
      </c>
      <c r="M160" s="235">
        <f>'M) Police'!O160</f>
        <v>155081.57323461949</v>
      </c>
      <c r="N160" s="235">
        <f t="shared" si="5"/>
        <v>2706670.6747854706</v>
      </c>
      <c r="P160" s="322"/>
    </row>
    <row r="161" spans="1:16" s="155" customFormat="1" x14ac:dyDescent="0.25">
      <c r="A161" s="152">
        <f>'B) D RI'!A162</f>
        <v>5654</v>
      </c>
      <c r="B161" s="153" t="str">
        <f>'B) D RI'!B162</f>
        <v>Vullierens</v>
      </c>
      <c r="C161" s="317">
        <f>'B) D RI'!S162</f>
        <v>76</v>
      </c>
      <c r="D161" s="154">
        <f>'B) D RI'!AA162</f>
        <v>507</v>
      </c>
      <c r="E161" s="315">
        <f>'D) Ecrêtage'!C160</f>
        <v>19147.575291748301</v>
      </c>
      <c r="F161" s="319">
        <f>'E) Fact soc'!G166</f>
        <v>351828.03986292146</v>
      </c>
      <c r="G161" s="316">
        <f>'H) Péréquation directe'!I171</f>
        <v>242850.77685960883</v>
      </c>
      <c r="H161" s="319">
        <f>+'I) Dépenses thématiques'!O160</f>
        <v>0</v>
      </c>
      <c r="I161" s="316">
        <f>'K) Plafonnement aide'!J160</f>
        <v>0</v>
      </c>
      <c r="J161" s="319">
        <f>'J) Plafonnement effort'!J160</f>
        <v>0</v>
      </c>
      <c r="K161" s="316">
        <f>'L) Plafonnement taux'!Q161</f>
        <v>0</v>
      </c>
      <c r="L161" s="314">
        <f t="shared" si="4"/>
        <v>594678.81672253029</v>
      </c>
      <c r="M161" s="235">
        <f>'M) Police'!O161</f>
        <v>61136.305339714891</v>
      </c>
      <c r="N161" s="235">
        <f t="shared" si="5"/>
        <v>655815.12206224515</v>
      </c>
      <c r="P161" s="322"/>
    </row>
    <row r="162" spans="1:16" s="155" customFormat="1" x14ac:dyDescent="0.25">
      <c r="A162" s="152">
        <f>'B) D RI'!A163</f>
        <v>5655</v>
      </c>
      <c r="B162" s="153" t="str">
        <f>'B) D RI'!B163</f>
        <v>Yens</v>
      </c>
      <c r="C162" s="317">
        <f>'B) D RI'!S163</f>
        <v>73</v>
      </c>
      <c r="D162" s="154">
        <f>'B) D RI'!AA163</f>
        <v>1429</v>
      </c>
      <c r="E162" s="315">
        <f>'D) Ecrêtage'!C161</f>
        <v>86097.458084051032</v>
      </c>
      <c r="F162" s="319">
        <f>'E) Fact soc'!G167</f>
        <v>1862282.6326480231</v>
      </c>
      <c r="G162" s="316">
        <f>'H) Péréquation directe'!I172</f>
        <v>1471399.519067945</v>
      </c>
      <c r="H162" s="319">
        <f>+'I) Dépenses thématiques'!O161</f>
        <v>0</v>
      </c>
      <c r="I162" s="316">
        <f>'K) Plafonnement aide'!J161</f>
        <v>0</v>
      </c>
      <c r="J162" s="319">
        <f>'J) Plafonnement effort'!J161</f>
        <v>0</v>
      </c>
      <c r="K162" s="316">
        <f>'L) Plafonnement taux'!Q162</f>
        <v>0</v>
      </c>
      <c r="L162" s="314">
        <f t="shared" si="4"/>
        <v>3333682.1517159678</v>
      </c>
      <c r="M162" s="235">
        <f>'M) Police'!O162</f>
        <v>232496.37078016269</v>
      </c>
      <c r="N162" s="235">
        <f t="shared" si="5"/>
        <v>3566178.5224961303</v>
      </c>
      <c r="P162" s="322"/>
    </row>
    <row r="163" spans="1:16" s="155" customFormat="1" x14ac:dyDescent="0.25">
      <c r="A163" s="152">
        <f>'B) D RI'!A164</f>
        <v>5661</v>
      </c>
      <c r="B163" s="153" t="str">
        <f>'B) D RI'!B164</f>
        <v>Boulens</v>
      </c>
      <c r="C163" s="317">
        <f>'B) D RI'!S164</f>
        <v>79</v>
      </c>
      <c r="D163" s="154">
        <f>'B) D RI'!AA164</f>
        <v>384</v>
      </c>
      <c r="E163" s="315">
        <f>'D) Ecrêtage'!C162</f>
        <v>10242.097149449037</v>
      </c>
      <c r="F163" s="319">
        <f>'E) Fact soc'!G168</f>
        <v>172529.7539144317</v>
      </c>
      <c r="G163" s="316">
        <f>'H) Péréquation directe'!I173</f>
        <v>-13210.399038765492</v>
      </c>
      <c r="H163" s="319">
        <f>+'I) Dépenses thématiques'!O162</f>
        <v>-14739.409605200244</v>
      </c>
      <c r="I163" s="316">
        <f>'K) Plafonnement aide'!J162</f>
        <v>0</v>
      </c>
      <c r="J163" s="319">
        <f>'J) Plafonnement effort'!J162</f>
        <v>0</v>
      </c>
      <c r="K163" s="316">
        <f>'L) Plafonnement taux'!Q163</f>
        <v>0</v>
      </c>
      <c r="L163" s="314">
        <f t="shared" si="4"/>
        <v>144579.94527046595</v>
      </c>
      <c r="M163" s="235">
        <f>'M) Police'!O163</f>
        <v>32754.738088948256</v>
      </c>
      <c r="N163" s="235">
        <f t="shared" si="5"/>
        <v>177334.68335941419</v>
      </c>
      <c r="P163" s="322"/>
    </row>
    <row r="164" spans="1:16" s="155" customFormat="1" x14ac:dyDescent="0.25">
      <c r="A164" s="152">
        <f>'B) D RI'!A165</f>
        <v>5663</v>
      </c>
      <c r="B164" s="153" t="str">
        <f>'B) D RI'!B165</f>
        <v>Bussy-sur-Moudon</v>
      </c>
      <c r="C164" s="317">
        <f>'B) D RI'!S165</f>
        <v>80</v>
      </c>
      <c r="D164" s="154">
        <f>'B) D RI'!AA165</f>
        <v>214</v>
      </c>
      <c r="E164" s="315">
        <f>'D) Ecrêtage'!C163</f>
        <v>5275.6077688756623</v>
      </c>
      <c r="F164" s="319">
        <f>'E) Fact soc'!G169</f>
        <v>88517.365356569033</v>
      </c>
      <c r="G164" s="316">
        <f>'H) Péréquation directe'!I174</f>
        <v>-29584.671836882713</v>
      </c>
      <c r="H164" s="319">
        <f>+'I) Dépenses thématiques'!O163</f>
        <v>-69651.800254845846</v>
      </c>
      <c r="I164" s="316">
        <f>'K) Plafonnement aide'!J163</f>
        <v>0</v>
      </c>
      <c r="J164" s="319">
        <f>'J) Plafonnement effort'!J163</f>
        <v>0</v>
      </c>
      <c r="K164" s="316">
        <f>'L) Plafonnement taux'!Q164</f>
        <v>0</v>
      </c>
      <c r="L164" s="314">
        <f t="shared" si="4"/>
        <v>-10719.106735159527</v>
      </c>
      <c r="M164" s="235">
        <f>'M) Police'!O164</f>
        <v>16774.452173681959</v>
      </c>
      <c r="N164" s="235">
        <f t="shared" si="5"/>
        <v>6055.3454385224322</v>
      </c>
      <c r="P164" s="322"/>
    </row>
    <row r="165" spans="1:16" s="155" customFormat="1" x14ac:dyDescent="0.25">
      <c r="A165" s="152">
        <f>'B) D RI'!A166</f>
        <v>5665</v>
      </c>
      <c r="B165" s="153" t="str">
        <f>'B) D RI'!B166</f>
        <v>Chavannes-sur-Moudon</v>
      </c>
      <c r="C165" s="317">
        <f>'B) D RI'!S166</f>
        <v>73</v>
      </c>
      <c r="D165" s="154">
        <f>'B) D RI'!AA166</f>
        <v>216</v>
      </c>
      <c r="E165" s="315">
        <f>'D) Ecrêtage'!C164</f>
        <v>4607.2565465259731</v>
      </c>
      <c r="F165" s="319">
        <f>'E) Fact soc'!G170</f>
        <v>80580.348754171515</v>
      </c>
      <c r="G165" s="316">
        <f>'H) Péréquation directe'!I175</f>
        <v>-41067.507845401691</v>
      </c>
      <c r="H165" s="319">
        <f>+'I) Dépenses thématiques'!O164</f>
        <v>-10254.274681865363</v>
      </c>
      <c r="I165" s="316">
        <f>'K) Plafonnement aide'!J164</f>
        <v>0</v>
      </c>
      <c r="J165" s="319">
        <f>'J) Plafonnement effort'!J164</f>
        <v>0</v>
      </c>
      <c r="K165" s="316">
        <f>'L) Plafonnement taux'!Q165</f>
        <v>0</v>
      </c>
      <c r="L165" s="314">
        <f t="shared" si="4"/>
        <v>29258.566226904462</v>
      </c>
      <c r="M165" s="235">
        <f>'M) Police'!O165</f>
        <v>14655.731102445276</v>
      </c>
      <c r="N165" s="235">
        <f t="shared" si="5"/>
        <v>43914.297329349734</v>
      </c>
      <c r="P165" s="322"/>
    </row>
    <row r="166" spans="1:16" s="155" customFormat="1" x14ac:dyDescent="0.25">
      <c r="A166" s="152">
        <f>'B) D RI'!A167</f>
        <v>5669</v>
      </c>
      <c r="B166" s="153" t="str">
        <f>'B) D RI'!B167</f>
        <v>Curtilles</v>
      </c>
      <c r="C166" s="317">
        <f>'B) D RI'!S167</f>
        <v>75</v>
      </c>
      <c r="D166" s="154">
        <f>'B) D RI'!AA167</f>
        <v>313</v>
      </c>
      <c r="E166" s="315">
        <f>'D) Ecrêtage'!C165</f>
        <v>7730.4977240355793</v>
      </c>
      <c r="F166" s="319">
        <f>'E) Fact soc'!G171</f>
        <v>130193.63956479335</v>
      </c>
      <c r="G166" s="316">
        <f>'H) Péréquation directe'!I176</f>
        <v>-23202.475862588588</v>
      </c>
      <c r="H166" s="319">
        <f>+'I) Dépenses thématiques'!O165</f>
        <v>-19070.000400462344</v>
      </c>
      <c r="I166" s="316">
        <f>'K) Plafonnement aide'!J165</f>
        <v>0</v>
      </c>
      <c r="J166" s="319">
        <f>'J) Plafonnement effort'!J165</f>
        <v>0</v>
      </c>
      <c r="K166" s="316">
        <f>'L) Plafonnement taux'!Q166</f>
        <v>0</v>
      </c>
      <c r="L166" s="314">
        <f t="shared" si="4"/>
        <v>87921.163301742417</v>
      </c>
      <c r="M166" s="235">
        <f>'M) Police'!O166</f>
        <v>24454.157367461328</v>
      </c>
      <c r="N166" s="235">
        <f t="shared" si="5"/>
        <v>112375.32066920375</v>
      </c>
      <c r="P166" s="322"/>
    </row>
    <row r="167" spans="1:16" s="155" customFormat="1" x14ac:dyDescent="0.25">
      <c r="A167" s="152">
        <f>'B) D RI'!A168</f>
        <v>5671</v>
      </c>
      <c r="B167" s="153" t="str">
        <f>'B) D RI'!B168</f>
        <v>Dompierre</v>
      </c>
      <c r="C167" s="317">
        <f>'B) D RI'!S168</f>
        <v>80</v>
      </c>
      <c r="D167" s="154">
        <f>'B) D RI'!AA168</f>
        <v>239</v>
      </c>
      <c r="E167" s="315">
        <f>'D) Ecrêtage'!C166</f>
        <v>6107.4315082005251</v>
      </c>
      <c r="F167" s="319">
        <f>'E) Fact soc'!G172</f>
        <v>111320.32264062784</v>
      </c>
      <c r="G167" s="316">
        <f>'H) Péréquation directe'!I177</f>
        <v>-23185.003584715523</v>
      </c>
      <c r="H167" s="319">
        <f>+'I) Dépenses thématiques'!O166</f>
        <v>-69632.530628218155</v>
      </c>
      <c r="I167" s="316">
        <f>'K) Plafonnement aide'!J166</f>
        <v>0</v>
      </c>
      <c r="J167" s="319">
        <f>'J) Plafonnement effort'!J166</f>
        <v>0</v>
      </c>
      <c r="K167" s="316">
        <f>'L) Plafonnement taux'!Q167</f>
        <v>0</v>
      </c>
      <c r="L167" s="314">
        <f t="shared" si="4"/>
        <v>18502.788427694162</v>
      </c>
      <c r="M167" s="235">
        <f>'M) Police'!O167</f>
        <v>19488.327977831843</v>
      </c>
      <c r="N167" s="235">
        <f t="shared" si="5"/>
        <v>37991.116405526001</v>
      </c>
      <c r="P167" s="322"/>
    </row>
    <row r="168" spans="1:16" s="155" customFormat="1" x14ac:dyDescent="0.25">
      <c r="A168" s="152">
        <f>'B) D RI'!A169</f>
        <v>5673</v>
      </c>
      <c r="B168" s="153" t="str">
        <f>'B) D RI'!B169</f>
        <v>Hermenches</v>
      </c>
      <c r="C168" s="317">
        <f>'B) D RI'!S169</f>
        <v>75</v>
      </c>
      <c r="D168" s="154">
        <f>'B) D RI'!AA169</f>
        <v>364</v>
      </c>
      <c r="E168" s="315">
        <f>'D) Ecrêtage'!C167</f>
        <v>9275.5467189326828</v>
      </c>
      <c r="F168" s="319">
        <f>'E) Fact soc'!G173</f>
        <v>155769.09022446431</v>
      </c>
      <c r="G168" s="316">
        <f>'H) Péréquation directe'!I178</f>
        <v>-14808.784140612639</v>
      </c>
      <c r="H168" s="319">
        <f>+'I) Dépenses thématiques'!O167</f>
        <v>-184539.75431834921</v>
      </c>
      <c r="I168" s="316">
        <f>'K) Plafonnement aide'!J167</f>
        <v>0</v>
      </c>
      <c r="J168" s="319">
        <f>'J) Plafonnement effort'!J167</f>
        <v>0</v>
      </c>
      <c r="K168" s="316">
        <f>'L) Plafonnement taux'!Q168</f>
        <v>0</v>
      </c>
      <c r="L168" s="314">
        <f t="shared" ref="L168:L220" si="6">F168+G168+H168+I168+J168+K168</f>
        <v>-43579.44823449754</v>
      </c>
      <c r="M168" s="235">
        <f>'M) Police'!O168</f>
        <v>29595.766827399406</v>
      </c>
      <c r="N168" s="235">
        <f t="shared" si="5"/>
        <v>-13983.681407098135</v>
      </c>
      <c r="P168" s="322"/>
    </row>
    <row r="169" spans="1:16" s="155" customFormat="1" x14ac:dyDescent="0.25">
      <c r="A169" s="152">
        <f>'B) D RI'!A170</f>
        <v>5674</v>
      </c>
      <c r="B169" s="153" t="str">
        <f>'B) D RI'!B170</f>
        <v>Lovatens</v>
      </c>
      <c r="C169" s="317">
        <f>'B) D RI'!S170</f>
        <v>75</v>
      </c>
      <c r="D169" s="154">
        <f>'B) D RI'!AA170</f>
        <v>146</v>
      </c>
      <c r="E169" s="315">
        <f>'D) Ecrêtage'!C168</f>
        <v>3271.992985930126</v>
      </c>
      <c r="F169" s="319">
        <f>'E) Fact soc'!G174</f>
        <v>63962.829548243259</v>
      </c>
      <c r="G169" s="316">
        <f>'H) Péréquation directe'!I179</f>
        <v>-25064.788557423948</v>
      </c>
      <c r="H169" s="319">
        <f>+'I) Dépenses thématiques'!O168</f>
        <v>-18479.836026589124</v>
      </c>
      <c r="I169" s="316">
        <f>'K) Plafonnement aide'!J168</f>
        <v>0</v>
      </c>
      <c r="J169" s="319">
        <f>'J) Plafonnement effort'!J168</f>
        <v>0</v>
      </c>
      <c r="K169" s="316">
        <f>'L) Plafonnement taux'!Q169</f>
        <v>0</v>
      </c>
      <c r="L169" s="314">
        <f t="shared" si="6"/>
        <v>20418.204964230186</v>
      </c>
      <c r="M169" s="235">
        <f>'M) Police'!O169</f>
        <v>10398.978488419158</v>
      </c>
      <c r="N169" s="235">
        <f t="shared" si="5"/>
        <v>30817.183452649344</v>
      </c>
      <c r="P169" s="322"/>
    </row>
    <row r="170" spans="1:16" s="155" customFormat="1" x14ac:dyDescent="0.25">
      <c r="A170" s="152">
        <f>'B) D RI'!A171</f>
        <v>5675</v>
      </c>
      <c r="B170" s="153" t="str">
        <f>'B) D RI'!B171</f>
        <v>Lucens</v>
      </c>
      <c r="C170" s="317">
        <f>'B) D RI'!S171</f>
        <v>69</v>
      </c>
      <c r="D170" s="154">
        <f>'B) D RI'!AA171</f>
        <v>4199</v>
      </c>
      <c r="E170" s="315">
        <f>'D) Ecrêtage'!C169</f>
        <v>90143.04189619486</v>
      </c>
      <c r="F170" s="319">
        <f>'E) Fact soc'!G175</f>
        <v>1733695.0063004743</v>
      </c>
      <c r="G170" s="316">
        <f>'H) Péréquation directe'!I180</f>
        <v>-1451538.0374590531</v>
      </c>
      <c r="H170" s="319">
        <f>+'I) Dépenses thématiques'!O169</f>
        <v>-470198.95849938662</v>
      </c>
      <c r="I170" s="316">
        <f>'K) Plafonnement aide'!J169</f>
        <v>0</v>
      </c>
      <c r="J170" s="319">
        <f>'J) Plafonnement effort'!J169</f>
        <v>0</v>
      </c>
      <c r="K170" s="316">
        <f>'L) Plafonnement taux'!Q170</f>
        <v>0</v>
      </c>
      <c r="L170" s="314">
        <f t="shared" ref="L170" si="7">F170+G170+H170+I170+J170+K170</f>
        <v>-188041.98965796543</v>
      </c>
      <c r="M170" s="235">
        <f>'M) Police'!O170</f>
        <v>280066.51529478299</v>
      </c>
      <c r="N170" s="235">
        <f t="shared" ref="N170" si="8">L170+M170</f>
        <v>92024.525636817561</v>
      </c>
      <c r="P170" s="322"/>
    </row>
    <row r="171" spans="1:16" s="155" customFormat="1" x14ac:dyDescent="0.25">
      <c r="A171" s="152">
        <f>'B) D RI'!A172</f>
        <v>5678</v>
      </c>
      <c r="B171" s="153" t="str">
        <f>'B) D RI'!B172</f>
        <v>Moudon</v>
      </c>
      <c r="C171" s="317">
        <f>'B) D RI'!S172</f>
        <v>75</v>
      </c>
      <c r="D171" s="154">
        <f>'B) D RI'!AA172</f>
        <v>6135</v>
      </c>
      <c r="E171" s="315">
        <f>'D) Ecrêtage'!C170</f>
        <v>115752.26296280598</v>
      </c>
      <c r="F171" s="319">
        <f>'E) Fact soc'!G176</f>
        <v>2198491.0695902724</v>
      </c>
      <c r="G171" s="316">
        <f>'H) Péréquation directe'!I181</f>
        <v>-3717763.4918992333</v>
      </c>
      <c r="H171" s="319">
        <f>+'I) Dépenses thématiques'!O170</f>
        <v>-1307222.5452842806</v>
      </c>
      <c r="I171" s="316">
        <f>'K) Plafonnement aide'!J170</f>
        <v>593254.31860651355</v>
      </c>
      <c r="J171" s="319">
        <f>'J) Plafonnement effort'!J170</f>
        <v>0</v>
      </c>
      <c r="K171" s="316">
        <f>'L) Plafonnement taux'!Q171</f>
        <v>0</v>
      </c>
      <c r="L171" s="314">
        <f t="shared" si="6"/>
        <v>-2233240.6489867279</v>
      </c>
      <c r="M171" s="235">
        <f>'M) Police'!O171</f>
        <v>360921.7130662839</v>
      </c>
      <c r="N171" s="235">
        <f t="shared" si="5"/>
        <v>-1872318.9359204441</v>
      </c>
      <c r="P171" s="322"/>
    </row>
    <row r="172" spans="1:16" s="155" customFormat="1" x14ac:dyDescent="0.25">
      <c r="A172" s="152">
        <f>'B) D RI'!A173</f>
        <v>5680</v>
      </c>
      <c r="B172" s="153" t="str">
        <f>'B) D RI'!B173</f>
        <v>Ogens</v>
      </c>
      <c r="C172" s="317">
        <f>'B) D RI'!S173</f>
        <v>78</v>
      </c>
      <c r="D172" s="154">
        <f>'B) D RI'!AA173</f>
        <v>299</v>
      </c>
      <c r="E172" s="315">
        <f>'D) Ecrêtage'!C171</f>
        <v>6425.0974128432881</v>
      </c>
      <c r="F172" s="319">
        <f>'E) Fact soc'!G177</f>
        <v>127893.09698395421</v>
      </c>
      <c r="G172" s="316">
        <f>'H) Péréquation directe'!I182</f>
        <v>-75828.16135954186</v>
      </c>
      <c r="H172" s="319">
        <f>+'I) Dépenses thématiques'!O171</f>
        <v>-15472.750872368702</v>
      </c>
      <c r="I172" s="316">
        <f>'K) Plafonnement aide'!J171</f>
        <v>0</v>
      </c>
      <c r="J172" s="319">
        <f>'J) Plafonnement effort'!J171</f>
        <v>0</v>
      </c>
      <c r="K172" s="316">
        <f>'L) Plafonnement taux'!Q172</f>
        <v>0</v>
      </c>
      <c r="L172" s="314">
        <f t="shared" si="6"/>
        <v>36592.184752043642</v>
      </c>
      <c r="M172" s="235">
        <f>'M) Police'!O172</f>
        <v>20227.628320461528</v>
      </c>
      <c r="N172" s="235">
        <f t="shared" si="5"/>
        <v>56819.813072505174</v>
      </c>
      <c r="P172" s="322"/>
    </row>
    <row r="173" spans="1:16" s="155" customFormat="1" x14ac:dyDescent="0.25">
      <c r="A173" s="152">
        <f>'B) D RI'!A174</f>
        <v>5683</v>
      </c>
      <c r="B173" s="153" t="str">
        <f>'B) D RI'!B174</f>
        <v>Prévonloup</v>
      </c>
      <c r="C173" s="317">
        <f>'B) D RI'!S174</f>
        <v>74</v>
      </c>
      <c r="D173" s="154">
        <f>'B) D RI'!AA174</f>
        <v>184</v>
      </c>
      <c r="E173" s="315">
        <f>'D) Ecrêtage'!C172</f>
        <v>3739.7592858383009</v>
      </c>
      <c r="F173" s="319">
        <f>'E) Fact soc'!G178</f>
        <v>71811.515724973113</v>
      </c>
      <c r="G173" s="316">
        <f>'H) Péréquation directe'!I183</f>
        <v>-45288.594298680473</v>
      </c>
      <c r="H173" s="319">
        <f>+'I) Dépenses thématiques'!O172</f>
        <v>-15749.09966497843</v>
      </c>
      <c r="I173" s="316">
        <f>'K) Plafonnement aide'!J172</f>
        <v>0</v>
      </c>
      <c r="J173" s="319">
        <f>'J) Plafonnement effort'!J172</f>
        <v>0</v>
      </c>
      <c r="K173" s="316">
        <f>'L) Plafonnement taux'!Q173</f>
        <v>0</v>
      </c>
      <c r="L173" s="314">
        <f t="shared" si="6"/>
        <v>10773.82176131421</v>
      </c>
      <c r="M173" s="235">
        <f>'M) Police'!O173</f>
        <v>11824.373094211544</v>
      </c>
      <c r="N173" s="235">
        <f t="shared" si="5"/>
        <v>22598.194855525755</v>
      </c>
      <c r="P173" s="322"/>
    </row>
    <row r="174" spans="1:16" s="155" customFormat="1" x14ac:dyDescent="0.25">
      <c r="A174" s="152">
        <f>'B) D RI'!A175</f>
        <v>5684</v>
      </c>
      <c r="B174" s="153" t="str">
        <f>'B) D RI'!B175</f>
        <v>Rossenges</v>
      </c>
      <c r="C174" s="317">
        <f>'B) D RI'!S175</f>
        <v>75</v>
      </c>
      <c r="D174" s="154">
        <f>'B) D RI'!AA175</f>
        <v>65</v>
      </c>
      <c r="E174" s="315">
        <f>'D) Ecrêtage'!C173</f>
        <v>1960.0054491323369</v>
      </c>
      <c r="F174" s="319">
        <f>'E) Fact soc'!G179</f>
        <v>36152.044962176049</v>
      </c>
      <c r="G174" s="316">
        <f>'H) Péréquation directe'!I184</f>
        <v>10306.544960470579</v>
      </c>
      <c r="H174" s="319">
        <f>+'I) Dépenses thématiques'!O173</f>
        <v>0</v>
      </c>
      <c r="I174" s="316">
        <f>'K) Plafonnement aide'!J173</f>
        <v>0</v>
      </c>
      <c r="J174" s="319">
        <f>'J) Plafonnement effort'!J173</f>
        <v>0</v>
      </c>
      <c r="K174" s="316">
        <f>'L) Plafonnement taux'!Q174</f>
        <v>0</v>
      </c>
      <c r="L174" s="314">
        <f t="shared" si="6"/>
        <v>46458.589922646628</v>
      </c>
      <c r="M174" s="235">
        <f>'M) Police'!O174</f>
        <v>6302.3710319972161</v>
      </c>
      <c r="N174" s="235">
        <f t="shared" si="5"/>
        <v>52760.960954643844</v>
      </c>
      <c r="P174" s="322"/>
    </row>
    <row r="175" spans="1:16" s="155" customFormat="1" x14ac:dyDescent="0.25">
      <c r="A175" s="152">
        <f>'B) D RI'!A176</f>
        <v>5688</v>
      </c>
      <c r="B175" s="153" t="str">
        <f>'B) D RI'!B176</f>
        <v>Syens</v>
      </c>
      <c r="C175" s="317">
        <f>'B) D RI'!S176</f>
        <v>75.599999999999994</v>
      </c>
      <c r="D175" s="154">
        <f>'B) D RI'!AA176</f>
        <v>159</v>
      </c>
      <c r="E175" s="315">
        <f>'D) Ecrêtage'!C174</f>
        <v>3766.5702445621059</v>
      </c>
      <c r="F175" s="319">
        <f>'E) Fact soc'!G180</f>
        <v>75715.126077520807</v>
      </c>
      <c r="G175" s="316">
        <f>'H) Péréquation directe'!I185</f>
        <v>-19836.134624405517</v>
      </c>
      <c r="H175" s="319">
        <f>+'I) Dépenses thématiques'!O174</f>
        <v>-35710.949612762284</v>
      </c>
      <c r="I175" s="316">
        <f>'K) Plafonnement aide'!J174</f>
        <v>0</v>
      </c>
      <c r="J175" s="319">
        <f>'J) Plafonnement effort'!J174</f>
        <v>0</v>
      </c>
      <c r="K175" s="316">
        <f>'L) Plafonnement taux'!Q175</f>
        <v>0</v>
      </c>
      <c r="L175" s="314">
        <f t="shared" si="6"/>
        <v>20168.041840353006</v>
      </c>
      <c r="M175" s="235">
        <f>'M) Police'!O175</f>
        <v>11891.701886166102</v>
      </c>
      <c r="N175" s="235">
        <f t="shared" si="5"/>
        <v>32059.743726519107</v>
      </c>
      <c r="P175" s="322"/>
    </row>
    <row r="176" spans="1:16" s="155" customFormat="1" x14ac:dyDescent="0.25">
      <c r="A176" s="152">
        <f>'B) D RI'!A177</f>
        <v>5690</v>
      </c>
      <c r="B176" s="153" t="str">
        <f>'B) D RI'!B177</f>
        <v>Villars-le-Comte</v>
      </c>
      <c r="C176" s="317">
        <f>'B) D RI'!S177</f>
        <v>70</v>
      </c>
      <c r="D176" s="154">
        <f>'B) D RI'!AA177</f>
        <v>132</v>
      </c>
      <c r="E176" s="315">
        <f>'D) Ecrêtage'!C175</f>
        <v>4066.8729144140357</v>
      </c>
      <c r="F176" s="319">
        <f>'E) Fact soc'!G181</f>
        <v>67757.919052899626</v>
      </c>
      <c r="G176" s="316">
        <f>'H) Péréquation directe'!I186</f>
        <v>29955.323473566561</v>
      </c>
      <c r="H176" s="319">
        <f>+'I) Dépenses thématiques'!O175</f>
        <v>0</v>
      </c>
      <c r="I176" s="316">
        <f>'K) Plafonnement aide'!J175</f>
        <v>0</v>
      </c>
      <c r="J176" s="319">
        <f>'J) Plafonnement effort'!J175</f>
        <v>0</v>
      </c>
      <c r="K176" s="316">
        <f>'L) Plafonnement taux'!Q176</f>
        <v>0</v>
      </c>
      <c r="L176" s="314">
        <f t="shared" si="6"/>
        <v>97713.242526466187</v>
      </c>
      <c r="M176" s="235">
        <f>'M) Police'!O176</f>
        <v>12921.296576144072</v>
      </c>
      <c r="N176" s="235">
        <f t="shared" si="5"/>
        <v>110634.53910261026</v>
      </c>
      <c r="P176" s="322"/>
    </row>
    <row r="177" spans="1:16" s="155" customFormat="1" x14ac:dyDescent="0.25">
      <c r="A177" s="152">
        <f>'B) D RI'!A178</f>
        <v>5692</v>
      </c>
      <c r="B177" s="153" t="str">
        <f>'B) D RI'!B178</f>
        <v>Vucherens</v>
      </c>
      <c r="C177" s="317">
        <f>'B) D RI'!S178</f>
        <v>79</v>
      </c>
      <c r="D177" s="154">
        <f>'B) D RI'!AA178</f>
        <v>577</v>
      </c>
      <c r="E177" s="315">
        <f>'D) Ecrêtage'!C176</f>
        <v>16181.962340912567</v>
      </c>
      <c r="F177" s="319">
        <f>'E) Fact soc'!G182</f>
        <v>328128.6166088896</v>
      </c>
      <c r="G177" s="316">
        <f>'H) Péréquation directe'!I187</f>
        <v>15875.208281032683</v>
      </c>
      <c r="H177" s="319">
        <f>+'I) Dépenses thématiques'!O176</f>
        <v>-77982.925261875556</v>
      </c>
      <c r="I177" s="316">
        <f>'K) Plafonnement aide'!J176</f>
        <v>0</v>
      </c>
      <c r="J177" s="319">
        <f>'J) Plafonnement effort'!J176</f>
        <v>0</v>
      </c>
      <c r="K177" s="316">
        <f>'L) Plafonnement taux'!Q177</f>
        <v>0</v>
      </c>
      <c r="L177" s="314">
        <f t="shared" si="6"/>
        <v>266020.89962804673</v>
      </c>
      <c r="M177" s="235">
        <f>'M) Police'!O177</f>
        <v>51520.538695115087</v>
      </c>
      <c r="N177" s="235">
        <f t="shared" si="5"/>
        <v>317541.4383231618</v>
      </c>
      <c r="P177" s="322"/>
    </row>
    <row r="178" spans="1:16" s="155" customFormat="1" x14ac:dyDescent="0.25">
      <c r="A178" s="152">
        <f>'B) D RI'!A179</f>
        <v>5693</v>
      </c>
      <c r="B178" s="153" t="str">
        <f>'B) D RI'!B179</f>
        <v>Montanaire</v>
      </c>
      <c r="C178" s="317">
        <f>'B) D RI'!S179</f>
        <v>72</v>
      </c>
      <c r="D178" s="154">
        <f>'B) D RI'!AA179</f>
        <v>2685</v>
      </c>
      <c r="E178" s="315">
        <f>'D) Ecrêtage'!C177</f>
        <v>69189.830336889005</v>
      </c>
      <c r="F178" s="319">
        <f>'E) Fact soc'!G183</f>
        <v>1235604.3279965213</v>
      </c>
      <c r="G178" s="316">
        <f>'H) Péréquation directe'!I188</f>
        <v>-365416.01620154758</v>
      </c>
      <c r="H178" s="319">
        <f>+'I) Dépenses thématiques'!O177</f>
        <v>-619161.42867792223</v>
      </c>
      <c r="I178" s="316">
        <f>'K) Plafonnement aide'!J177</f>
        <v>0</v>
      </c>
      <c r="J178" s="319">
        <f>'J) Plafonnement effort'!J177</f>
        <v>0</v>
      </c>
      <c r="K178" s="316">
        <f>'L) Plafonnement taux'!Q178</f>
        <v>0</v>
      </c>
      <c r="L178" s="314">
        <f>F178+G178+H178+I178+J178+K178</f>
        <v>251026.88311705145</v>
      </c>
      <c r="M178" s="235">
        <f>'M) Police'!O178</f>
        <v>219572.36057002121</v>
      </c>
      <c r="N178" s="235">
        <f t="shared" si="5"/>
        <v>470599.24368707265</v>
      </c>
      <c r="P178" s="322"/>
    </row>
    <row r="179" spans="1:16" s="155" customFormat="1" x14ac:dyDescent="0.25">
      <c r="A179" s="152">
        <f>'B) D RI'!A180</f>
        <v>5701</v>
      </c>
      <c r="B179" s="153" t="str">
        <f>'B) D RI'!B180</f>
        <v>Arnex-sur-Nyon</v>
      </c>
      <c r="C179" s="317">
        <f>'B) D RI'!S180</f>
        <v>70</v>
      </c>
      <c r="D179" s="154">
        <f>'B) D RI'!AA180</f>
        <v>235</v>
      </c>
      <c r="E179" s="315">
        <f>'D) Ecrêtage'!C178</f>
        <v>13494.151628023246</v>
      </c>
      <c r="F179" s="319">
        <f>'E) Fact soc'!G184</f>
        <v>330111.07368018973</v>
      </c>
      <c r="G179" s="316">
        <f>'H) Péréquation directe'!I189</f>
        <v>244349.84173070182</v>
      </c>
      <c r="H179" s="319">
        <f>+'I) Dépenses thématiques'!O178</f>
        <v>0</v>
      </c>
      <c r="I179" s="316">
        <f>'K) Plafonnement aide'!J178</f>
        <v>0</v>
      </c>
      <c r="J179" s="319">
        <f>'J) Plafonnement effort'!J178</f>
        <v>0</v>
      </c>
      <c r="K179" s="316">
        <f>'L) Plafonnement taux'!Q179</f>
        <v>0</v>
      </c>
      <c r="L179" s="314">
        <f>F179+G179+H179+I179+J179+K179</f>
        <v>574460.91541089152</v>
      </c>
      <c r="M179" s="235">
        <f>'M) Police'!O179</f>
        <v>37353.290374059157</v>
      </c>
      <c r="N179" s="235">
        <f t="shared" si="5"/>
        <v>611814.20578495064</v>
      </c>
      <c r="P179" s="322"/>
    </row>
    <row r="180" spans="1:16" s="155" customFormat="1" x14ac:dyDescent="0.25">
      <c r="A180" s="152">
        <f>'B) D RI'!A181</f>
        <v>5702</v>
      </c>
      <c r="B180" s="153" t="str">
        <f>'B) D RI'!B181</f>
        <v>Arzier-Le Muids</v>
      </c>
      <c r="C180" s="317">
        <f>'B) D RI'!S181</f>
        <v>64</v>
      </c>
      <c r="D180" s="154">
        <f>'B) D RI'!AA181</f>
        <v>2697</v>
      </c>
      <c r="E180" s="315">
        <f>'D) Ecrêtage'!C179</f>
        <v>176187.34911477199</v>
      </c>
      <c r="F180" s="319">
        <f>'E) Fact soc'!G185</f>
        <v>4295653.5206382824</v>
      </c>
      <c r="G180" s="316">
        <f>'H) Péréquation directe'!I190</f>
        <v>2855295.2744334806</v>
      </c>
      <c r="H180" s="319">
        <f>+'I) Dépenses thématiques'!O179</f>
        <v>-269748.14188816847</v>
      </c>
      <c r="I180" s="316">
        <f>'K) Plafonnement aide'!J179</f>
        <v>0</v>
      </c>
      <c r="J180" s="319">
        <f>'J) Plafonnement effort'!J179</f>
        <v>0</v>
      </c>
      <c r="K180" s="316">
        <f>'L) Plafonnement taux'!Q180</f>
        <v>0</v>
      </c>
      <c r="L180" s="314">
        <f t="shared" si="6"/>
        <v>6881200.6531835943</v>
      </c>
      <c r="M180" s="235">
        <f>'M) Police'!O180</f>
        <v>456946.33149527811</v>
      </c>
      <c r="N180" s="235">
        <f t="shared" si="5"/>
        <v>7338146.9846788729</v>
      </c>
      <c r="P180" s="322"/>
    </row>
    <row r="181" spans="1:16" s="155" customFormat="1" x14ac:dyDescent="0.25">
      <c r="A181" s="152">
        <f>'B) D RI'!A182</f>
        <v>5703</v>
      </c>
      <c r="B181" s="153" t="str">
        <f>'B) D RI'!B182</f>
        <v>Bassins</v>
      </c>
      <c r="C181" s="317">
        <f>'B) D RI'!S182</f>
        <v>74</v>
      </c>
      <c r="D181" s="154">
        <f>'B) D RI'!AA182</f>
        <v>1347</v>
      </c>
      <c r="E181" s="315">
        <f>'D) Ecrêtage'!C180</f>
        <v>55300.638649310058</v>
      </c>
      <c r="F181" s="319">
        <f>'E) Fact soc'!G186</f>
        <v>1048759.294302532</v>
      </c>
      <c r="G181" s="316">
        <f>'H) Péréquation directe'!I191</f>
        <v>764836.99005729542</v>
      </c>
      <c r="H181" s="319">
        <f>+'I) Dépenses thématiques'!O180</f>
        <v>-204502.16563495723</v>
      </c>
      <c r="I181" s="316">
        <f>'K) Plafonnement aide'!J180</f>
        <v>0</v>
      </c>
      <c r="J181" s="319">
        <f>'J) Plafonnement effort'!J180</f>
        <v>0</v>
      </c>
      <c r="K181" s="316">
        <f>'L) Plafonnement taux'!Q181</f>
        <v>0</v>
      </c>
      <c r="L181" s="314">
        <f t="shared" si="6"/>
        <v>1609094.1187248703</v>
      </c>
      <c r="M181" s="235">
        <f>'M) Police'!O181</f>
        <v>175577.9758489735</v>
      </c>
      <c r="N181" s="235">
        <f t="shared" si="5"/>
        <v>1784672.0945738438</v>
      </c>
      <c r="P181" s="322"/>
    </row>
    <row r="182" spans="1:16" s="155" customFormat="1" x14ac:dyDescent="0.25">
      <c r="A182" s="152">
        <f>'B) D RI'!A183</f>
        <v>5704</v>
      </c>
      <c r="B182" s="153" t="str">
        <f>'B) D RI'!B183</f>
        <v>Begnins</v>
      </c>
      <c r="C182" s="317">
        <f>'B) D RI'!S183</f>
        <v>64</v>
      </c>
      <c r="D182" s="154">
        <f>'B) D RI'!AA183</f>
        <v>1952</v>
      </c>
      <c r="E182" s="315">
        <f>'D) Ecrêtage'!C181</f>
        <v>122435.43857401636</v>
      </c>
      <c r="F182" s="319">
        <f>'E) Fact soc'!G187</f>
        <v>3063555.8849390666</v>
      </c>
      <c r="G182" s="316">
        <f>'H) Péréquation directe'!I192</f>
        <v>2025559.1915091174</v>
      </c>
      <c r="H182" s="319">
        <f>+'I) Dépenses thématiques'!O181</f>
        <v>0</v>
      </c>
      <c r="I182" s="316">
        <f>'K) Plafonnement aide'!J181</f>
        <v>0</v>
      </c>
      <c r="J182" s="319">
        <f>'J) Plafonnement effort'!J181</f>
        <v>0</v>
      </c>
      <c r="K182" s="316">
        <f>'L) Plafonnement taux'!Q182</f>
        <v>0</v>
      </c>
      <c r="L182" s="314">
        <f t="shared" si="6"/>
        <v>5089115.0764481835</v>
      </c>
      <c r="M182" s="235">
        <f>'M) Police'!O182</f>
        <v>323985.59028274356</v>
      </c>
      <c r="N182" s="235">
        <f t="shared" si="5"/>
        <v>5413100.6667309273</v>
      </c>
      <c r="P182" s="322"/>
    </row>
    <row r="183" spans="1:16" s="155" customFormat="1" x14ac:dyDescent="0.25">
      <c r="A183" s="152">
        <f>'B) D RI'!A184</f>
        <v>5705</v>
      </c>
      <c r="B183" s="153" t="str">
        <f>'B) D RI'!B184</f>
        <v>Bogis-Bossey</v>
      </c>
      <c r="C183" s="317">
        <f>'B) D RI'!S184</f>
        <v>70</v>
      </c>
      <c r="D183" s="154">
        <f>'B) D RI'!AA184</f>
        <v>867</v>
      </c>
      <c r="E183" s="315">
        <f>'D) Ecrêtage'!C182</f>
        <v>49357.057232158906</v>
      </c>
      <c r="F183" s="319">
        <f>'E) Fact soc'!G188</f>
        <v>1102075.7806925485</v>
      </c>
      <c r="G183" s="316">
        <f>'H) Péréquation directe'!I193</f>
        <v>892819.12413311761</v>
      </c>
      <c r="H183" s="319">
        <f>+'I) Dépenses thématiques'!O182</f>
        <v>0</v>
      </c>
      <c r="I183" s="316">
        <f>'K) Plafonnement aide'!J182</f>
        <v>0</v>
      </c>
      <c r="J183" s="319">
        <f>'J) Plafonnement effort'!J182</f>
        <v>0</v>
      </c>
      <c r="K183" s="316">
        <f>'L) Plafonnement taux'!Q183</f>
        <v>0</v>
      </c>
      <c r="L183" s="314">
        <f t="shared" si="6"/>
        <v>1994894.904825666</v>
      </c>
      <c r="M183" s="235">
        <f>'M) Police'!O183</f>
        <v>137242.86795935826</v>
      </c>
      <c r="N183" s="235">
        <f t="shared" si="5"/>
        <v>2132137.7727850243</v>
      </c>
      <c r="P183" s="322"/>
    </row>
    <row r="184" spans="1:16" s="155" customFormat="1" x14ac:dyDescent="0.25">
      <c r="A184" s="152">
        <f>'B) D RI'!A185</f>
        <v>5706</v>
      </c>
      <c r="B184" s="153" t="str">
        <f>'B) D RI'!B185</f>
        <v>Borex</v>
      </c>
      <c r="C184" s="317">
        <f>'B) D RI'!S185</f>
        <v>58</v>
      </c>
      <c r="D184" s="154">
        <f>'B) D RI'!AA185</f>
        <v>1140</v>
      </c>
      <c r="E184" s="315">
        <f>'D) Ecrêtage'!C183</f>
        <v>70814.792156181808</v>
      </c>
      <c r="F184" s="319">
        <f>'E) Fact soc'!G189</f>
        <v>1512148.2758560157</v>
      </c>
      <c r="G184" s="316">
        <f>'H) Péréquation directe'!I194</f>
        <v>1262476.9067244253</v>
      </c>
      <c r="H184" s="319">
        <f>+'I) Dépenses thématiques'!O183</f>
        <v>0</v>
      </c>
      <c r="I184" s="316">
        <f>'K) Plafonnement aide'!J183</f>
        <v>0</v>
      </c>
      <c r="J184" s="319">
        <f>'J) Plafonnement effort'!J183</f>
        <v>0</v>
      </c>
      <c r="K184" s="316">
        <f>'L) Plafonnement taux'!Q184</f>
        <v>0</v>
      </c>
      <c r="L184" s="314">
        <f t="shared" si="6"/>
        <v>2774625.1825804412</v>
      </c>
      <c r="M184" s="235">
        <f>'M) Police'!O184</f>
        <v>188299.03004922095</v>
      </c>
      <c r="N184" s="235">
        <f t="shared" si="5"/>
        <v>2962924.2126296624</v>
      </c>
      <c r="P184" s="322"/>
    </row>
    <row r="185" spans="1:16" s="155" customFormat="1" x14ac:dyDescent="0.25">
      <c r="A185" s="152">
        <f>'B) D RI'!A186</f>
        <v>5707</v>
      </c>
      <c r="B185" s="153" t="str">
        <f>'B) D RI'!B186</f>
        <v>Chavannes-de-Bogis</v>
      </c>
      <c r="C185" s="317">
        <f>'B) D RI'!S186</f>
        <v>59</v>
      </c>
      <c r="D185" s="154">
        <f>'B) D RI'!AA186</f>
        <v>1281</v>
      </c>
      <c r="E185" s="315">
        <f>'D) Ecrêtage'!C184</f>
        <v>74977.772605941107</v>
      </c>
      <c r="F185" s="319">
        <f>'E) Fact soc'!G190</f>
        <v>1838180.6925183372</v>
      </c>
      <c r="G185" s="316">
        <f>'H) Péréquation directe'!I195</f>
        <v>1297612.254642514</v>
      </c>
      <c r="H185" s="319">
        <f>+'I) Dépenses thématiques'!O184</f>
        <v>0</v>
      </c>
      <c r="I185" s="316">
        <f>'K) Plafonnement aide'!J184</f>
        <v>0</v>
      </c>
      <c r="J185" s="319">
        <f>'J) Plafonnement effort'!J184</f>
        <v>0</v>
      </c>
      <c r="K185" s="316">
        <f>'L) Plafonnement taux'!Q185</f>
        <v>0</v>
      </c>
      <c r="L185" s="314">
        <f t="shared" si="6"/>
        <v>3135792.9471608512</v>
      </c>
      <c r="M185" s="235">
        <f>'M) Police'!O185</f>
        <v>205497.59850194212</v>
      </c>
      <c r="N185" s="235">
        <f t="shared" si="5"/>
        <v>3341290.5456627933</v>
      </c>
      <c r="P185" s="322"/>
    </row>
    <row r="186" spans="1:16" s="155" customFormat="1" x14ac:dyDescent="0.25">
      <c r="A186" s="152">
        <f>'B) D RI'!A187</f>
        <v>5708</v>
      </c>
      <c r="B186" s="153" t="str">
        <f>'B) D RI'!B187</f>
        <v>Chavannes-des-Bois</v>
      </c>
      <c r="C186" s="317">
        <f>'B) D RI'!S187</f>
        <v>63</v>
      </c>
      <c r="D186" s="154">
        <f>'B) D RI'!AA187</f>
        <v>964</v>
      </c>
      <c r="E186" s="315">
        <f>'D) Ecrêtage'!C185</f>
        <v>57043.960322475032</v>
      </c>
      <c r="F186" s="319">
        <f>'E) Fact soc'!G191</f>
        <v>1257181.331445985</v>
      </c>
      <c r="G186" s="316">
        <f>'H) Péréquation directe'!I196</f>
        <v>1036616.0248376749</v>
      </c>
      <c r="H186" s="319">
        <f>+'I) Dépenses thématiques'!O185</f>
        <v>0</v>
      </c>
      <c r="I186" s="316">
        <f>'K) Plafonnement aide'!J185</f>
        <v>0</v>
      </c>
      <c r="J186" s="319">
        <f>'J) Plafonnement effort'!J185</f>
        <v>0</v>
      </c>
      <c r="K186" s="316">
        <f>'L) Plafonnement taux'!Q186</f>
        <v>0</v>
      </c>
      <c r="L186" s="314">
        <f t="shared" si="6"/>
        <v>2293797.35628366</v>
      </c>
      <c r="M186" s="235">
        <f>'M) Police'!O186</f>
        <v>155466.83832901085</v>
      </c>
      <c r="N186" s="235">
        <f t="shared" si="5"/>
        <v>2449264.1946126707</v>
      </c>
      <c r="P186" s="322"/>
    </row>
    <row r="187" spans="1:16" s="155" customFormat="1" x14ac:dyDescent="0.25">
      <c r="A187" s="152">
        <f>'B) D RI'!A188</f>
        <v>5709</v>
      </c>
      <c r="B187" s="153" t="str">
        <f>'B) D RI'!B188</f>
        <v>Chéserex</v>
      </c>
      <c r="C187" s="317">
        <f>'B) D RI'!S188</f>
        <v>57</v>
      </c>
      <c r="D187" s="154">
        <f>'B) D RI'!AA188</f>
        <v>1227</v>
      </c>
      <c r="E187" s="315">
        <f>'D) Ecrêtage'!C186</f>
        <v>106115.90679849937</v>
      </c>
      <c r="F187" s="319">
        <f>'E) Fact soc'!G192</f>
        <v>2772775.5696272999</v>
      </c>
      <c r="G187" s="316">
        <f>'H) Péréquation directe'!I197</f>
        <v>1948052.814265006</v>
      </c>
      <c r="H187" s="319">
        <f>+'I) Dépenses thématiques'!O186</f>
        <v>0</v>
      </c>
      <c r="I187" s="316">
        <f>'K) Plafonnement aide'!J186</f>
        <v>0</v>
      </c>
      <c r="J187" s="319">
        <f>'J) Plafonnement effort'!J186</f>
        <v>0</v>
      </c>
      <c r="K187" s="316">
        <f>'L) Plafonnement taux'!Q187</f>
        <v>0</v>
      </c>
      <c r="L187" s="314">
        <f t="shared" si="6"/>
        <v>4720828.3838923061</v>
      </c>
      <c r="M187" s="235">
        <f>'M) Police'!O187</f>
        <v>242293.94979463797</v>
      </c>
      <c r="N187" s="235">
        <f t="shared" si="5"/>
        <v>4963122.3336869441</v>
      </c>
      <c r="P187" s="322"/>
    </row>
    <row r="188" spans="1:16" s="155" customFormat="1" x14ac:dyDescent="0.25">
      <c r="A188" s="152">
        <f>'B) D RI'!A189</f>
        <v>5710</v>
      </c>
      <c r="B188" s="153" t="str">
        <f>'B) D RI'!B189</f>
        <v>Coinsins</v>
      </c>
      <c r="C188" s="317">
        <f>'B) D RI'!S189</f>
        <v>51</v>
      </c>
      <c r="D188" s="154">
        <f>'B) D RI'!AA189</f>
        <v>499</v>
      </c>
      <c r="E188" s="315">
        <f>'D) Ecrêtage'!C187</f>
        <v>136110.49360949438</v>
      </c>
      <c r="F188" s="319">
        <f>'E) Fact soc'!G193</f>
        <v>5215431.9216773305</v>
      </c>
      <c r="G188" s="316">
        <f>'H) Péréquation directe'!I198</f>
        <v>2698350.4421337745</v>
      </c>
      <c r="H188" s="319">
        <f>+'I) Dépenses thématiques'!O187</f>
        <v>0</v>
      </c>
      <c r="I188" s="316">
        <f>'K) Plafonnement aide'!J187</f>
        <v>0</v>
      </c>
      <c r="J188" s="319">
        <f>'J) Plafonnement effort'!J187</f>
        <v>-1320082.4355553747</v>
      </c>
      <c r="K188" s="316">
        <f>'L) Plafonnement taux'!Q188</f>
        <v>0</v>
      </c>
      <c r="L188" s="314">
        <f t="shared" si="6"/>
        <v>6593699.9282557312</v>
      </c>
      <c r="M188" s="235">
        <f>'M) Police'!O188</f>
        <v>221737.69621105865</v>
      </c>
      <c r="N188" s="235">
        <f t="shared" si="5"/>
        <v>6815437.6244667899</v>
      </c>
      <c r="P188" s="322"/>
    </row>
    <row r="189" spans="1:16" s="155" customFormat="1" x14ac:dyDescent="0.25">
      <c r="A189" s="152">
        <f>'B) D RI'!A190</f>
        <v>5711</v>
      </c>
      <c r="B189" s="153" t="str">
        <f>'B) D RI'!B190</f>
        <v>Commugny</v>
      </c>
      <c r="C189" s="317">
        <f>'B) D RI'!S190</f>
        <v>57</v>
      </c>
      <c r="D189" s="154">
        <f>'B) D RI'!AA190</f>
        <v>2877</v>
      </c>
      <c r="E189" s="315">
        <f>'D) Ecrêtage'!C188</f>
        <v>277708.93037627928</v>
      </c>
      <c r="F189" s="319">
        <f>'E) Fact soc'!G194</f>
        <v>7937434.5220791828</v>
      </c>
      <c r="G189" s="316">
        <f>'H) Péréquation directe'!I199</f>
        <v>4851471.3230298124</v>
      </c>
      <c r="H189" s="319">
        <f>+'I) Dépenses thématiques'!O188</f>
        <v>0</v>
      </c>
      <c r="I189" s="316">
        <f>'K) Plafonnement aide'!J188</f>
        <v>0</v>
      </c>
      <c r="J189" s="319">
        <f>'J) Plafonnement effort'!J188</f>
        <v>0</v>
      </c>
      <c r="K189" s="316">
        <f>'L) Plafonnement taux'!Q189</f>
        <v>0</v>
      </c>
      <c r="L189" s="314">
        <f t="shared" si="6"/>
        <v>12788905.845108995</v>
      </c>
      <c r="M189" s="235">
        <f>'M) Police'!O189</f>
        <v>606413.20207686129</v>
      </c>
      <c r="N189" s="235">
        <f t="shared" si="5"/>
        <v>13395319.047185857</v>
      </c>
      <c r="P189" s="322"/>
    </row>
    <row r="190" spans="1:16" s="155" customFormat="1" x14ac:dyDescent="0.25">
      <c r="A190" s="152">
        <f>'B) D RI'!A191</f>
        <v>5712</v>
      </c>
      <c r="B190" s="153" t="str">
        <f>'B) D RI'!B191</f>
        <v>Coppet</v>
      </c>
      <c r="C190" s="317">
        <f>'B) D RI'!S191</f>
        <v>53</v>
      </c>
      <c r="D190" s="154">
        <f>'B) D RI'!AA191</f>
        <v>3126</v>
      </c>
      <c r="E190" s="315">
        <f>'D) Ecrêtage'!C189</f>
        <v>337534.69243130391</v>
      </c>
      <c r="F190" s="319">
        <f>'E) Fact soc'!G195</f>
        <v>11133747.013915241</v>
      </c>
      <c r="G190" s="316">
        <f>'H) Péréquation directe'!I200</f>
        <v>5958944.7370666452</v>
      </c>
      <c r="H190" s="319">
        <f>+'I) Dépenses thématiques'!O189</f>
        <v>0</v>
      </c>
      <c r="I190" s="316">
        <f>'K) Plafonnement aide'!J189</f>
        <v>0</v>
      </c>
      <c r="J190" s="319">
        <f>'J) Plafonnement effort'!J189</f>
        <v>0</v>
      </c>
      <c r="K190" s="316">
        <f>'L) Plafonnement taux'!Q190</f>
        <v>0</v>
      </c>
      <c r="L190" s="314">
        <f t="shared" si="6"/>
        <v>17092691.750981886</v>
      </c>
      <c r="M190" s="235">
        <f>'M) Police'!O190</f>
        <v>706333.41353989556</v>
      </c>
      <c r="N190" s="235">
        <f t="shared" si="5"/>
        <v>17799025.16452178</v>
      </c>
      <c r="P190" s="322"/>
    </row>
    <row r="191" spans="1:16" s="155" customFormat="1" x14ac:dyDescent="0.25">
      <c r="A191" s="152">
        <f>'B) D RI'!A192</f>
        <v>5713</v>
      </c>
      <c r="B191" s="153" t="str">
        <f>'B) D RI'!B192</f>
        <v>Crans-près-Céligny</v>
      </c>
      <c r="C191" s="317">
        <f>'B) D RI'!S192</f>
        <v>53</v>
      </c>
      <c r="D191" s="154">
        <f>'B) D RI'!AA192</f>
        <v>2193</v>
      </c>
      <c r="E191" s="315">
        <f>'D) Ecrêtage'!C190</f>
        <v>273158.77225218777</v>
      </c>
      <c r="F191" s="319">
        <f>'E) Fact soc'!G196</f>
        <v>8642364.8211535383</v>
      </c>
      <c r="G191" s="316">
        <f>'H) Péréquation directe'!I201</f>
        <v>4998341.8421862973</v>
      </c>
      <c r="H191" s="319">
        <f>+'I) Dépenses thématiques'!O190</f>
        <v>0</v>
      </c>
      <c r="I191" s="316">
        <f>'K) Plafonnement aide'!J190</f>
        <v>0</v>
      </c>
      <c r="J191" s="319">
        <f>'J) Plafonnement effort'!J190</f>
        <v>0</v>
      </c>
      <c r="K191" s="316">
        <f>'L) Plafonnement taux'!Q191</f>
        <v>0</v>
      </c>
      <c r="L191" s="314">
        <f t="shared" si="6"/>
        <v>13640706.663339835</v>
      </c>
      <c r="M191" s="235">
        <f>'M) Police'!O191</f>
        <v>362039.83949174633</v>
      </c>
      <c r="N191" s="235">
        <f t="shared" si="5"/>
        <v>14002746.50283158</v>
      </c>
      <c r="P191" s="322"/>
    </row>
    <row r="192" spans="1:16" s="155" customFormat="1" x14ac:dyDescent="0.25">
      <c r="A192" s="152">
        <f>'B) D RI'!A193</f>
        <v>5714</v>
      </c>
      <c r="B192" s="153" t="str">
        <f>'B) D RI'!B193</f>
        <v>Crassier</v>
      </c>
      <c r="C192" s="317">
        <f>'B) D RI'!S193</f>
        <v>64</v>
      </c>
      <c r="D192" s="154">
        <f>'B) D RI'!AA193</f>
        <v>1175</v>
      </c>
      <c r="E192" s="315">
        <f>'D) Ecrêtage'!C191</f>
        <v>74464.147646326936</v>
      </c>
      <c r="F192" s="319">
        <f>'E) Fact soc'!G197</f>
        <v>1661543.5901391152</v>
      </c>
      <c r="G192" s="316">
        <f>'H) Péréquation directe'!I202</f>
        <v>1324257.3264026793</v>
      </c>
      <c r="H192" s="319">
        <f>+'I) Dépenses thématiques'!O191</f>
        <v>0</v>
      </c>
      <c r="I192" s="316">
        <f>'K) Plafonnement aide'!J191</f>
        <v>0</v>
      </c>
      <c r="J192" s="319">
        <f>'J) Plafonnement effort'!J191</f>
        <v>0</v>
      </c>
      <c r="K192" s="316">
        <f>'L) Plafonnement taux'!Q192</f>
        <v>0</v>
      </c>
      <c r="L192" s="314">
        <f t="shared" si="6"/>
        <v>2985800.9165417943</v>
      </c>
      <c r="M192" s="235">
        <f>'M) Police'!O192</f>
        <v>196035.3675029751</v>
      </c>
      <c r="N192" s="235">
        <f t="shared" si="5"/>
        <v>3181836.2840447696</v>
      </c>
      <c r="P192" s="322"/>
    </row>
    <row r="193" spans="1:16" s="155" customFormat="1" x14ac:dyDescent="0.25">
      <c r="A193" s="152">
        <f>'B) D RI'!A194</f>
        <v>5715</v>
      </c>
      <c r="B193" s="153" t="str">
        <f>'B) D RI'!B194</f>
        <v>Duillier</v>
      </c>
      <c r="C193" s="317">
        <f>'B) D RI'!S194</f>
        <v>66</v>
      </c>
      <c r="D193" s="154">
        <f>'B) D RI'!AA194</f>
        <v>1085</v>
      </c>
      <c r="E193" s="315">
        <f>'D) Ecrêtage'!C192</f>
        <v>77556.587804651164</v>
      </c>
      <c r="F193" s="319">
        <f>'E) Fact soc'!G198</f>
        <v>2029319.2632123353</v>
      </c>
      <c r="G193" s="316">
        <f>'H) Péréquation directe'!I203</f>
        <v>1418448.0902158164</v>
      </c>
      <c r="H193" s="319">
        <f>+'I) Dépenses thématiques'!O192</f>
        <v>0</v>
      </c>
      <c r="I193" s="316">
        <f>'K) Plafonnement aide'!J192</f>
        <v>0</v>
      </c>
      <c r="J193" s="319">
        <f>'J) Plafonnement effort'!J192</f>
        <v>0</v>
      </c>
      <c r="K193" s="316">
        <f>'L) Plafonnement taux'!Q193</f>
        <v>0</v>
      </c>
      <c r="L193" s="314">
        <f t="shared" si="6"/>
        <v>3447767.3534281515</v>
      </c>
      <c r="M193" s="235">
        <f>'M) Police'!O193</f>
        <v>192678.05852230449</v>
      </c>
      <c r="N193" s="235">
        <f t="shared" si="5"/>
        <v>3640445.411950456</v>
      </c>
      <c r="P193" s="322"/>
    </row>
    <row r="194" spans="1:16" s="155" customFormat="1" x14ac:dyDescent="0.25">
      <c r="A194" s="152">
        <f>'B) D RI'!A195</f>
        <v>5716</v>
      </c>
      <c r="B194" s="153" t="str">
        <f>'B) D RI'!B195</f>
        <v>Eysins</v>
      </c>
      <c r="C194" s="317">
        <f>'B) D RI'!S195</f>
        <v>61</v>
      </c>
      <c r="D194" s="154">
        <f>'B) D RI'!AA195</f>
        <v>1618</v>
      </c>
      <c r="E194" s="315">
        <f>'D) Ecrêtage'!C193</f>
        <v>177981.86327972834</v>
      </c>
      <c r="F194" s="319">
        <f>'E) Fact soc'!G199</f>
        <v>5651650.3294260614</v>
      </c>
      <c r="G194" s="316">
        <f>'H) Péréquation directe'!I204</f>
        <v>3268962.5995541429</v>
      </c>
      <c r="H194" s="319">
        <f>+'I) Dépenses thématiques'!O193</f>
        <v>0</v>
      </c>
      <c r="I194" s="316">
        <f>'K) Plafonnement aide'!J193</f>
        <v>0</v>
      </c>
      <c r="J194" s="319">
        <f>'J) Plafonnement effort'!J193</f>
        <v>0</v>
      </c>
      <c r="K194" s="316">
        <f>'L) Plafonnement taux'!Q194</f>
        <v>0</v>
      </c>
      <c r="L194" s="314">
        <f t="shared" si="6"/>
        <v>8920612.9289802052</v>
      </c>
      <c r="M194" s="235">
        <f>'M) Police'!O194</f>
        <v>369935.89493915037</v>
      </c>
      <c r="N194" s="235">
        <f t="shared" ref="N194:N254" si="9">L194+M194</f>
        <v>9290548.8239193559</v>
      </c>
      <c r="P194" s="322"/>
    </row>
    <row r="195" spans="1:16" s="155" customFormat="1" x14ac:dyDescent="0.25">
      <c r="A195" s="152">
        <f>'B) D RI'!A196</f>
        <v>5717</v>
      </c>
      <c r="B195" s="153" t="str">
        <f>'B) D RI'!B196</f>
        <v>Founex</v>
      </c>
      <c r="C195" s="317">
        <f>'B) D RI'!S196</f>
        <v>57</v>
      </c>
      <c r="D195" s="154">
        <f>'B) D RI'!AA196</f>
        <v>3790</v>
      </c>
      <c r="E195" s="315">
        <f>'D) Ecrêtage'!C194</f>
        <v>372726.48546710185</v>
      </c>
      <c r="F195" s="319">
        <f>'E) Fact soc'!G200</f>
        <v>10485582.721433911</v>
      </c>
      <c r="G195" s="316">
        <f>'H) Péréquation directe'!I205</f>
        <v>6341056.6980560226</v>
      </c>
      <c r="H195" s="319">
        <f>+'I) Dépenses thématiques'!O194</f>
        <v>0</v>
      </c>
      <c r="I195" s="316">
        <f>'K) Plafonnement aide'!J194</f>
        <v>0</v>
      </c>
      <c r="J195" s="319">
        <f>'J) Plafonnement effort'!J194</f>
        <v>0</v>
      </c>
      <c r="K195" s="316">
        <f>'L) Plafonnement taux'!Q195</f>
        <v>0</v>
      </c>
      <c r="L195" s="314">
        <f t="shared" si="6"/>
        <v>16826639.419489935</v>
      </c>
      <c r="M195" s="235">
        <f>'M) Police'!O195</f>
        <v>807984.5235956579</v>
      </c>
      <c r="N195" s="235">
        <f t="shared" si="9"/>
        <v>17634623.943085592</v>
      </c>
      <c r="P195" s="322"/>
    </row>
    <row r="196" spans="1:16" s="155" customFormat="1" x14ac:dyDescent="0.25">
      <c r="A196" s="152">
        <f>'B) D RI'!A197</f>
        <v>5718</v>
      </c>
      <c r="B196" s="153" t="str">
        <f>'B) D RI'!B197</f>
        <v>Genolier</v>
      </c>
      <c r="C196" s="317">
        <f>'B) D RI'!S197</f>
        <v>55</v>
      </c>
      <c r="D196" s="154">
        <f>'B) D RI'!AA197</f>
        <v>1961</v>
      </c>
      <c r="E196" s="315">
        <f>'D) Ecrêtage'!C195</f>
        <v>170666.41821719555</v>
      </c>
      <c r="F196" s="319">
        <f>'E) Fact soc'!G201</f>
        <v>4854360.8350675534</v>
      </c>
      <c r="G196" s="316">
        <f>'H) Péréquation directe'!I206</f>
        <v>3000657.7735125595</v>
      </c>
      <c r="H196" s="319">
        <f>+'I) Dépenses thématiques'!O195</f>
        <v>0</v>
      </c>
      <c r="I196" s="316">
        <f>'K) Plafonnement aide'!J195</f>
        <v>0</v>
      </c>
      <c r="J196" s="319">
        <f>'J) Plafonnement effort'!J195</f>
        <v>0</v>
      </c>
      <c r="K196" s="316">
        <f>'L) Plafonnement taux'!Q196</f>
        <v>0</v>
      </c>
      <c r="L196" s="314">
        <f t="shared" si="6"/>
        <v>7855018.6085801125</v>
      </c>
      <c r="M196" s="235">
        <f>'M) Police'!O196</f>
        <v>388655.68114849157</v>
      </c>
      <c r="N196" s="235">
        <f t="shared" si="9"/>
        <v>8243674.2897286043</v>
      </c>
      <c r="P196" s="322"/>
    </row>
    <row r="197" spans="1:16" s="155" customFormat="1" x14ac:dyDescent="0.25">
      <c r="A197" s="152">
        <f>'B) D RI'!A198</f>
        <v>5719</v>
      </c>
      <c r="B197" s="153" t="str">
        <f>'B) D RI'!B198</f>
        <v>Gingins</v>
      </c>
      <c r="C197" s="317">
        <f>'B) D RI'!S198</f>
        <v>57</v>
      </c>
      <c r="D197" s="154">
        <f>'B) D RI'!AA198</f>
        <v>1226</v>
      </c>
      <c r="E197" s="315">
        <f>'D) Ecrêtage'!C196</f>
        <v>110505.6531809626</v>
      </c>
      <c r="F197" s="319">
        <f>'E) Fact soc'!G202</f>
        <v>3210032.9964697403</v>
      </c>
      <c r="G197" s="316">
        <f>'H) Péréquation directe'!I207</f>
        <v>2037437.5448854787</v>
      </c>
      <c r="H197" s="319">
        <f>+'I) Dépenses thématiques'!O196</f>
        <v>0</v>
      </c>
      <c r="I197" s="316">
        <f>'K) Plafonnement aide'!J196</f>
        <v>0</v>
      </c>
      <c r="J197" s="319">
        <f>'J) Plafonnement effort'!J196</f>
        <v>0</v>
      </c>
      <c r="K197" s="316">
        <f>'L) Plafonnement taux'!Q197</f>
        <v>0</v>
      </c>
      <c r="L197" s="314">
        <f t="shared" si="6"/>
        <v>5247470.5413552187</v>
      </c>
      <c r="M197" s="235">
        <f>'M) Police'!O197</f>
        <v>248029.19839156102</v>
      </c>
      <c r="N197" s="235">
        <f t="shared" si="9"/>
        <v>5495499.7397467801</v>
      </c>
      <c r="P197" s="322"/>
    </row>
    <row r="198" spans="1:16" s="155" customFormat="1" x14ac:dyDescent="0.25">
      <c r="A198" s="152">
        <f>'B) D RI'!A199</f>
        <v>5720</v>
      </c>
      <c r="B198" s="153" t="str">
        <f>'B) D RI'!B199</f>
        <v>Givrins</v>
      </c>
      <c r="C198" s="317">
        <f>'B) D RI'!S199</f>
        <v>67</v>
      </c>
      <c r="D198" s="154">
        <f>'B) D RI'!AA199</f>
        <v>1033</v>
      </c>
      <c r="E198" s="315">
        <f>'D) Ecrêtage'!C197</f>
        <v>66980.280368955675</v>
      </c>
      <c r="F198" s="319">
        <f>'E) Fact soc'!G203</f>
        <v>1548191.6432160537</v>
      </c>
      <c r="G198" s="316">
        <f>'H) Péréquation directe'!I208</f>
        <v>1222115.7001559807</v>
      </c>
      <c r="H198" s="319">
        <f>+'I) Dépenses thématiques'!O197</f>
        <v>-28261.895726597595</v>
      </c>
      <c r="I198" s="316">
        <f>'K) Plafonnement aide'!J197</f>
        <v>0</v>
      </c>
      <c r="J198" s="319">
        <f>'J) Plafonnement effort'!J197</f>
        <v>0</v>
      </c>
      <c r="K198" s="316">
        <f>'L) Plafonnement taux'!Q198</f>
        <v>0</v>
      </c>
      <c r="L198" s="314">
        <f t="shared" si="6"/>
        <v>2742045.447645437</v>
      </c>
      <c r="M198" s="235">
        <f>'M) Police'!O198</f>
        <v>174352.50980572664</v>
      </c>
      <c r="N198" s="235">
        <f t="shared" si="9"/>
        <v>2916397.9574511638</v>
      </c>
      <c r="P198" s="322"/>
    </row>
    <row r="199" spans="1:16" s="155" customFormat="1" x14ac:dyDescent="0.25">
      <c r="A199" s="152">
        <f>'B) D RI'!A200</f>
        <v>5721</v>
      </c>
      <c r="B199" s="153" t="str">
        <f>'B) D RI'!B200</f>
        <v>Gland</v>
      </c>
      <c r="C199" s="317">
        <f>'B) D RI'!S200</f>
        <v>62.5</v>
      </c>
      <c r="D199" s="154">
        <f>'B) D RI'!AA200</f>
        <v>13101</v>
      </c>
      <c r="E199" s="315">
        <f>'D) Ecrêtage'!C198</f>
        <v>636120.41665849148</v>
      </c>
      <c r="F199" s="319">
        <f>'E) Fact soc'!G204</f>
        <v>12494548.330151677</v>
      </c>
      <c r="G199" s="316">
        <f>'H) Péréquation directe'!I209</f>
        <v>5034043.388465873</v>
      </c>
      <c r="H199" s="319">
        <f>+'I) Dépenses thématiques'!O198</f>
        <v>0</v>
      </c>
      <c r="I199" s="316">
        <f>'K) Plafonnement aide'!J198</f>
        <v>0</v>
      </c>
      <c r="J199" s="319">
        <f>'J) Plafonnement effort'!J198</f>
        <v>0</v>
      </c>
      <c r="K199" s="316">
        <f>'L) Plafonnement taux'!Q199</f>
        <v>0</v>
      </c>
      <c r="L199" s="314">
        <f t="shared" si="6"/>
        <v>17528591.718617551</v>
      </c>
      <c r="M199" s="235">
        <f>'M) Police'!O199</f>
        <v>1928444.2352410201</v>
      </c>
      <c r="N199" s="235">
        <f t="shared" si="9"/>
        <v>19457035.953858569</v>
      </c>
      <c r="P199" s="322"/>
    </row>
    <row r="200" spans="1:16" s="155" customFormat="1" x14ac:dyDescent="0.25">
      <c r="A200" s="152">
        <f>'B) D RI'!A201</f>
        <v>5722</v>
      </c>
      <c r="B200" s="153" t="str">
        <f>'B) D RI'!B201</f>
        <v>Grens</v>
      </c>
      <c r="C200" s="317">
        <f>'B) D RI'!S201</f>
        <v>62</v>
      </c>
      <c r="D200" s="154">
        <f>'B) D RI'!AA201</f>
        <v>391</v>
      </c>
      <c r="E200" s="315">
        <f>'D) Ecrêtage'!C199</f>
        <v>22061.884042906917</v>
      </c>
      <c r="F200" s="319">
        <f>'E) Fact soc'!G205</f>
        <v>417851.2177416177</v>
      </c>
      <c r="G200" s="316">
        <f>'H) Péréquation directe'!I210</f>
        <v>398644.59310801059</v>
      </c>
      <c r="H200" s="319">
        <f>+'I) Dépenses thématiques'!O199</f>
        <v>0</v>
      </c>
      <c r="I200" s="316">
        <f>'K) Plafonnement aide'!J199</f>
        <v>0</v>
      </c>
      <c r="J200" s="319">
        <f>'J) Plafonnement effort'!J199</f>
        <v>0</v>
      </c>
      <c r="K200" s="316">
        <f>'L) Plafonnement taux'!Q200</f>
        <v>0</v>
      </c>
      <c r="L200" s="314">
        <f t="shared" si="6"/>
        <v>816495.81084962829</v>
      </c>
      <c r="M200" s="235">
        <f>'M) Police'!O200</f>
        <v>61632.502200616596</v>
      </c>
      <c r="N200" s="235">
        <f t="shared" si="9"/>
        <v>878128.31305024493</v>
      </c>
      <c r="P200" s="322"/>
    </row>
    <row r="201" spans="1:16" s="155" customFormat="1" x14ac:dyDescent="0.25">
      <c r="A201" s="152">
        <f>'B) D RI'!A202</f>
        <v>5723</v>
      </c>
      <c r="B201" s="153" t="str">
        <f>'B) D RI'!B202</f>
        <v>Mies</v>
      </c>
      <c r="C201" s="317">
        <f>'B) D RI'!S202</f>
        <v>49</v>
      </c>
      <c r="D201" s="154">
        <f>'B) D RI'!AA202</f>
        <v>2075</v>
      </c>
      <c r="E201" s="315">
        <f>'D) Ecrêtage'!C200</f>
        <v>508753.19533233909</v>
      </c>
      <c r="F201" s="319">
        <f>'E) Fact soc'!G206</f>
        <v>19220534.83791947</v>
      </c>
      <c r="G201" s="316">
        <f>'H) Péréquation directe'!I211</f>
        <v>9818046.9553693123</v>
      </c>
      <c r="H201" s="319">
        <f>+'I) Dépenses thématiques'!O200</f>
        <v>0</v>
      </c>
      <c r="I201" s="316">
        <f>'K) Plafonnement aide'!J200</f>
        <v>0</v>
      </c>
      <c r="J201" s="319">
        <f>'J) Plafonnement effort'!J200</f>
        <v>-3770981.2323365016</v>
      </c>
      <c r="K201" s="316">
        <f>'L) Plafonnement taux'!Q201</f>
        <v>0</v>
      </c>
      <c r="L201" s="314">
        <f t="shared" si="6"/>
        <v>25267600.56095228</v>
      </c>
      <c r="M201" s="235">
        <f>'M) Police'!O201</f>
        <v>846194.19282963395</v>
      </c>
      <c r="N201" s="235">
        <f t="shared" si="9"/>
        <v>26113794.753781915</v>
      </c>
      <c r="P201" s="322"/>
    </row>
    <row r="202" spans="1:16" s="155" customFormat="1" x14ac:dyDescent="0.25">
      <c r="A202" s="152">
        <f>'B) D RI'!A203</f>
        <v>5724</v>
      </c>
      <c r="B202" s="153" t="str">
        <f>'B) D RI'!B203</f>
        <v>Nyon</v>
      </c>
      <c r="C202" s="317">
        <f>'B) D RI'!S203</f>
        <v>61</v>
      </c>
      <c r="D202" s="154">
        <f>'B) D RI'!AA203</f>
        <v>21239</v>
      </c>
      <c r="E202" s="315">
        <f>'D) Ecrêtage'!C201</f>
        <v>1284648.9485752215</v>
      </c>
      <c r="F202" s="319">
        <f>'E) Fact soc'!G207</f>
        <v>30511517.456958987</v>
      </c>
      <c r="G202" s="316">
        <f>'H) Péréquation directe'!I212</f>
        <v>9746381.9353669621</v>
      </c>
      <c r="H202" s="319">
        <f>+'I) Dépenses thématiques'!O201</f>
        <v>-787624.32658283028</v>
      </c>
      <c r="I202" s="316">
        <f>'K) Plafonnement aide'!J201</f>
        <v>0</v>
      </c>
      <c r="J202" s="319">
        <f>'J) Plafonnement effort'!J201</f>
        <v>0</v>
      </c>
      <c r="K202" s="316">
        <f>'L) Plafonnement taux'!Q202</f>
        <v>0</v>
      </c>
      <c r="L202" s="314">
        <f t="shared" si="6"/>
        <v>39470275.065743126</v>
      </c>
      <c r="M202" s="235">
        <f>'M) Police'!O202</f>
        <v>1702651.1552630132</v>
      </c>
      <c r="N202" s="235">
        <f t="shared" si="9"/>
        <v>41172926.22100614</v>
      </c>
      <c r="P202" s="322"/>
    </row>
    <row r="203" spans="1:16" s="155" customFormat="1" x14ac:dyDescent="0.25">
      <c r="A203" s="152">
        <f>'B) D RI'!A204</f>
        <v>5725</v>
      </c>
      <c r="B203" s="153" t="str">
        <f>'B) D RI'!B204</f>
        <v>Prangins</v>
      </c>
      <c r="C203" s="317">
        <f>'B) D RI'!S204</f>
        <v>56</v>
      </c>
      <c r="D203" s="154">
        <f>'B) D RI'!AA204</f>
        <v>4040</v>
      </c>
      <c r="E203" s="315">
        <f>'D) Ecrêtage'!C202</f>
        <v>331424.63115044968</v>
      </c>
      <c r="F203" s="319">
        <f>'E) Fact soc'!G208</f>
        <v>9197121.0916265324</v>
      </c>
      <c r="G203" s="316">
        <f>'H) Péréquation directe'!I213</f>
        <v>5378477.1056851875</v>
      </c>
      <c r="H203" s="319">
        <f>+'I) Dépenses thématiques'!O202</f>
        <v>0</v>
      </c>
      <c r="I203" s="316">
        <f>'K) Plafonnement aide'!J202</f>
        <v>0</v>
      </c>
      <c r="J203" s="319">
        <f>'J) Plafonnement effort'!J202</f>
        <v>0</v>
      </c>
      <c r="K203" s="316">
        <f>'L) Plafonnement taux'!Q203</f>
        <v>0</v>
      </c>
      <c r="L203" s="314">
        <f t="shared" si="6"/>
        <v>14575598.19731172</v>
      </c>
      <c r="M203" s="235">
        <f>'M) Police'!O203</f>
        <v>439264.38560260815</v>
      </c>
      <c r="N203" s="235">
        <f t="shared" si="9"/>
        <v>15014862.582914328</v>
      </c>
      <c r="P203" s="322"/>
    </row>
    <row r="204" spans="1:16" s="155" customFormat="1" x14ac:dyDescent="0.25">
      <c r="A204" s="152">
        <f>'B) D RI'!A205</f>
        <v>5726</v>
      </c>
      <c r="B204" s="153" t="str">
        <f>'B) D RI'!B205</f>
        <v>La Rippe</v>
      </c>
      <c r="C204" s="317">
        <f>'B) D RI'!S205</f>
        <v>65</v>
      </c>
      <c r="D204" s="154">
        <f>'B) D RI'!AA205</f>
        <v>1161</v>
      </c>
      <c r="E204" s="315">
        <f>'D) Ecrêtage'!C203</f>
        <v>59775.654047436234</v>
      </c>
      <c r="F204" s="319">
        <f>'E) Fact soc'!G209</f>
        <v>1079600.3584288137</v>
      </c>
      <c r="G204" s="316">
        <f>'H) Péréquation directe'!I214</f>
        <v>1031232.8523095886</v>
      </c>
      <c r="H204" s="319">
        <f>+'I) Dépenses thématiques'!O203</f>
        <v>-25421.38243794108</v>
      </c>
      <c r="I204" s="316">
        <f>'K) Plafonnement aide'!J203</f>
        <v>0</v>
      </c>
      <c r="J204" s="319">
        <f>'J) Plafonnement effort'!J203</f>
        <v>0</v>
      </c>
      <c r="K204" s="316">
        <f>'L) Plafonnement taux'!Q204</f>
        <v>0</v>
      </c>
      <c r="L204" s="314">
        <f t="shared" si="6"/>
        <v>2085411.8283004612</v>
      </c>
      <c r="M204" s="235">
        <f>'M) Police'!O204</f>
        <v>175407.67773728038</v>
      </c>
      <c r="N204" s="235">
        <f t="shared" si="9"/>
        <v>2260819.5060377414</v>
      </c>
      <c r="P204" s="322"/>
    </row>
    <row r="205" spans="1:16" s="155" customFormat="1" x14ac:dyDescent="0.25">
      <c r="A205" s="152">
        <f>'B) D RI'!A206</f>
        <v>5727</v>
      </c>
      <c r="B205" s="153" t="str">
        <f>'B) D RI'!B206</f>
        <v>Saint-Cergue</v>
      </c>
      <c r="C205" s="317">
        <f>'B) D RI'!S206</f>
        <v>66</v>
      </c>
      <c r="D205" s="154">
        <f>'B) D RI'!AA206</f>
        <v>2583</v>
      </c>
      <c r="E205" s="315">
        <f>'D) Ecrêtage'!C204</f>
        <v>84837.616861897855</v>
      </c>
      <c r="F205" s="319">
        <f>'E) Fact soc'!G210</f>
        <v>1617738.3226378025</v>
      </c>
      <c r="G205" s="316">
        <f>'H) Péréquation directe'!I215</f>
        <v>506324.1298156695</v>
      </c>
      <c r="H205" s="319">
        <f>+'I) Dépenses thématiques'!O204</f>
        <v>-287115.25164062093</v>
      </c>
      <c r="I205" s="316">
        <f>'K) Plafonnement aide'!J204</f>
        <v>0</v>
      </c>
      <c r="J205" s="319">
        <f>'J) Plafonnement effort'!J204</f>
        <v>0</v>
      </c>
      <c r="K205" s="316">
        <f>'L) Plafonnement taux'!Q205</f>
        <v>0</v>
      </c>
      <c r="L205" s="314">
        <f t="shared" si="6"/>
        <v>1836947.2008128508</v>
      </c>
      <c r="M205" s="235">
        <f>'M) Police'!O205</f>
        <v>266717.20098083321</v>
      </c>
      <c r="N205" s="235">
        <f t="shared" si="9"/>
        <v>2103664.4017936839</v>
      </c>
      <c r="P205" s="322"/>
    </row>
    <row r="206" spans="1:16" s="155" customFormat="1" x14ac:dyDescent="0.25">
      <c r="A206" s="152">
        <f>'B) D RI'!A207</f>
        <v>5728</v>
      </c>
      <c r="B206" s="153" t="str">
        <f>'B) D RI'!B207</f>
        <v>Signy-Avenex</v>
      </c>
      <c r="C206" s="317">
        <f>'B) D RI'!S207</f>
        <v>58</v>
      </c>
      <c r="D206" s="154">
        <f>'B) D RI'!AA207</f>
        <v>592</v>
      </c>
      <c r="E206" s="315">
        <f>'D) Ecrêtage'!C205</f>
        <v>43642.129855163919</v>
      </c>
      <c r="F206" s="319">
        <f>'E) Fact soc'!G211</f>
        <v>1127173.9707162634</v>
      </c>
      <c r="G206" s="316">
        <f>'H) Péréquation directe'!I216</f>
        <v>811246.45976685162</v>
      </c>
      <c r="H206" s="319">
        <f>+'I) Dépenses thématiques'!O205</f>
        <v>0</v>
      </c>
      <c r="I206" s="316">
        <f>'K) Plafonnement aide'!J205</f>
        <v>0</v>
      </c>
      <c r="J206" s="319">
        <f>'J) Plafonnement effort'!J205</f>
        <v>0</v>
      </c>
      <c r="K206" s="316">
        <f>'L) Plafonnement taux'!Q206</f>
        <v>0</v>
      </c>
      <c r="L206" s="314">
        <f t="shared" si="6"/>
        <v>1938420.4304831149</v>
      </c>
      <c r="M206" s="235">
        <f>'M) Police'!O206</f>
        <v>106886.25818486299</v>
      </c>
      <c r="N206" s="235">
        <f t="shared" si="9"/>
        <v>2045306.6886679779</v>
      </c>
      <c r="P206" s="322"/>
    </row>
    <row r="207" spans="1:16" s="155" customFormat="1" x14ac:dyDescent="0.25">
      <c r="A207" s="152">
        <f>'B) D RI'!A208</f>
        <v>5729</v>
      </c>
      <c r="B207" s="153" t="str">
        <f>'B) D RI'!B208</f>
        <v>Tannay</v>
      </c>
      <c r="C207" s="317">
        <f>'B) D RI'!S208</f>
        <v>61</v>
      </c>
      <c r="D207" s="154">
        <f>'B) D RI'!AA208</f>
        <v>1593</v>
      </c>
      <c r="E207" s="315">
        <f>'D) Ecrêtage'!C206</f>
        <v>140788.91539066879</v>
      </c>
      <c r="F207" s="319">
        <f>'E) Fact soc'!G212</f>
        <v>3826233.2666256139</v>
      </c>
      <c r="G207" s="316">
        <f>'H) Péréquation directe'!I217</f>
        <v>2523337.3928781794</v>
      </c>
      <c r="H207" s="319">
        <f>+'I) Dépenses thématiques'!O206</f>
        <v>0</v>
      </c>
      <c r="I207" s="316">
        <f>'K) Plafonnement aide'!J206</f>
        <v>0</v>
      </c>
      <c r="J207" s="319">
        <f>'J) Plafonnement effort'!J206</f>
        <v>0</v>
      </c>
      <c r="K207" s="316">
        <f>'L) Plafonnement taux'!Q207</f>
        <v>0</v>
      </c>
      <c r="L207" s="314">
        <f t="shared" si="6"/>
        <v>6349570.6595037933</v>
      </c>
      <c r="M207" s="235">
        <f>'M) Police'!O207</f>
        <v>318569.91086772172</v>
      </c>
      <c r="N207" s="235">
        <f t="shared" si="9"/>
        <v>6668140.5703715151</v>
      </c>
      <c r="P207" s="322"/>
    </row>
    <row r="208" spans="1:16" s="155" customFormat="1" x14ac:dyDescent="0.25">
      <c r="A208" s="152">
        <f>'B) D RI'!A209</f>
        <v>5730</v>
      </c>
      <c r="B208" s="153" t="str">
        <f>'B) D RI'!B209</f>
        <v>Trélex</v>
      </c>
      <c r="C208" s="317">
        <f>'B) D RI'!S209</f>
        <v>57</v>
      </c>
      <c r="D208" s="154">
        <f>'B) D RI'!AA209</f>
        <v>1408</v>
      </c>
      <c r="E208" s="315">
        <f>'D) Ecrêtage'!C207</f>
        <v>159385.15609090315</v>
      </c>
      <c r="F208" s="319">
        <f>'E) Fact soc'!G213</f>
        <v>4862243.238494698</v>
      </c>
      <c r="G208" s="316">
        <f>'H) Péréquation directe'!I218</f>
        <v>2965200.7231824696</v>
      </c>
      <c r="H208" s="319">
        <f>+'I) Dépenses thématiques'!O207</f>
        <v>0</v>
      </c>
      <c r="I208" s="316">
        <f>'K) Plafonnement aide'!J207</f>
        <v>0</v>
      </c>
      <c r="J208" s="319">
        <f>'J) Plafonnement effort'!J207</f>
        <v>0</v>
      </c>
      <c r="K208" s="316">
        <f>'L) Plafonnement taux'!Q208</f>
        <v>0</v>
      </c>
      <c r="L208" s="314">
        <f t="shared" si="6"/>
        <v>7827443.9616771676</v>
      </c>
      <c r="M208" s="235">
        <f>'M) Police'!O208</f>
        <v>327890.87116342556</v>
      </c>
      <c r="N208" s="235">
        <f t="shared" si="9"/>
        <v>8155334.8328405935</v>
      </c>
      <c r="P208" s="322"/>
    </row>
    <row r="209" spans="1:16" s="155" customFormat="1" x14ac:dyDescent="0.25">
      <c r="A209" s="152">
        <f>'B) D RI'!A210</f>
        <v>5731</v>
      </c>
      <c r="B209" s="153" t="str">
        <f>'B) D RI'!B210</f>
        <v>Le Vaud</v>
      </c>
      <c r="C209" s="317">
        <f>'B) D RI'!S210</f>
        <v>75</v>
      </c>
      <c r="D209" s="154">
        <f>'B) D RI'!AA210</f>
        <v>1319</v>
      </c>
      <c r="E209" s="315">
        <f>'D) Ecrêtage'!C208</f>
        <v>52787.084696622871</v>
      </c>
      <c r="F209" s="319">
        <f>'E) Fact soc'!G214</f>
        <v>1184998.3431915683</v>
      </c>
      <c r="G209" s="316">
        <f>'H) Péréquation directe'!I219</f>
        <v>692488.55162930209</v>
      </c>
      <c r="H209" s="319">
        <f>+'I) Dépenses thématiques'!O208</f>
        <v>-117972.25307714246</v>
      </c>
      <c r="I209" s="316">
        <f>'K) Plafonnement aide'!J208</f>
        <v>0</v>
      </c>
      <c r="J209" s="319">
        <f>'J) Plafonnement effort'!J208</f>
        <v>0</v>
      </c>
      <c r="K209" s="316">
        <f>'L) Plafonnement taux'!Q209</f>
        <v>0</v>
      </c>
      <c r="L209" s="314">
        <f t="shared" si="6"/>
        <v>1759514.641743728</v>
      </c>
      <c r="M209" s="235">
        <f>'M) Police'!O209</f>
        <v>168692.22395178431</v>
      </c>
      <c r="N209" s="235">
        <f t="shared" si="9"/>
        <v>1928206.8656955124</v>
      </c>
      <c r="P209" s="322"/>
    </row>
    <row r="210" spans="1:16" s="155" customFormat="1" x14ac:dyDescent="0.25">
      <c r="A210" s="152">
        <f>'B) D RI'!A211</f>
        <v>5732</v>
      </c>
      <c r="B210" s="153" t="str">
        <f>'B) D RI'!B211</f>
        <v>Vich</v>
      </c>
      <c r="C210" s="317">
        <f>'B) D RI'!S211</f>
        <v>67</v>
      </c>
      <c r="D210" s="154">
        <f>'B) D RI'!AA211</f>
        <v>1039</v>
      </c>
      <c r="E210" s="315">
        <f>'D) Ecrêtage'!C209</f>
        <v>63679.159894206758</v>
      </c>
      <c r="F210" s="319">
        <f>'E) Fact soc'!G215</f>
        <v>1665162.8166529909</v>
      </c>
      <c r="G210" s="316">
        <f>'H) Péréquation directe'!I220</f>
        <v>1153062.7979009841</v>
      </c>
      <c r="H210" s="319">
        <f>+'I) Dépenses thématiques'!O209</f>
        <v>0</v>
      </c>
      <c r="I210" s="316">
        <f>'K) Plafonnement aide'!J209</f>
        <v>0</v>
      </c>
      <c r="J210" s="319">
        <f>'J) Plafonnement effort'!J209</f>
        <v>0</v>
      </c>
      <c r="K210" s="316">
        <f>'L) Plafonnement taux'!Q210</f>
        <v>0</v>
      </c>
      <c r="L210" s="314">
        <f t="shared" si="6"/>
        <v>2818225.6145539749</v>
      </c>
      <c r="M210" s="235">
        <f>'M) Police'!O210</f>
        <v>170474.32769366278</v>
      </c>
      <c r="N210" s="235">
        <f t="shared" si="9"/>
        <v>2988699.9422476375</v>
      </c>
      <c r="P210" s="322"/>
    </row>
    <row r="211" spans="1:16" s="155" customFormat="1" x14ac:dyDescent="0.25">
      <c r="A211" s="152">
        <f>'B) D RI'!A212</f>
        <v>5741</v>
      </c>
      <c r="B211" s="153" t="str">
        <f>'B) D RI'!B212</f>
        <v>L'Abergement</v>
      </c>
      <c r="C211" s="317">
        <f>'B) D RI'!S212</f>
        <v>81</v>
      </c>
      <c r="D211" s="154">
        <f>'B) D RI'!AA212</f>
        <v>248</v>
      </c>
      <c r="E211" s="315">
        <f>'D) Ecrêtage'!C210</f>
        <v>7417.8594757266228</v>
      </c>
      <c r="F211" s="319">
        <f>'E) Fact soc'!G216</f>
        <v>138080.13424146251</v>
      </c>
      <c r="G211" s="316">
        <f>'H) Péréquation directe'!I221</f>
        <v>22984.225479121669</v>
      </c>
      <c r="H211" s="319">
        <f>+'I) Dépenses thématiques'!O210</f>
        <v>-124846.59845224708</v>
      </c>
      <c r="I211" s="316">
        <f>'K) Plafonnement aide'!J210</f>
        <v>0</v>
      </c>
      <c r="J211" s="319">
        <f>'J) Plafonnement effort'!J210</f>
        <v>0</v>
      </c>
      <c r="K211" s="316">
        <f>'L) Plafonnement taux'!Q211</f>
        <v>0</v>
      </c>
      <c r="L211" s="314">
        <f t="shared" si="6"/>
        <v>36217.761268337097</v>
      </c>
      <c r="M211" s="235">
        <f>'M) Police'!O211</f>
        <v>23750.670244413872</v>
      </c>
      <c r="N211" s="235">
        <f t="shared" si="9"/>
        <v>59968.431512750969</v>
      </c>
      <c r="P211" s="322"/>
    </row>
    <row r="212" spans="1:16" s="155" customFormat="1" x14ac:dyDescent="0.25">
      <c r="A212" s="152">
        <f>'B) D RI'!A213</f>
        <v>5742</v>
      </c>
      <c r="B212" s="153" t="str">
        <f>'B) D RI'!B213</f>
        <v>Agiez</v>
      </c>
      <c r="C212" s="317">
        <f>'B) D RI'!S213</f>
        <v>76</v>
      </c>
      <c r="D212" s="154">
        <f>'B) D RI'!AA213</f>
        <v>327</v>
      </c>
      <c r="E212" s="315">
        <f>'D) Ecrêtage'!C211</f>
        <v>9044.2293566491917</v>
      </c>
      <c r="F212" s="319">
        <f>'E) Fact soc'!G217</f>
        <v>150305.81450964147</v>
      </c>
      <c r="G212" s="316">
        <f>'H) Péréquation directe'!I222</f>
        <v>13672.371119805903</v>
      </c>
      <c r="H212" s="319">
        <f>+'I) Dépenses thématiques'!O211</f>
        <v>-6781.5694879272778</v>
      </c>
      <c r="I212" s="316">
        <f>'K) Plafonnement aide'!J211</f>
        <v>0</v>
      </c>
      <c r="J212" s="319">
        <f>'J) Plafonnement effort'!J211</f>
        <v>0</v>
      </c>
      <c r="K212" s="316">
        <f>'L) Plafonnement taux'!Q212</f>
        <v>0</v>
      </c>
      <c r="L212" s="314">
        <f t="shared" si="6"/>
        <v>157196.61614152009</v>
      </c>
      <c r="M212" s="235">
        <f>'M) Police'!O212</f>
        <v>28739.316203464117</v>
      </c>
      <c r="N212" s="235">
        <f t="shared" si="9"/>
        <v>185935.9323449842</v>
      </c>
      <c r="P212" s="322"/>
    </row>
    <row r="213" spans="1:16" s="155" customFormat="1" x14ac:dyDescent="0.25">
      <c r="A213" s="152">
        <f>'B) D RI'!A214</f>
        <v>5743</v>
      </c>
      <c r="B213" s="153" t="str">
        <f>'B) D RI'!B214</f>
        <v>Arnex-sur-Orbe</v>
      </c>
      <c r="C213" s="317">
        <f>'B) D RI'!S214</f>
        <v>73</v>
      </c>
      <c r="D213" s="154">
        <f>'B) D RI'!AA214</f>
        <v>631</v>
      </c>
      <c r="E213" s="315">
        <f>'D) Ecrêtage'!C212</f>
        <v>18380.074354130466</v>
      </c>
      <c r="F213" s="319">
        <f>'E) Fact soc'!G218</f>
        <v>433232.00045217597</v>
      </c>
      <c r="G213" s="316">
        <f>'H) Péréquation directe'!I223</f>
        <v>84113.985491750878</v>
      </c>
      <c r="H213" s="319">
        <f>+'I) Dépenses thématiques'!O212</f>
        <v>-65985.07732660789</v>
      </c>
      <c r="I213" s="316">
        <f>'K) Plafonnement aide'!J212</f>
        <v>0</v>
      </c>
      <c r="J213" s="319">
        <f>'J) Plafonnement effort'!J212</f>
        <v>0</v>
      </c>
      <c r="K213" s="316">
        <f>'L) Plafonnement taux'!Q213</f>
        <v>0</v>
      </c>
      <c r="L213" s="314">
        <f t="shared" si="6"/>
        <v>451360.90861731896</v>
      </c>
      <c r="M213" s="235">
        <f>'M) Police'!O213</f>
        <v>58826.668587161381</v>
      </c>
      <c r="N213" s="235">
        <f t="shared" si="9"/>
        <v>510187.57720448036</v>
      </c>
      <c r="P213" s="322"/>
    </row>
    <row r="214" spans="1:16" s="155" customFormat="1" x14ac:dyDescent="0.25">
      <c r="A214" s="152">
        <f>'B) D RI'!A215</f>
        <v>5744</v>
      </c>
      <c r="B214" s="153" t="str">
        <f>'B) D RI'!B215</f>
        <v>Ballaigues</v>
      </c>
      <c r="C214" s="317">
        <f>'B) D RI'!S215</f>
        <v>66</v>
      </c>
      <c r="D214" s="154">
        <f>'B) D RI'!AA215</f>
        <v>1075</v>
      </c>
      <c r="E214" s="315">
        <f>'D) Ecrêtage'!C213</f>
        <v>36664.575000922312</v>
      </c>
      <c r="F214" s="319">
        <f>'E) Fact soc'!G219</f>
        <v>1001497.786500917</v>
      </c>
      <c r="G214" s="316">
        <f>'H) Péréquation directe'!I224</f>
        <v>392964.30708814203</v>
      </c>
      <c r="H214" s="319">
        <f>+'I) Dépenses thématiques'!O213</f>
        <v>-521545.78166513471</v>
      </c>
      <c r="I214" s="316">
        <f>'K) Plafonnement aide'!J213</f>
        <v>0</v>
      </c>
      <c r="J214" s="319">
        <f>'J) Plafonnement effort'!J213</f>
        <v>0</v>
      </c>
      <c r="K214" s="316">
        <f>'L) Plafonnement taux'!Q214</f>
        <v>0</v>
      </c>
      <c r="L214" s="314">
        <f t="shared" si="6"/>
        <v>872916.31192392437</v>
      </c>
      <c r="M214" s="235">
        <f>'M) Police'!O214</f>
        <v>116617.37319378136</v>
      </c>
      <c r="N214" s="235">
        <f t="shared" si="9"/>
        <v>989533.68511770573</v>
      </c>
      <c r="P214" s="322"/>
    </row>
    <row r="215" spans="1:16" s="155" customFormat="1" x14ac:dyDescent="0.25">
      <c r="A215" s="152">
        <f>'B) D RI'!A216</f>
        <v>5745</v>
      </c>
      <c r="B215" s="153" t="str">
        <f>'B) D RI'!B216</f>
        <v>Baulmes</v>
      </c>
      <c r="C215" s="317">
        <f>'B) D RI'!S216</f>
        <v>78</v>
      </c>
      <c r="D215" s="154">
        <f>'B) D RI'!AA216</f>
        <v>1027</v>
      </c>
      <c r="E215" s="315">
        <f>'D) Ecrêtage'!C214</f>
        <v>26462.919353923764</v>
      </c>
      <c r="F215" s="319">
        <f>'E) Fact soc'!G220</f>
        <v>621213.73741733329</v>
      </c>
      <c r="G215" s="316">
        <f>'H) Péréquation directe'!I225</f>
        <v>-71093.983071094379</v>
      </c>
      <c r="H215" s="319">
        <f>+'I) Dépenses thématiques'!O214</f>
        <v>-304410.48797882767</v>
      </c>
      <c r="I215" s="316">
        <f>'K) Plafonnement aide'!J214</f>
        <v>0</v>
      </c>
      <c r="J215" s="319">
        <f>'J) Plafonnement effort'!J214</f>
        <v>0</v>
      </c>
      <c r="K215" s="316">
        <f>'L) Plafonnement taux'!Q215</f>
        <v>0</v>
      </c>
      <c r="L215" s="314">
        <f t="shared" si="6"/>
        <v>245709.26636741124</v>
      </c>
      <c r="M215" s="235">
        <f>'M) Police'!O215</f>
        <v>84808.952915194881</v>
      </c>
      <c r="N215" s="235">
        <f t="shared" si="9"/>
        <v>330518.21928260615</v>
      </c>
      <c r="P215" s="322"/>
    </row>
    <row r="216" spans="1:16" s="155" customFormat="1" x14ac:dyDescent="0.25">
      <c r="A216" s="152">
        <f>'B) D RI'!A217</f>
        <v>5746</v>
      </c>
      <c r="B216" s="153" t="str">
        <f>'B) D RI'!B217</f>
        <v>Bavois</v>
      </c>
      <c r="C216" s="317">
        <f>'B) D RI'!S217</f>
        <v>73</v>
      </c>
      <c r="D216" s="154">
        <f>'B) D RI'!AA217</f>
        <v>942</v>
      </c>
      <c r="E216" s="315">
        <f>'D) Ecrêtage'!C215</f>
        <v>26553.96285852553</v>
      </c>
      <c r="F216" s="319">
        <f>'E) Fact soc'!G221</f>
        <v>480772.10537827434</v>
      </c>
      <c r="G216" s="316">
        <f>'H) Péréquation directe'!I226</f>
        <v>88864.709339740919</v>
      </c>
      <c r="H216" s="319">
        <f>+'I) Dépenses thématiques'!O215</f>
        <v>-235678.72964005862</v>
      </c>
      <c r="I216" s="316">
        <f>'K) Plafonnement aide'!J215</f>
        <v>0</v>
      </c>
      <c r="J216" s="319">
        <f>'J) Plafonnement effort'!J215</f>
        <v>0</v>
      </c>
      <c r="K216" s="316">
        <f>'L) Plafonnement taux'!Q216</f>
        <v>0</v>
      </c>
      <c r="L216" s="314">
        <f t="shared" si="6"/>
        <v>333958.08507795667</v>
      </c>
      <c r="M216" s="235">
        <f>'M) Police'!O216</f>
        <v>83637.303206640849</v>
      </c>
      <c r="N216" s="235">
        <f t="shared" si="9"/>
        <v>417595.38828459755</v>
      </c>
      <c r="P216" s="322"/>
    </row>
    <row r="217" spans="1:16" s="155" customFormat="1" x14ac:dyDescent="0.25">
      <c r="A217" s="152">
        <f>'B) D RI'!A218</f>
        <v>5747</v>
      </c>
      <c r="B217" s="153" t="str">
        <f>'B) D RI'!B218</f>
        <v>Bofflens</v>
      </c>
      <c r="C217" s="317">
        <f>'B) D RI'!S218</f>
        <v>69</v>
      </c>
      <c r="D217" s="154">
        <f>'B) D RI'!AA218</f>
        <v>196</v>
      </c>
      <c r="E217" s="315">
        <f>'D) Ecrêtage'!C216</f>
        <v>4975.9343453180645</v>
      </c>
      <c r="F217" s="319">
        <f>'E) Fact soc'!G222</f>
        <v>96159.615041023135</v>
      </c>
      <c r="G217" s="316">
        <f>'H) Péréquation directe'!I227</f>
        <v>4322.3135337103013</v>
      </c>
      <c r="H217" s="319">
        <f>+'I) Dépenses thématiques'!O216</f>
        <v>-38262.918921254728</v>
      </c>
      <c r="I217" s="316">
        <f>'K) Plafonnement aide'!J216</f>
        <v>0</v>
      </c>
      <c r="J217" s="319">
        <f>'J) Plafonnement effort'!J216</f>
        <v>0</v>
      </c>
      <c r="K217" s="316">
        <f>'L) Plafonnement taux'!Q217</f>
        <v>0</v>
      </c>
      <c r="L217" s="314">
        <f t="shared" si="6"/>
        <v>62219.009653478708</v>
      </c>
      <c r="M217" s="235">
        <f>'M) Police'!O217</f>
        <v>15706.399176642339</v>
      </c>
      <c r="N217" s="235">
        <f t="shared" si="9"/>
        <v>77925.408830121043</v>
      </c>
      <c r="P217" s="322"/>
    </row>
    <row r="218" spans="1:16" s="155" customFormat="1" x14ac:dyDescent="0.25">
      <c r="A218" s="152">
        <f>'B) D RI'!A219</f>
        <v>5748</v>
      </c>
      <c r="B218" s="153" t="str">
        <f>'B) D RI'!B219</f>
        <v>Bretonnières</v>
      </c>
      <c r="C218" s="317">
        <f>'B) D RI'!S219</f>
        <v>72</v>
      </c>
      <c r="D218" s="154">
        <f>'B) D RI'!AA219</f>
        <v>265</v>
      </c>
      <c r="E218" s="315">
        <f>'D) Ecrêtage'!C217</f>
        <v>5547.867770022187</v>
      </c>
      <c r="F218" s="319">
        <f>'E) Fact soc'!G223</f>
        <v>109215.58020836918</v>
      </c>
      <c r="G218" s="316">
        <f>'H) Péréquation directe'!I228</f>
        <v>-51069.631455888259</v>
      </c>
      <c r="H218" s="319">
        <f>+'I) Dépenses thématiques'!O217</f>
        <v>-55232.336621848022</v>
      </c>
      <c r="I218" s="316">
        <f>'K) Plafonnement aide'!J217</f>
        <v>0</v>
      </c>
      <c r="J218" s="319">
        <f>'J) Plafonnement effort'!J217</f>
        <v>0</v>
      </c>
      <c r="K218" s="316">
        <f>'L) Plafonnement taux'!Q218</f>
        <v>0</v>
      </c>
      <c r="L218" s="314">
        <f t="shared" si="6"/>
        <v>2913.6121306329005</v>
      </c>
      <c r="M218" s="235">
        <f>'M) Police'!O218</f>
        <v>17397.867698175796</v>
      </c>
      <c r="N218" s="235">
        <f t="shared" si="9"/>
        <v>20311.479828808697</v>
      </c>
      <c r="P218" s="322"/>
    </row>
    <row r="219" spans="1:16" s="155" customFormat="1" x14ac:dyDescent="0.25">
      <c r="A219" s="152">
        <f>'B) D RI'!A220</f>
        <v>5749</v>
      </c>
      <c r="B219" s="153" t="str">
        <f>'B) D RI'!B220</f>
        <v>Chavornay</v>
      </c>
      <c r="C219" s="317">
        <f>'B) D RI'!S220</f>
        <v>72</v>
      </c>
      <c r="D219" s="154">
        <f>'B) D RI'!AA220</f>
        <v>4996</v>
      </c>
      <c r="E219" s="315">
        <f>'D) Ecrêtage'!C218</f>
        <v>136712.84503559873</v>
      </c>
      <c r="F219" s="319">
        <f>'E) Fact soc'!G224</f>
        <v>2497620.9453546721</v>
      </c>
      <c r="G219" s="316">
        <f>'H) Péréquation directe'!I229</f>
        <v>-846519.49417368975</v>
      </c>
      <c r="H219" s="319">
        <f>+'I) Dépenses thématiques'!O218</f>
        <v>-500985.04513208667</v>
      </c>
      <c r="I219" s="316">
        <f>'K) Plafonnement aide'!J218</f>
        <v>0</v>
      </c>
      <c r="J219" s="319">
        <f>'J) Plafonnement effort'!J218</f>
        <v>0</v>
      </c>
      <c r="K219" s="316">
        <f>'L) Plafonnement taux'!Q219</f>
        <v>0</v>
      </c>
      <c r="L219" s="314">
        <f t="shared" ref="L219" si="10">F219+G219+H219+I219+J219+K219</f>
        <v>1150116.4060488958</v>
      </c>
      <c r="M219" s="235">
        <f>'M) Police'!O219</f>
        <v>431288.56613412715</v>
      </c>
      <c r="N219" s="235">
        <f t="shared" ref="N219" si="11">L219+M219</f>
        <v>1581404.9721830229</v>
      </c>
      <c r="P219" s="322"/>
    </row>
    <row r="220" spans="1:16" s="155" customFormat="1" x14ac:dyDescent="0.25">
      <c r="A220" s="152">
        <f>'B) D RI'!A221</f>
        <v>5750</v>
      </c>
      <c r="B220" s="153" t="str">
        <f>'B) D RI'!B221</f>
        <v>Les Clées</v>
      </c>
      <c r="C220" s="317">
        <f>'B) D RI'!S221</f>
        <v>80</v>
      </c>
      <c r="D220" s="154">
        <f>'B) D RI'!AA221</f>
        <v>185</v>
      </c>
      <c r="E220" s="315">
        <f>'D) Ecrêtage'!C219</f>
        <v>5161.3627278037393</v>
      </c>
      <c r="F220" s="319">
        <f>'E) Fact soc'!G225</f>
        <v>79591.055148962041</v>
      </c>
      <c r="G220" s="316">
        <f>'H) Péréquation directe'!I230</f>
        <v>1894.2446733002143</v>
      </c>
      <c r="H220" s="319">
        <f>+'I) Dépenses thématiques'!O219</f>
        <v>-50799.363732669357</v>
      </c>
      <c r="I220" s="316">
        <f>'K) Plafonnement aide'!J219</f>
        <v>0</v>
      </c>
      <c r="J220" s="319">
        <f>'J) Plafonnement effort'!J219</f>
        <v>0</v>
      </c>
      <c r="K220" s="316">
        <f>'L) Plafonnement taux'!Q220</f>
        <v>0</v>
      </c>
      <c r="L220" s="314">
        <f t="shared" si="6"/>
        <v>30685.936089592898</v>
      </c>
      <c r="M220" s="235">
        <f>'M) Police'!O220</f>
        <v>16570.282470488248</v>
      </c>
      <c r="N220" s="235">
        <f t="shared" si="9"/>
        <v>47256.21856008115</v>
      </c>
      <c r="P220" s="322"/>
    </row>
    <row r="221" spans="1:16" s="155" customFormat="1" x14ac:dyDescent="0.25">
      <c r="A221" s="152">
        <f>'B) D RI'!A222</f>
        <v>5752</v>
      </c>
      <c r="B221" s="153" t="str">
        <f>'B) D RI'!B222</f>
        <v>Croy</v>
      </c>
      <c r="C221" s="317">
        <f>'B) D RI'!S222</f>
        <v>74</v>
      </c>
      <c r="D221" s="154">
        <f>'B) D RI'!AA222</f>
        <v>404</v>
      </c>
      <c r="E221" s="315">
        <f>'D) Ecrêtage'!C220</f>
        <v>10757.15843408766</v>
      </c>
      <c r="F221" s="319">
        <f>'E) Fact soc'!G226</f>
        <v>192543.8482392311</v>
      </c>
      <c r="G221" s="316">
        <f>'H) Péréquation directe'!I231</f>
        <v>7637.9373734309047</v>
      </c>
      <c r="H221" s="319">
        <f>+'I) Dépenses thématiques'!O220</f>
        <v>-151788.47006723422</v>
      </c>
      <c r="I221" s="316">
        <f>'K) Plafonnement aide'!J220</f>
        <v>0</v>
      </c>
      <c r="J221" s="319">
        <f>'J) Plafonnement effort'!J220</f>
        <v>0</v>
      </c>
      <c r="K221" s="316">
        <f>'L) Plafonnement taux'!Q221</f>
        <v>0</v>
      </c>
      <c r="L221" s="314">
        <f t="shared" ref="L221:L265" si="12">F221+G221+H221+I221+J221+K221</f>
        <v>48393.315545427788</v>
      </c>
      <c r="M221" s="235">
        <f>'M) Police'!O221</f>
        <v>34312.31786159589</v>
      </c>
      <c r="N221" s="235">
        <f t="shared" si="9"/>
        <v>82705.633407023677</v>
      </c>
      <c r="P221" s="322"/>
    </row>
    <row r="222" spans="1:16" s="155" customFormat="1" x14ac:dyDescent="0.25">
      <c r="A222" s="152">
        <f>'B) D RI'!A223</f>
        <v>5754</v>
      </c>
      <c r="B222" s="153" t="str">
        <f>'B) D RI'!B223</f>
        <v>Juriens</v>
      </c>
      <c r="C222" s="317">
        <f>'B) D RI'!S223</f>
        <v>79</v>
      </c>
      <c r="D222" s="154">
        <f>'B) D RI'!AA223</f>
        <v>308</v>
      </c>
      <c r="E222" s="315">
        <f>'D) Ecrêtage'!C221</f>
        <v>8043.6966976741023</v>
      </c>
      <c r="F222" s="319">
        <f>'E) Fact soc'!G227</f>
        <v>128643.32207824853</v>
      </c>
      <c r="G222" s="316">
        <f>'H) Péréquation directe'!I232</f>
        <v>-18322.205597774766</v>
      </c>
      <c r="H222" s="319">
        <f>+'I) Dépenses thématiques'!O221</f>
        <v>-25703.21032575981</v>
      </c>
      <c r="I222" s="316">
        <f>'K) Plafonnement aide'!J221</f>
        <v>0</v>
      </c>
      <c r="J222" s="319">
        <f>'J) Plafonnement effort'!J221</f>
        <v>0</v>
      </c>
      <c r="K222" s="316">
        <f>'L) Plafonnement taux'!Q222</f>
        <v>0</v>
      </c>
      <c r="L222" s="314">
        <f t="shared" si="12"/>
        <v>84617.906154713957</v>
      </c>
      <c r="M222" s="235">
        <f>'M) Police'!O222</f>
        <v>25753.808240285249</v>
      </c>
      <c r="N222" s="235">
        <f t="shared" si="9"/>
        <v>110371.7143949992</v>
      </c>
      <c r="P222" s="322"/>
    </row>
    <row r="223" spans="1:16" s="155" customFormat="1" x14ac:dyDescent="0.25">
      <c r="A223" s="152">
        <f>'B) D RI'!A224</f>
        <v>5755</v>
      </c>
      <c r="B223" s="153" t="str">
        <f>'B) D RI'!B224</f>
        <v>Lignerolle</v>
      </c>
      <c r="C223" s="317">
        <f>'B) D RI'!S224</f>
        <v>80</v>
      </c>
      <c r="D223" s="154">
        <f>'B) D RI'!AA224</f>
        <v>422</v>
      </c>
      <c r="E223" s="315">
        <f>'D) Ecrêtage'!C222</f>
        <v>9515.1754002495127</v>
      </c>
      <c r="F223" s="319">
        <f>'E) Fact soc'!G228</f>
        <v>167768.69019446126</v>
      </c>
      <c r="G223" s="316">
        <f>'H) Péréquation directe'!I233</f>
        <v>-98955.294537564012</v>
      </c>
      <c r="H223" s="319">
        <f>+'I) Dépenses thématiques'!O222</f>
        <v>-179433.27419592493</v>
      </c>
      <c r="I223" s="316">
        <f>'K) Plafonnement aide'!J222</f>
        <v>0</v>
      </c>
      <c r="J223" s="319">
        <f>'J) Plafonnement effort'!J222</f>
        <v>0</v>
      </c>
      <c r="K223" s="316">
        <f>'L) Plafonnement taux'!Q223</f>
        <v>0</v>
      </c>
      <c r="L223" s="314">
        <f t="shared" si="12"/>
        <v>-110619.87853902768</v>
      </c>
      <c r="M223" s="235">
        <f>'M) Police'!O223</f>
        <v>30145.453597763844</v>
      </c>
      <c r="N223" s="235">
        <f t="shared" si="9"/>
        <v>-80474.424941263831</v>
      </c>
      <c r="P223" s="322"/>
    </row>
    <row r="224" spans="1:16" s="155" customFormat="1" x14ac:dyDescent="0.25">
      <c r="A224" s="152">
        <f>'B) D RI'!A225</f>
        <v>5756</v>
      </c>
      <c r="B224" s="153" t="str">
        <f>'B) D RI'!B225</f>
        <v>Montcherand</v>
      </c>
      <c r="C224" s="317">
        <f>'B) D RI'!S225</f>
        <v>72</v>
      </c>
      <c r="D224" s="154">
        <f>'B) D RI'!AA225</f>
        <v>489</v>
      </c>
      <c r="E224" s="315">
        <f>'D) Ecrêtage'!C223</f>
        <v>16469.035494125688</v>
      </c>
      <c r="F224" s="319">
        <f>'E) Fact soc'!G229</f>
        <v>268180.39736784721</v>
      </c>
      <c r="G224" s="316">
        <f>'H) Péréquation directe'!I234</f>
        <v>160613.36132485131</v>
      </c>
      <c r="H224" s="319">
        <f>+'I) Dépenses thématiques'!O223</f>
        <v>-62488.65346375126</v>
      </c>
      <c r="I224" s="316">
        <f>'K) Plafonnement aide'!J223</f>
        <v>0</v>
      </c>
      <c r="J224" s="319">
        <f>'J) Plafonnement effort'!J223</f>
        <v>0</v>
      </c>
      <c r="K224" s="316">
        <f>'L) Plafonnement taux'!Q224</f>
        <v>0</v>
      </c>
      <c r="L224" s="314">
        <f t="shared" si="12"/>
        <v>366305.1052289473</v>
      </c>
      <c r="M224" s="235">
        <f>'M) Police'!O224</f>
        <v>21827.770412485381</v>
      </c>
      <c r="N224" s="235">
        <f t="shared" si="9"/>
        <v>388132.87564143271</v>
      </c>
      <c r="P224" s="322"/>
    </row>
    <row r="225" spans="1:16" s="155" customFormat="1" x14ac:dyDescent="0.25">
      <c r="A225" s="152">
        <f>'B) D RI'!A226</f>
        <v>5757</v>
      </c>
      <c r="B225" s="153" t="str">
        <f>'B) D RI'!B226</f>
        <v>Orbe</v>
      </c>
      <c r="C225" s="317">
        <f>'B) D RI'!S226</f>
        <v>77</v>
      </c>
      <c r="D225" s="154">
        <f>'B) D RI'!AA226</f>
        <v>6942</v>
      </c>
      <c r="E225" s="315">
        <f>'D) Ecrêtage'!C224</f>
        <v>204851.86723579146</v>
      </c>
      <c r="F225" s="319">
        <f>'E) Fact soc'!G230</f>
        <v>4577553.9374422561</v>
      </c>
      <c r="G225" s="316">
        <f>'H) Péréquation directe'!I235</f>
        <v>-1339036.9886599449</v>
      </c>
      <c r="H225" s="319">
        <f>+'I) Dépenses thématiques'!O224</f>
        <v>-1543123.1218373168</v>
      </c>
      <c r="I225" s="316">
        <f>'K) Plafonnement aide'!J224</f>
        <v>0</v>
      </c>
      <c r="J225" s="319">
        <f>'J) Plafonnement effort'!J224</f>
        <v>0</v>
      </c>
      <c r="K225" s="316">
        <f>'L) Plafonnement taux'!Q225</f>
        <v>0</v>
      </c>
      <c r="L225" s="314">
        <f t="shared" si="12"/>
        <v>1695393.8269449945</v>
      </c>
      <c r="M225" s="235">
        <f>'M) Police'!O225</f>
        <v>271507.06719811913</v>
      </c>
      <c r="N225" s="235">
        <f t="shared" si="9"/>
        <v>1966900.8941431136</v>
      </c>
      <c r="P225" s="322"/>
    </row>
    <row r="226" spans="1:16" s="155" customFormat="1" x14ac:dyDescent="0.25">
      <c r="A226" s="152">
        <f>'B) D RI'!A227</f>
        <v>5758</v>
      </c>
      <c r="B226" s="153" t="str">
        <f>'B) D RI'!B227</f>
        <v>La Praz</v>
      </c>
      <c r="C226" s="317">
        <f>'B) D RI'!S227</f>
        <v>83</v>
      </c>
      <c r="D226" s="154">
        <f>'B) D RI'!AA227</f>
        <v>165</v>
      </c>
      <c r="E226" s="315">
        <f>'D) Ecrêtage'!C225</f>
        <v>4452.1612722088212</v>
      </c>
      <c r="F226" s="319">
        <f>'E) Fact soc'!G231</f>
        <v>101219.14778899857</v>
      </c>
      <c r="G226" s="316">
        <f>'H) Péréquation directe'!I236</f>
        <v>-10950.463219863173</v>
      </c>
      <c r="H226" s="319">
        <f>+'I) Dépenses thématiques'!O225</f>
        <v>-25105.812070109034</v>
      </c>
      <c r="I226" s="316">
        <f>'K) Plafonnement aide'!J225</f>
        <v>0</v>
      </c>
      <c r="J226" s="319">
        <f>'J) Plafonnement effort'!J225</f>
        <v>0</v>
      </c>
      <c r="K226" s="316">
        <f>'L) Plafonnement taux'!Q226</f>
        <v>-7157.9460064059713</v>
      </c>
      <c r="L226" s="314">
        <f t="shared" si="12"/>
        <v>58004.92649262039</v>
      </c>
      <c r="M226" s="235">
        <f>'M) Police'!O226</f>
        <v>14209.49231879941</v>
      </c>
      <c r="N226" s="235">
        <f t="shared" si="9"/>
        <v>72214.418811419804</v>
      </c>
      <c r="P226" s="322"/>
    </row>
    <row r="227" spans="1:16" s="155" customFormat="1" x14ac:dyDescent="0.25">
      <c r="A227" s="152">
        <f>'B) D RI'!A228</f>
        <v>5759</v>
      </c>
      <c r="B227" s="153" t="str">
        <f>'B) D RI'!B228</f>
        <v>Premier</v>
      </c>
      <c r="C227" s="317">
        <f>'B) D RI'!S228</f>
        <v>81</v>
      </c>
      <c r="D227" s="154">
        <f>'B) D RI'!AA228</f>
        <v>213</v>
      </c>
      <c r="E227" s="315">
        <f>'D) Ecrêtage'!C226</f>
        <v>4744.8996537773928</v>
      </c>
      <c r="F227" s="319">
        <f>'E) Fact soc'!G232</f>
        <v>103694.98847397922</v>
      </c>
      <c r="G227" s="316">
        <f>'H) Péréquation directe'!I237</f>
        <v>-55664.00404475056</v>
      </c>
      <c r="H227" s="319">
        <f>+'I) Dépenses thématiques'!O226</f>
        <v>-75150.561031161036</v>
      </c>
      <c r="I227" s="316">
        <f>'K) Plafonnement aide'!J226</f>
        <v>0</v>
      </c>
      <c r="J227" s="319">
        <f>'J) Plafonnement effort'!J226</f>
        <v>0</v>
      </c>
      <c r="K227" s="316">
        <f>'L) Plafonnement taux'!Q227</f>
        <v>0</v>
      </c>
      <c r="L227" s="314">
        <f t="shared" si="12"/>
        <v>-27119.576601932378</v>
      </c>
      <c r="M227" s="235">
        <f>'M) Police'!O227</f>
        <v>15114.076348472239</v>
      </c>
      <c r="N227" s="235">
        <f t="shared" si="9"/>
        <v>-12005.500253460139</v>
      </c>
      <c r="P227" s="322"/>
    </row>
    <row r="228" spans="1:16" s="155" customFormat="1" x14ac:dyDescent="0.25">
      <c r="A228" s="152">
        <f>'B) D RI'!A229</f>
        <v>5760</v>
      </c>
      <c r="B228" s="153" t="str">
        <f>'B) D RI'!B229</f>
        <v>Rances</v>
      </c>
      <c r="C228" s="317">
        <f>'B) D RI'!S229</f>
        <v>78</v>
      </c>
      <c r="D228" s="154">
        <f>'B) D RI'!AA229</f>
        <v>482</v>
      </c>
      <c r="E228" s="315">
        <f>'D) Ecrêtage'!C227</f>
        <v>11421.2396274482</v>
      </c>
      <c r="F228" s="319">
        <f>'E) Fact soc'!G233</f>
        <v>219110.43101214201</v>
      </c>
      <c r="G228" s="316">
        <f>'H) Péréquation directe'!I238</f>
        <v>-74928.816814615595</v>
      </c>
      <c r="H228" s="319">
        <f>+'I) Dépenses thématiques'!O227</f>
        <v>-142925.57264150868</v>
      </c>
      <c r="I228" s="316">
        <f>'K) Plafonnement aide'!J227</f>
        <v>0</v>
      </c>
      <c r="J228" s="319">
        <f>'J) Plafonnement effort'!J227</f>
        <v>0</v>
      </c>
      <c r="K228" s="316">
        <f>'L) Plafonnement taux'!Q228</f>
        <v>0</v>
      </c>
      <c r="L228" s="314">
        <f t="shared" si="12"/>
        <v>1256.0415560177353</v>
      </c>
      <c r="M228" s="235">
        <f>'M) Police'!O228</f>
        <v>36194.046940718436</v>
      </c>
      <c r="N228" s="235">
        <f t="shared" si="9"/>
        <v>37450.088496736171</v>
      </c>
      <c r="P228" s="322"/>
    </row>
    <row r="229" spans="1:16" s="155" customFormat="1" x14ac:dyDescent="0.25">
      <c r="A229" s="152">
        <f>'B) D RI'!A230</f>
        <v>5761</v>
      </c>
      <c r="B229" s="153" t="str">
        <f>'B) D RI'!B230</f>
        <v>Romainmôtier-Envy</v>
      </c>
      <c r="C229" s="317">
        <f>'B) D RI'!S230</f>
        <v>81</v>
      </c>
      <c r="D229" s="154">
        <f>'B) D RI'!AA230</f>
        <v>540</v>
      </c>
      <c r="E229" s="315">
        <f>'D) Ecrêtage'!C228</f>
        <v>14547.39613540147</v>
      </c>
      <c r="F229" s="319">
        <f>'E) Fact soc'!G234</f>
        <v>281741.87841426145</v>
      </c>
      <c r="G229" s="316">
        <f>'H) Péréquation directe'!I239</f>
        <v>-24352.393648567086</v>
      </c>
      <c r="H229" s="319">
        <f>+'I) Dépenses thématiques'!O228</f>
        <v>-109650.84350736142</v>
      </c>
      <c r="I229" s="316">
        <f>'K) Plafonnement aide'!J228</f>
        <v>0</v>
      </c>
      <c r="J229" s="319">
        <f>'J) Plafonnement effort'!J228</f>
        <v>0</v>
      </c>
      <c r="K229" s="316">
        <f>'L) Plafonnement taux'!Q229</f>
        <v>0</v>
      </c>
      <c r="L229" s="314">
        <f t="shared" si="12"/>
        <v>147738.64125833294</v>
      </c>
      <c r="M229" s="235">
        <f>'M) Police'!O229</f>
        <v>46544.243616346881</v>
      </c>
      <c r="N229" s="235">
        <f t="shared" si="9"/>
        <v>194282.88487467982</v>
      </c>
      <c r="P229" s="322"/>
    </row>
    <row r="230" spans="1:16" s="155" customFormat="1" x14ac:dyDescent="0.25">
      <c r="A230" s="152">
        <f>'B) D RI'!A231</f>
        <v>5762</v>
      </c>
      <c r="B230" s="153" t="str">
        <f>'B) D RI'!B231</f>
        <v>Sergey</v>
      </c>
      <c r="C230" s="317">
        <f>'B) D RI'!S231</f>
        <v>78</v>
      </c>
      <c r="D230" s="154">
        <f>'B) D RI'!AA231</f>
        <v>146</v>
      </c>
      <c r="E230" s="315">
        <f>'D) Ecrêtage'!C229</f>
        <v>3763.729317622563</v>
      </c>
      <c r="F230" s="319">
        <f>'E) Fact soc'!G235</f>
        <v>60104.580568030055</v>
      </c>
      <c r="G230" s="316">
        <f>'H) Péréquation directe'!I240</f>
        <v>-9167.6917742231453</v>
      </c>
      <c r="H230" s="319">
        <f>+'I) Dépenses thématiques'!O229</f>
        <v>-20787.625483252497</v>
      </c>
      <c r="I230" s="316">
        <f>'K) Plafonnement aide'!J229</f>
        <v>0</v>
      </c>
      <c r="J230" s="319">
        <f>'J) Plafonnement effort'!J229</f>
        <v>0</v>
      </c>
      <c r="K230" s="316">
        <f>'L) Plafonnement taux'!Q230</f>
        <v>0</v>
      </c>
      <c r="L230" s="314">
        <f t="shared" si="12"/>
        <v>30149.263310554412</v>
      </c>
      <c r="M230" s="235">
        <f>'M) Police'!O230</f>
        <v>12005.490655750029</v>
      </c>
      <c r="N230" s="235">
        <f t="shared" si="9"/>
        <v>42154.753966304444</v>
      </c>
      <c r="P230" s="322"/>
    </row>
    <row r="231" spans="1:16" s="155" customFormat="1" x14ac:dyDescent="0.25">
      <c r="A231" s="152">
        <f>'B) D RI'!A232</f>
        <v>5763</v>
      </c>
      <c r="B231" s="153" t="str">
        <f>'B) D RI'!B232</f>
        <v>Valeyres-sous-Rances</v>
      </c>
      <c r="C231" s="317">
        <f>'B) D RI'!S232</f>
        <v>65</v>
      </c>
      <c r="D231" s="154">
        <f>'B) D RI'!AA232</f>
        <v>622</v>
      </c>
      <c r="E231" s="315">
        <f>'D) Ecrêtage'!C230</f>
        <v>20916.396171179269</v>
      </c>
      <c r="F231" s="319">
        <f>'E) Fact soc'!G236</f>
        <v>327535.01869700267</v>
      </c>
      <c r="G231" s="316">
        <f>'H) Péréquation directe'!I241</f>
        <v>229551.1585588794</v>
      </c>
      <c r="H231" s="319">
        <f>+'I) Dépenses thématiques'!O230</f>
        <v>-203089.84348969095</v>
      </c>
      <c r="I231" s="316">
        <f>'K) Plafonnement aide'!J230</f>
        <v>0</v>
      </c>
      <c r="J231" s="319">
        <f>'J) Plafonnement effort'!J230</f>
        <v>0</v>
      </c>
      <c r="K231" s="316">
        <f>'L) Plafonnement taux'!Q231</f>
        <v>0</v>
      </c>
      <c r="L231" s="314">
        <f t="shared" si="12"/>
        <v>353996.33376619115</v>
      </c>
      <c r="M231" s="235">
        <f>'M) Police'!O231</f>
        <v>66689.007260291779</v>
      </c>
      <c r="N231" s="235">
        <f t="shared" si="9"/>
        <v>420685.34102648293</v>
      </c>
      <c r="P231" s="322"/>
    </row>
    <row r="232" spans="1:16" s="155" customFormat="1" x14ac:dyDescent="0.25">
      <c r="A232" s="152">
        <f>'B) D RI'!A233</f>
        <v>5764</v>
      </c>
      <c r="B232" s="153" t="str">
        <f>'B) D RI'!B233</f>
        <v>Vallorbe</v>
      </c>
      <c r="C232" s="317">
        <f>'B) D RI'!S233</f>
        <v>73</v>
      </c>
      <c r="D232" s="154">
        <f>'B) D RI'!AA233</f>
        <v>3852</v>
      </c>
      <c r="E232" s="315">
        <f>'D) Ecrêtage'!C231</f>
        <v>83482.591885585367</v>
      </c>
      <c r="F232" s="319">
        <f>'E) Fact soc'!G237</f>
        <v>2149687.4564380683</v>
      </c>
      <c r="G232" s="316">
        <f>'H) Péréquation directe'!I242</f>
        <v>-1446358.4480195227</v>
      </c>
      <c r="H232" s="319">
        <f>+'I) Dépenses thématiques'!O231</f>
        <v>-1957078.7105984639</v>
      </c>
      <c r="I232" s="316">
        <f>'K) Plafonnement aide'!J231</f>
        <v>0</v>
      </c>
      <c r="J232" s="319">
        <f>'J) Plafonnement effort'!J231</f>
        <v>0</v>
      </c>
      <c r="K232" s="316">
        <f>'L) Plafonnement taux'!Q232</f>
        <v>0</v>
      </c>
      <c r="L232" s="314">
        <f t="shared" si="12"/>
        <v>-1253749.7021799183</v>
      </c>
      <c r="M232" s="235">
        <f>'M) Police'!O232</f>
        <v>264948.01478676946</v>
      </c>
      <c r="N232" s="235">
        <f t="shared" si="9"/>
        <v>-988801.6873931489</v>
      </c>
      <c r="P232" s="322"/>
    </row>
    <row r="233" spans="1:16" s="155" customFormat="1" x14ac:dyDescent="0.25">
      <c r="A233" s="152">
        <f>'B) D RI'!A234</f>
        <v>5765</v>
      </c>
      <c r="B233" s="153" t="str">
        <f>'B) D RI'!B234</f>
        <v>Vaulion</v>
      </c>
      <c r="C233" s="317">
        <f>'B) D RI'!S234</f>
        <v>81</v>
      </c>
      <c r="D233" s="154">
        <f>'B) D RI'!AA234</f>
        <v>469</v>
      </c>
      <c r="E233" s="315">
        <f>'D) Ecrêtage'!C232</f>
        <v>9771.3712818501954</v>
      </c>
      <c r="F233" s="319">
        <f>'E) Fact soc'!G238</f>
        <v>191505.04473323288</v>
      </c>
      <c r="G233" s="316">
        <f>'H) Péréquation directe'!I243</f>
        <v>-153927.46115131903</v>
      </c>
      <c r="H233" s="319">
        <f>+'I) Dépenses thématiques'!O232</f>
        <v>-152489.61262871814</v>
      </c>
      <c r="I233" s="316">
        <f>'K) Plafonnement aide'!J232</f>
        <v>0</v>
      </c>
      <c r="J233" s="319">
        <f>'J) Plafonnement effort'!J232</f>
        <v>0</v>
      </c>
      <c r="K233" s="316">
        <f>'L) Plafonnement taux'!Q233</f>
        <v>0</v>
      </c>
      <c r="L233" s="314">
        <f t="shared" si="12"/>
        <v>-114912.02904680429</v>
      </c>
      <c r="M233" s="235">
        <f>'M) Police'!O233</f>
        <v>30968.694602668744</v>
      </c>
      <c r="N233" s="235">
        <f t="shared" si="9"/>
        <v>-83943.334444135544</v>
      </c>
      <c r="P233" s="322"/>
    </row>
    <row r="234" spans="1:16" s="155" customFormat="1" x14ac:dyDescent="0.25">
      <c r="A234" s="152">
        <f>'B) D RI'!A235</f>
        <v>5766</v>
      </c>
      <c r="B234" s="153" t="str">
        <f>'B) D RI'!B235</f>
        <v>Vuiteboeuf</v>
      </c>
      <c r="C234" s="317">
        <f>'B) D RI'!S235</f>
        <v>77</v>
      </c>
      <c r="D234" s="154">
        <f>'B) D RI'!AA235</f>
        <v>584</v>
      </c>
      <c r="E234" s="315">
        <f>'D) Ecrêtage'!C233</f>
        <v>13156.989379669412</v>
      </c>
      <c r="F234" s="319">
        <f>'E) Fact soc'!G239</f>
        <v>230679.47534633279</v>
      </c>
      <c r="G234" s="316">
        <f>'H) Péréquation directe'!I244</f>
        <v>-113055.78615608491</v>
      </c>
      <c r="H234" s="319">
        <f>+'I) Dépenses thématiques'!O233</f>
        <v>-114569.54665678235</v>
      </c>
      <c r="I234" s="316">
        <f>'K) Plafonnement aide'!J233</f>
        <v>0</v>
      </c>
      <c r="J234" s="319">
        <f>'J) Plafonnement effort'!J233</f>
        <v>0</v>
      </c>
      <c r="K234" s="316">
        <f>'L) Plafonnement taux'!Q234</f>
        <v>0</v>
      </c>
      <c r="L234" s="314">
        <f t="shared" si="12"/>
        <v>3054.142533465536</v>
      </c>
      <c r="M234" s="235">
        <f>'M) Police'!O234</f>
        <v>41575.553700329387</v>
      </c>
      <c r="N234" s="235">
        <f t="shared" si="9"/>
        <v>44629.696233794923</v>
      </c>
      <c r="P234" s="322"/>
    </row>
    <row r="235" spans="1:16" s="155" customFormat="1" x14ac:dyDescent="0.25">
      <c r="A235" s="152">
        <f>'B) D RI'!A236</f>
        <v>5785</v>
      </c>
      <c r="B235" s="153" t="str">
        <f>'B) D RI'!B236</f>
        <v>Corcelles-le-Jorat</v>
      </c>
      <c r="C235" s="317">
        <f>'B) D RI'!S236</f>
        <v>77</v>
      </c>
      <c r="D235" s="154">
        <f>'B) D RI'!AA236</f>
        <v>445</v>
      </c>
      <c r="E235" s="315">
        <f>'D) Ecrêtage'!C234</f>
        <v>15572.051048960157</v>
      </c>
      <c r="F235" s="319">
        <f>'E) Fact soc'!G240</f>
        <v>265592.81046821352</v>
      </c>
      <c r="G235" s="316">
        <f>'H) Péréquation directe'!I245</f>
        <v>157120.02815523261</v>
      </c>
      <c r="H235" s="319">
        <f>+'I) Dépenses thématiques'!O234</f>
        <v>-52234.212550658514</v>
      </c>
      <c r="I235" s="316">
        <f>'K) Plafonnement aide'!J234</f>
        <v>0</v>
      </c>
      <c r="J235" s="319">
        <f>'J) Plafonnement effort'!J234</f>
        <v>0</v>
      </c>
      <c r="K235" s="316">
        <f>'L) Plafonnement taux'!Q235</f>
        <v>0</v>
      </c>
      <c r="L235" s="314">
        <f t="shared" si="12"/>
        <v>370478.62607278762</v>
      </c>
      <c r="M235" s="235">
        <f>'M) Police'!O235</f>
        <v>49980.506897927255</v>
      </c>
      <c r="N235" s="235">
        <f t="shared" si="9"/>
        <v>420459.13297071488</v>
      </c>
      <c r="P235" s="322"/>
    </row>
    <row r="236" spans="1:16" s="155" customFormat="1" x14ac:dyDescent="0.25">
      <c r="A236" s="152">
        <f>'B) D RI'!A237</f>
        <v>5788</v>
      </c>
      <c r="B236" s="153" t="str">
        <f>'B) D RI'!B237</f>
        <v>Essertes</v>
      </c>
      <c r="C236" s="317">
        <f>'B) D RI'!S237</f>
        <v>72</v>
      </c>
      <c r="D236" s="154">
        <f>'B) D RI'!AA237</f>
        <v>374</v>
      </c>
      <c r="E236" s="315">
        <f>'D) Ecrêtage'!C235</f>
        <v>11883.854268348969</v>
      </c>
      <c r="F236" s="319">
        <f>'E) Fact soc'!G241</f>
        <v>206319.6930809753</v>
      </c>
      <c r="G236" s="316">
        <f>'H) Péréquation directe'!I246</f>
        <v>93719.258368203416</v>
      </c>
      <c r="H236" s="319">
        <f>+'I) Dépenses thématiques'!O235</f>
        <v>-16871.296285159882</v>
      </c>
      <c r="I236" s="316">
        <f>'K) Plafonnement aide'!J235</f>
        <v>0</v>
      </c>
      <c r="J236" s="319">
        <f>'J) Plafonnement effort'!J235</f>
        <v>0</v>
      </c>
      <c r="K236" s="316">
        <f>'L) Plafonnement taux'!Q236</f>
        <v>0</v>
      </c>
      <c r="L236" s="314">
        <f t="shared" si="12"/>
        <v>283167.65516401886</v>
      </c>
      <c r="M236" s="235">
        <f>'M) Police'!O236</f>
        <v>37733.693055889467</v>
      </c>
      <c r="N236" s="235">
        <f t="shared" si="9"/>
        <v>320901.34821990831</v>
      </c>
      <c r="P236" s="322"/>
    </row>
    <row r="237" spans="1:16" s="155" customFormat="1" x14ac:dyDescent="0.25">
      <c r="A237" s="152">
        <f>'B) D RI'!A238</f>
        <v>5790</v>
      </c>
      <c r="B237" s="153" t="str">
        <f>'B) D RI'!B238</f>
        <v>Maracon</v>
      </c>
      <c r="C237" s="317">
        <f>'B) D RI'!S238</f>
        <v>76</v>
      </c>
      <c r="D237" s="154">
        <f>'B) D RI'!AA238</f>
        <v>492</v>
      </c>
      <c r="E237" s="315">
        <f>'D) Ecrêtage'!C236</f>
        <v>13256.164125976293</v>
      </c>
      <c r="F237" s="319">
        <f>'E) Fact soc'!G242</f>
        <v>272707.67372285313</v>
      </c>
      <c r="G237" s="316">
        <f>'H) Péréquation directe'!I247</f>
        <v>5361.5539223880041</v>
      </c>
      <c r="H237" s="319">
        <f>+'I) Dépenses thématiques'!O236</f>
        <v>-106708.41303434252</v>
      </c>
      <c r="I237" s="316">
        <f>'K) Plafonnement aide'!J236</f>
        <v>0</v>
      </c>
      <c r="J237" s="319">
        <f>'J) Plafonnement effort'!J236</f>
        <v>0</v>
      </c>
      <c r="K237" s="316">
        <f>'L) Plafonnement taux'!Q237</f>
        <v>0</v>
      </c>
      <c r="L237" s="314">
        <f t="shared" si="12"/>
        <v>171360.81461089861</v>
      </c>
      <c r="M237" s="235">
        <f>'M) Police'!O237</f>
        <v>41797.731167447957</v>
      </c>
      <c r="N237" s="235">
        <f t="shared" si="9"/>
        <v>213158.54577834657</v>
      </c>
      <c r="P237" s="322"/>
    </row>
    <row r="238" spans="1:16" s="155" customFormat="1" x14ac:dyDescent="0.25">
      <c r="A238" s="152">
        <f>'B) D RI'!A239</f>
        <v>5792</v>
      </c>
      <c r="B238" s="153" t="str">
        <f>'B) D RI'!B239</f>
        <v>Montpreveyres</v>
      </c>
      <c r="C238" s="317">
        <f>'B) D RI'!S239</f>
        <v>77</v>
      </c>
      <c r="D238" s="154">
        <f>'B) D RI'!AA239</f>
        <v>643</v>
      </c>
      <c r="E238" s="315">
        <f>'D) Ecrêtage'!C237</f>
        <v>18726.471313410195</v>
      </c>
      <c r="F238" s="319">
        <f>'E) Fact soc'!G243</f>
        <v>359042.84154238156</v>
      </c>
      <c r="G238" s="316">
        <f>'H) Péréquation directe'!I248</f>
        <v>61495.083090860746</v>
      </c>
      <c r="H238" s="319">
        <f>+'I) Dépenses thématiques'!O237</f>
        <v>-138771.16510695883</v>
      </c>
      <c r="I238" s="316">
        <f>'K) Plafonnement aide'!J237</f>
        <v>0</v>
      </c>
      <c r="J238" s="319">
        <f>'J) Plafonnement effort'!J237</f>
        <v>0</v>
      </c>
      <c r="K238" s="316">
        <f>'L) Plafonnement taux'!Q238</f>
        <v>0</v>
      </c>
      <c r="L238" s="314">
        <f t="shared" si="12"/>
        <v>281766.75952628348</v>
      </c>
      <c r="M238" s="235">
        <f>'M) Police'!O238</f>
        <v>59372.295711909159</v>
      </c>
      <c r="N238" s="235">
        <f t="shared" si="9"/>
        <v>341139.05523819267</v>
      </c>
      <c r="P238" s="322"/>
    </row>
    <row r="239" spans="1:16" s="155" customFormat="1" x14ac:dyDescent="0.25">
      <c r="A239" s="152">
        <f>'B) D RI'!A240</f>
        <v>5798</v>
      </c>
      <c r="B239" s="153" t="str">
        <f>'B) D RI'!B240</f>
        <v>Ropraz</v>
      </c>
      <c r="C239" s="317">
        <f>'B) D RI'!S240</f>
        <v>77.5</v>
      </c>
      <c r="D239" s="154">
        <f>'B) D RI'!AA240</f>
        <v>494</v>
      </c>
      <c r="E239" s="315">
        <f>'D) Ecrêtage'!C238</f>
        <v>13725.260150883058</v>
      </c>
      <c r="F239" s="319">
        <f>'E) Fact soc'!G244</f>
        <v>260432.08245498102</v>
      </c>
      <c r="G239" s="316">
        <f>'H) Péréquation directe'!I249</f>
        <v>15633.581839637773</v>
      </c>
      <c r="H239" s="319">
        <f>+'I) Dépenses thématiques'!O238</f>
        <v>-80257.301994445326</v>
      </c>
      <c r="I239" s="316">
        <f>'K) Plafonnement aide'!J238</f>
        <v>0</v>
      </c>
      <c r="J239" s="319">
        <f>'J) Plafonnement effort'!J238</f>
        <v>0</v>
      </c>
      <c r="K239" s="316">
        <f>'L) Plafonnement taux'!Q239</f>
        <v>0</v>
      </c>
      <c r="L239" s="314">
        <f t="shared" si="12"/>
        <v>195808.36230017344</v>
      </c>
      <c r="M239" s="235">
        <f>'M) Police'!O239</f>
        <v>43585.7184157101</v>
      </c>
      <c r="N239" s="235">
        <f t="shared" si="9"/>
        <v>239394.08071588352</v>
      </c>
      <c r="P239" s="322"/>
    </row>
    <row r="240" spans="1:16" s="155" customFormat="1" x14ac:dyDescent="0.25">
      <c r="A240" s="152">
        <f>'B) D RI'!A241</f>
        <v>5799</v>
      </c>
      <c r="B240" s="153" t="str">
        <f>'B) D RI'!B241</f>
        <v>Servion</v>
      </c>
      <c r="C240" s="317">
        <f>'B) D RI'!S241</f>
        <v>69</v>
      </c>
      <c r="D240" s="154">
        <f>'B) D RI'!AA241</f>
        <v>1942</v>
      </c>
      <c r="E240" s="315">
        <f>'D) Ecrêtage'!C239</f>
        <v>68712.576636224549</v>
      </c>
      <c r="F240" s="319">
        <f>'E) Fact soc'!G245</f>
        <v>1376497.4016691742</v>
      </c>
      <c r="G240" s="316">
        <f>'H) Péréquation directe'!I250</f>
        <v>592246.21957048238</v>
      </c>
      <c r="H240" s="319">
        <f>+'I) Dépenses thématiques'!O239</f>
        <v>-227123.84587580364</v>
      </c>
      <c r="I240" s="316">
        <f>'K) Plafonnement aide'!J239</f>
        <v>0</v>
      </c>
      <c r="J240" s="319">
        <f>'J) Plafonnement effort'!J239</f>
        <v>0</v>
      </c>
      <c r="K240" s="316">
        <f>'L) Plafonnement taux'!Q240</f>
        <v>0</v>
      </c>
      <c r="L240" s="314">
        <f t="shared" si="12"/>
        <v>1741619.775363853</v>
      </c>
      <c r="M240" s="235">
        <f>'M) Police'!O240</f>
        <v>217557.23183842085</v>
      </c>
      <c r="N240" s="235">
        <f t="shared" si="9"/>
        <v>1959177.0072022737</v>
      </c>
      <c r="P240" s="322"/>
    </row>
    <row r="241" spans="1:16" s="155" customFormat="1" x14ac:dyDescent="0.25">
      <c r="A241" s="152">
        <f>'B) D RI'!A242</f>
        <v>5803</v>
      </c>
      <c r="B241" s="153" t="str">
        <f>'B) D RI'!B242</f>
        <v>Vulliens</v>
      </c>
      <c r="C241" s="317">
        <f>'B) D RI'!S242</f>
        <v>78</v>
      </c>
      <c r="D241" s="154">
        <f>'B) D RI'!AA242</f>
        <v>595</v>
      </c>
      <c r="E241" s="315">
        <f>'D) Ecrêtage'!C240</f>
        <v>16546.34632030463</v>
      </c>
      <c r="F241" s="319">
        <f>'E) Fact soc'!G246</f>
        <v>320468.31760822056</v>
      </c>
      <c r="G241" s="316">
        <f>'H) Péréquation directe'!I251</f>
        <v>16358.181613292603</v>
      </c>
      <c r="H241" s="319">
        <f>+'I) Dépenses thématiques'!O240</f>
        <v>-75165.137097210551</v>
      </c>
      <c r="I241" s="316">
        <f>'K) Plafonnement aide'!J240</f>
        <v>0</v>
      </c>
      <c r="J241" s="319">
        <f>'J) Plafonnement effort'!J240</f>
        <v>0</v>
      </c>
      <c r="K241" s="316">
        <f>'L) Plafonnement taux'!Q241</f>
        <v>0</v>
      </c>
      <c r="L241" s="314">
        <f t="shared" si="12"/>
        <v>261661.3621243026</v>
      </c>
      <c r="M241" s="235">
        <f>'M) Police'!O241</f>
        <v>52731.041002830563</v>
      </c>
      <c r="N241" s="235">
        <f t="shared" si="9"/>
        <v>314392.40312713315</v>
      </c>
      <c r="P241" s="322"/>
    </row>
    <row r="242" spans="1:16" s="155" customFormat="1" x14ac:dyDescent="0.25">
      <c r="A242" s="152">
        <f>'B) D RI'!A243</f>
        <v>5804</v>
      </c>
      <c r="B242" s="153" t="str">
        <f>'B) D RI'!B243</f>
        <v>Jorat-Menthue</v>
      </c>
      <c r="C242" s="317">
        <f>'B) D RI'!S243</f>
        <v>72</v>
      </c>
      <c r="D242" s="154">
        <f>'B) D RI'!AA243</f>
        <v>1586</v>
      </c>
      <c r="E242" s="315">
        <f>'D) Ecrêtage'!C241</f>
        <v>47504.398266419383</v>
      </c>
      <c r="F242" s="319">
        <f>'E) Fact soc'!G247</f>
        <v>781684.27594921854</v>
      </c>
      <c r="G242" s="316">
        <f>'H) Péréquation directe'!I252</f>
        <v>147490.70481910696</v>
      </c>
      <c r="H242" s="319">
        <f>+'I) Dépenses thématiques'!O241</f>
        <v>-393381.16254402744</v>
      </c>
      <c r="I242" s="316">
        <f>'K) Plafonnement aide'!J241</f>
        <v>0</v>
      </c>
      <c r="J242" s="319">
        <f>'J) Plafonnement effort'!J241</f>
        <v>0</v>
      </c>
      <c r="K242" s="316">
        <f>'L) Plafonnement taux'!Q242</f>
        <v>0</v>
      </c>
      <c r="L242" s="314">
        <f>F242+G242+H242+I242+J242+K242</f>
        <v>535793.81822429807</v>
      </c>
      <c r="M242" s="235">
        <f>'M) Police'!O242</f>
        <v>150774.61254981696</v>
      </c>
      <c r="N242" s="235">
        <f t="shared" si="9"/>
        <v>686568.43077411503</v>
      </c>
      <c r="P242" s="322"/>
    </row>
    <row r="243" spans="1:16" s="155" customFormat="1" x14ac:dyDescent="0.25">
      <c r="A243" s="152">
        <f>'B) D RI'!A244</f>
        <v>5805</v>
      </c>
      <c r="B243" s="153" t="str">
        <f>'B) D RI'!B244</f>
        <v>Oron</v>
      </c>
      <c r="C243" s="317">
        <f>'B) D RI'!S244</f>
        <v>69</v>
      </c>
      <c r="D243" s="154">
        <f>'B) D RI'!AA244</f>
        <v>5501</v>
      </c>
      <c r="E243" s="315">
        <f>'D) Ecrêtage'!C242</f>
        <v>152415.01875763744</v>
      </c>
      <c r="F243" s="319">
        <f>'E) Fact soc'!G248</f>
        <v>2964435.6987635838</v>
      </c>
      <c r="G243" s="316">
        <f>'H) Péréquation directe'!I253</f>
        <v>-814889.23314295989</v>
      </c>
      <c r="H243" s="319">
        <f>+'I) Dépenses thématiques'!O242</f>
        <v>-682804.64578554174</v>
      </c>
      <c r="I243" s="316">
        <f>'K) Plafonnement aide'!J242</f>
        <v>0</v>
      </c>
      <c r="J243" s="319">
        <f>'J) Plafonnement effort'!J242</f>
        <v>0</v>
      </c>
      <c r="K243" s="316">
        <f>'L) Plafonnement taux'!Q243</f>
        <v>0</v>
      </c>
      <c r="L243" s="314">
        <f>F243+G243+H243+I243+J243+K243</f>
        <v>1466741.8198350822</v>
      </c>
      <c r="M243" s="235">
        <f>'M) Police'!O243</f>
        <v>478798.49199261749</v>
      </c>
      <c r="N243" s="235">
        <f t="shared" si="9"/>
        <v>1945540.3118276997</v>
      </c>
      <c r="P243" s="322"/>
    </row>
    <row r="244" spans="1:16" s="155" customFormat="1" x14ac:dyDescent="0.25">
      <c r="A244" s="152">
        <f>'B) D RI'!A245</f>
        <v>5806</v>
      </c>
      <c r="B244" s="153" t="str">
        <f>'B) D RI'!B245</f>
        <v>Jorat-Mézières</v>
      </c>
      <c r="C244" s="317">
        <f>'B) D RI'!S245</f>
        <v>76</v>
      </c>
      <c r="D244" s="154">
        <f>'B) D RI'!AA245</f>
        <v>2869</v>
      </c>
      <c r="E244" s="315">
        <f>'D) Ecrêtage'!C243</f>
        <v>89827.60291631594</v>
      </c>
      <c r="F244" s="319">
        <f>'E) Fact soc'!G249</f>
        <v>1724925.4246211506</v>
      </c>
      <c r="G244" s="316">
        <f>'H) Péréquation directe'!I254</f>
        <v>152956.3345339403</v>
      </c>
      <c r="H244" s="319">
        <f>+'I) Dépenses thématiques'!O243</f>
        <v>-409049.89348747191</v>
      </c>
      <c r="I244" s="316">
        <f>'K) Plafonnement aide'!J243</f>
        <v>0</v>
      </c>
      <c r="J244" s="319">
        <f>'J) Plafonnement effort'!J243</f>
        <v>0</v>
      </c>
      <c r="K244" s="316">
        <f>'L) Plafonnement taux'!Q244</f>
        <v>0</v>
      </c>
      <c r="L244" s="314">
        <f>F244+G244+H244+I244+J244+K244</f>
        <v>1468831.865667619</v>
      </c>
      <c r="M244" s="235">
        <f>'M) Police'!O244</f>
        <v>285305.23580498423</v>
      </c>
      <c r="N244" s="235">
        <f t="shared" ref="N244" si="13">L244+M244</f>
        <v>1754137.1014726032</v>
      </c>
      <c r="P244" s="322"/>
    </row>
    <row r="245" spans="1:16" s="155" customFormat="1" x14ac:dyDescent="0.25">
      <c r="A245" s="152">
        <f>'B) D RI'!A246</f>
        <v>5812</v>
      </c>
      <c r="B245" s="153" t="str">
        <f>'B) D RI'!B246</f>
        <v>Champtauroz</v>
      </c>
      <c r="C245" s="317">
        <f>'B) D RI'!S246</f>
        <v>77</v>
      </c>
      <c r="D245" s="154">
        <f>'B) D RI'!AA246</f>
        <v>122</v>
      </c>
      <c r="E245" s="315">
        <f>'D) Ecrêtage'!C244</f>
        <v>2432.9524302206905</v>
      </c>
      <c r="F245" s="319">
        <f>'E) Fact soc'!G250</f>
        <v>47927.907292817414</v>
      </c>
      <c r="G245" s="316">
        <f>'H) Péréquation directe'!I255</f>
        <v>-37459.485219549584</v>
      </c>
      <c r="H245" s="319">
        <f>+'I) Dépenses thématiques'!O244</f>
        <v>-27651.029417059468</v>
      </c>
      <c r="I245" s="316">
        <f>'K) Plafonnement aide'!J244</f>
        <v>0</v>
      </c>
      <c r="J245" s="319">
        <f>'J) Plafonnement effort'!J244</f>
        <v>0</v>
      </c>
      <c r="K245" s="316">
        <f>'L) Plafonnement taux'!Q245</f>
        <v>0</v>
      </c>
      <c r="L245" s="314">
        <f t="shared" si="12"/>
        <v>-17182.607343791638</v>
      </c>
      <c r="M245" s="235">
        <f>'M) Police'!O245</f>
        <v>7685.0394914084518</v>
      </c>
      <c r="N245" s="235">
        <f t="shared" si="9"/>
        <v>-9497.5678523831866</v>
      </c>
      <c r="P245" s="322"/>
    </row>
    <row r="246" spans="1:16" s="155" customFormat="1" x14ac:dyDescent="0.25">
      <c r="A246" s="152">
        <f>'B) D RI'!A247</f>
        <v>5813</v>
      </c>
      <c r="B246" s="153" t="str">
        <f>'B) D RI'!B247</f>
        <v>Chevroux</v>
      </c>
      <c r="C246" s="317">
        <f>'B) D RI'!S247</f>
        <v>70</v>
      </c>
      <c r="D246" s="154">
        <f>'B) D RI'!AA247</f>
        <v>480</v>
      </c>
      <c r="E246" s="315">
        <f>'D) Ecrêtage'!C245</f>
        <v>12841.233936581375</v>
      </c>
      <c r="F246" s="319">
        <f>'E) Fact soc'!G251</f>
        <v>284079.31399350968</v>
      </c>
      <c r="G246" s="316">
        <f>'H) Péréquation directe'!I256</f>
        <v>31486.441360317316</v>
      </c>
      <c r="H246" s="319">
        <f>+'I) Dépenses thématiques'!O245</f>
        <v>-90424.953475144954</v>
      </c>
      <c r="I246" s="316">
        <f>'K) Plafonnement aide'!J245</f>
        <v>0</v>
      </c>
      <c r="J246" s="319">
        <f>'J) Plafonnement effort'!J245</f>
        <v>0</v>
      </c>
      <c r="K246" s="316">
        <f>'L) Plafonnement taux'!Q246</f>
        <v>0</v>
      </c>
      <c r="L246" s="314">
        <f t="shared" si="12"/>
        <v>225140.80187868208</v>
      </c>
      <c r="M246" s="235">
        <f>'M) Police'!O246</f>
        <v>40259.654289410988</v>
      </c>
      <c r="N246" s="235">
        <f t="shared" si="9"/>
        <v>265400.45616809308</v>
      </c>
      <c r="P246" s="322"/>
    </row>
    <row r="247" spans="1:16" s="155" customFormat="1" x14ac:dyDescent="0.25">
      <c r="A247" s="152">
        <f>'B) D RI'!A248</f>
        <v>5816</v>
      </c>
      <c r="B247" s="153" t="str">
        <f>'B) D RI'!B248</f>
        <v>Corcelles-près-Payerne</v>
      </c>
      <c r="C247" s="317">
        <f>'B) D RI'!S248</f>
        <v>72</v>
      </c>
      <c r="D247" s="154">
        <f>'B) D RI'!AA248</f>
        <v>2479</v>
      </c>
      <c r="E247" s="315">
        <f>'D) Ecrêtage'!C246</f>
        <v>55328.106299465391</v>
      </c>
      <c r="F247" s="319">
        <f>'E) Fact soc'!G252</f>
        <v>983027.57506889838</v>
      </c>
      <c r="G247" s="316">
        <f>'H) Péréquation directe'!I257</f>
        <v>-669933.5420058223</v>
      </c>
      <c r="H247" s="319">
        <f>+'I) Dépenses thématiques'!O246</f>
        <v>-364401.73749278672</v>
      </c>
      <c r="I247" s="316">
        <f>'K) Plafonnement aide'!J246</f>
        <v>0</v>
      </c>
      <c r="J247" s="319">
        <f>'J) Plafonnement effort'!J246</f>
        <v>0</v>
      </c>
      <c r="K247" s="316">
        <f>'L) Plafonnement taux'!Q247</f>
        <v>0</v>
      </c>
      <c r="L247" s="314">
        <f t="shared" si="12"/>
        <v>-51307.704429710633</v>
      </c>
      <c r="M247" s="235">
        <f>'M) Police'!O247</f>
        <v>173618.85765141336</v>
      </c>
      <c r="N247" s="235">
        <f t="shared" si="9"/>
        <v>122311.15322170273</v>
      </c>
      <c r="P247" s="322"/>
    </row>
    <row r="248" spans="1:16" s="155" customFormat="1" x14ac:dyDescent="0.25">
      <c r="A248" s="152">
        <f>'B) D RI'!A249</f>
        <v>5817</v>
      </c>
      <c r="B248" s="153" t="str">
        <f>'B) D RI'!B249</f>
        <v>Grandcour</v>
      </c>
      <c r="C248" s="317">
        <f>'B) D RI'!S249</f>
        <v>77</v>
      </c>
      <c r="D248" s="154">
        <f>'B) D RI'!AA249</f>
        <v>929</v>
      </c>
      <c r="E248" s="315">
        <f>'D) Ecrêtage'!C247</f>
        <v>23406.066601684674</v>
      </c>
      <c r="F248" s="319">
        <f>'E) Fact soc'!G253</f>
        <v>493919.3225244442</v>
      </c>
      <c r="G248" s="316">
        <f>'H) Péréquation directe'!I258</f>
        <v>-71225.98493402329</v>
      </c>
      <c r="H248" s="319">
        <f>+'I) Dépenses thématiques'!O247</f>
        <v>-137829.46309303507</v>
      </c>
      <c r="I248" s="316">
        <f>'K) Plafonnement aide'!J247</f>
        <v>0</v>
      </c>
      <c r="J248" s="319">
        <f>'J) Plafonnement effort'!J247</f>
        <v>0</v>
      </c>
      <c r="K248" s="316">
        <f>'L) Plafonnement taux'!Q248</f>
        <v>0</v>
      </c>
      <c r="L248" s="314">
        <f t="shared" si="12"/>
        <v>284863.87449738581</v>
      </c>
      <c r="M248" s="235">
        <f>'M) Police'!O248</f>
        <v>74657.157881669918</v>
      </c>
      <c r="N248" s="235">
        <f t="shared" si="9"/>
        <v>359521.03237905574</v>
      </c>
      <c r="P248" s="322"/>
    </row>
    <row r="249" spans="1:16" s="155" customFormat="1" x14ac:dyDescent="0.25">
      <c r="A249" s="152">
        <f>'B) D RI'!A250</f>
        <v>5819</v>
      </c>
      <c r="B249" s="153" t="str">
        <f>'B) D RI'!B250</f>
        <v>Henniez</v>
      </c>
      <c r="C249" s="317">
        <f>'B) D RI'!S250</f>
        <v>69</v>
      </c>
      <c r="D249" s="154">
        <f>'B) D RI'!AA250</f>
        <v>341</v>
      </c>
      <c r="E249" s="315">
        <f>'D) Ecrêtage'!C248</f>
        <v>12438.573202549422</v>
      </c>
      <c r="F249" s="319">
        <f>'E) Fact soc'!G254</f>
        <v>229729.56307825699</v>
      </c>
      <c r="G249" s="316">
        <f>'H) Péréquation directe'!I259</f>
        <v>155807.19638139755</v>
      </c>
      <c r="H249" s="319">
        <f>+'I) Dépenses thématiques'!O248</f>
        <v>-84028.618530057793</v>
      </c>
      <c r="I249" s="316">
        <f>'K) Plafonnement aide'!J248</f>
        <v>0</v>
      </c>
      <c r="J249" s="319">
        <f>'J) Plafonnement effort'!J248</f>
        <v>0</v>
      </c>
      <c r="K249" s="316">
        <f>'L) Plafonnement taux'!Q249</f>
        <v>0</v>
      </c>
      <c r="L249" s="314">
        <f t="shared" si="12"/>
        <v>301508.14092959679</v>
      </c>
      <c r="M249" s="235">
        <f>'M) Police'!O249</f>
        <v>38907.749111736994</v>
      </c>
      <c r="N249" s="235">
        <f t="shared" si="9"/>
        <v>340415.8900413338</v>
      </c>
      <c r="P249" s="322"/>
    </row>
    <row r="250" spans="1:16" s="155" customFormat="1" x14ac:dyDescent="0.25">
      <c r="A250" s="152">
        <f>'B) D RI'!A251</f>
        <v>5821</v>
      </c>
      <c r="B250" s="153" t="str">
        <f>'B) D RI'!B251</f>
        <v>Missy</v>
      </c>
      <c r="C250" s="317">
        <f>'B) D RI'!S251</f>
        <v>72</v>
      </c>
      <c r="D250" s="154">
        <f>'B) D RI'!AA251</f>
        <v>368</v>
      </c>
      <c r="E250" s="315">
        <f>'D) Ecrêtage'!C249</f>
        <v>8575.631351638991</v>
      </c>
      <c r="F250" s="319">
        <f>'E) Fact soc'!G255</f>
        <v>147201.64207806933</v>
      </c>
      <c r="G250" s="316">
        <f>'H) Péréquation directe'!I260</f>
        <v>-35281.396321347129</v>
      </c>
      <c r="H250" s="319">
        <f>+'I) Dépenses thématiques'!O249</f>
        <v>-19065.57285076872</v>
      </c>
      <c r="I250" s="316">
        <f>'K) Plafonnement aide'!J249</f>
        <v>0</v>
      </c>
      <c r="J250" s="319">
        <f>'J) Plafonnement effort'!J249</f>
        <v>0</v>
      </c>
      <c r="K250" s="316">
        <f>'L) Plafonnement taux'!Q250</f>
        <v>0</v>
      </c>
      <c r="L250" s="314">
        <f t="shared" si="12"/>
        <v>92854.672905953485</v>
      </c>
      <c r="M250" s="235">
        <f>'M) Police'!O250</f>
        <v>27048.549723675969</v>
      </c>
      <c r="N250" s="235">
        <f t="shared" si="9"/>
        <v>119903.22262962945</v>
      </c>
      <c r="P250" s="322"/>
    </row>
    <row r="251" spans="1:16" s="155" customFormat="1" x14ac:dyDescent="0.25">
      <c r="A251" s="152">
        <f>'B) D RI'!A252</f>
        <v>5822</v>
      </c>
      <c r="B251" s="153" t="str">
        <f>'B) D RI'!B252</f>
        <v>Payerne</v>
      </c>
      <c r="C251" s="317">
        <f>'B) D RI'!S252</f>
        <v>75</v>
      </c>
      <c r="D251" s="154">
        <f>'B) D RI'!AA252</f>
        <v>9971</v>
      </c>
      <c r="E251" s="315">
        <f>'D) Ecrêtage'!C250</f>
        <v>236916.04439002261</v>
      </c>
      <c r="F251" s="319">
        <f>'E) Fact soc'!G256</f>
        <v>4391518.1538753649</v>
      </c>
      <c r="G251" s="316">
        <f>'H) Péréquation directe'!I261</f>
        <v>-4938002.6018764535</v>
      </c>
      <c r="H251" s="319">
        <f>+'I) Dépenses thématiques'!O250</f>
        <v>-1370208.9556860032</v>
      </c>
      <c r="I251" s="316">
        <f>'K) Plafonnement aide'!J250</f>
        <v>0</v>
      </c>
      <c r="J251" s="319">
        <f>'J) Plafonnement effort'!J250</f>
        <v>0</v>
      </c>
      <c r="K251" s="316">
        <f>'L) Plafonnement taux'!Q251</f>
        <v>0</v>
      </c>
      <c r="L251" s="314">
        <f t="shared" si="12"/>
        <v>-1916693.4036870918</v>
      </c>
      <c r="M251" s="235">
        <f>'M) Police'!O251</f>
        <v>747317.98392963305</v>
      </c>
      <c r="N251" s="235">
        <f t="shared" si="9"/>
        <v>-1169375.4197574588</v>
      </c>
      <c r="P251" s="322"/>
    </row>
    <row r="252" spans="1:16" s="155" customFormat="1" x14ac:dyDescent="0.25">
      <c r="A252" s="152">
        <f>'B) D RI'!A253</f>
        <v>5827</v>
      </c>
      <c r="B252" s="153" t="str">
        <f>'B) D RI'!B253</f>
        <v>Trey</v>
      </c>
      <c r="C252" s="317">
        <f>'B) D RI'!S253</f>
        <v>80</v>
      </c>
      <c r="D252" s="154">
        <f>'B) D RI'!AA253</f>
        <v>267</v>
      </c>
      <c r="E252" s="315">
        <f>'D) Ecrêtage'!C251</f>
        <v>7081.6159611211069</v>
      </c>
      <c r="F252" s="319">
        <f>'E) Fact soc'!G257</f>
        <v>128210.14777767647</v>
      </c>
      <c r="G252" s="316">
        <f>'H) Péréquation directe'!I262</f>
        <v>-14071.867154259933</v>
      </c>
      <c r="H252" s="319">
        <f>+'I) Dépenses thématiques'!O251</f>
        <v>-56384.463156528102</v>
      </c>
      <c r="I252" s="316">
        <f>'K) Plafonnement aide'!J251</f>
        <v>0</v>
      </c>
      <c r="J252" s="319">
        <f>'J) Plafonnement effort'!J251</f>
        <v>0</v>
      </c>
      <c r="K252" s="316">
        <f>'L) Plafonnement taux'!Q252</f>
        <v>0</v>
      </c>
      <c r="L252" s="314">
        <f t="shared" si="12"/>
        <v>57753.817466888431</v>
      </c>
      <c r="M252" s="235">
        <f>'M) Police'!O252</f>
        <v>22657.971348814819</v>
      </c>
      <c r="N252" s="235">
        <f t="shared" si="9"/>
        <v>80411.788815703243</v>
      </c>
      <c r="P252" s="322"/>
    </row>
    <row r="253" spans="1:16" s="155" customFormat="1" x14ac:dyDescent="0.25">
      <c r="A253" s="152">
        <f>'B) D RI'!A254</f>
        <v>5828</v>
      </c>
      <c r="B253" s="153" t="str">
        <f>'B) D RI'!B254</f>
        <v>Treytorrens (Payerne)</v>
      </c>
      <c r="C253" s="317">
        <f>'B) D RI'!S254</f>
        <v>84</v>
      </c>
      <c r="D253" s="154">
        <f>'B) D RI'!AA254</f>
        <v>119</v>
      </c>
      <c r="E253" s="315">
        <f>'D) Ecrêtage'!C252</f>
        <v>2673.2421559488716</v>
      </c>
      <c r="F253" s="319">
        <f>'E) Fact soc'!G258</f>
        <v>52115.509728204153</v>
      </c>
      <c r="G253" s="316">
        <f>'H) Péréquation directe'!I263</f>
        <v>-35300.589474198532</v>
      </c>
      <c r="H253" s="319">
        <f>+'I) Dépenses thématiques'!O252</f>
        <v>-37222.820637516837</v>
      </c>
      <c r="I253" s="316">
        <f>'K) Plafonnement aide'!J252</f>
        <v>0</v>
      </c>
      <c r="J253" s="319">
        <f>'J) Plafonnement effort'!J252</f>
        <v>0</v>
      </c>
      <c r="K253" s="316">
        <f>'L) Plafonnement taux'!Q253</f>
        <v>0</v>
      </c>
      <c r="L253" s="314">
        <f t="shared" si="12"/>
        <v>-20407.900383511216</v>
      </c>
      <c r="M253" s="235">
        <f>'M) Police'!O253</f>
        <v>8535.204104853663</v>
      </c>
      <c r="N253" s="235">
        <f t="shared" si="9"/>
        <v>-11872.696278657553</v>
      </c>
      <c r="P253" s="322"/>
    </row>
    <row r="254" spans="1:16" s="155" customFormat="1" x14ac:dyDescent="0.25">
      <c r="A254" s="152">
        <f>'B) D RI'!A255</f>
        <v>5830</v>
      </c>
      <c r="B254" s="153" t="str">
        <f>'B) D RI'!B255</f>
        <v>Villarzel</v>
      </c>
      <c r="C254" s="317">
        <f>'B) D RI'!S255</f>
        <v>79</v>
      </c>
      <c r="D254" s="154">
        <f>'B) D RI'!AA255</f>
        <v>446</v>
      </c>
      <c r="E254" s="315">
        <f>'D) Ecrêtage'!C253</f>
        <v>12117.556810814382</v>
      </c>
      <c r="F254" s="319">
        <f>'E) Fact soc'!G259</f>
        <v>215698.10416336457</v>
      </c>
      <c r="G254" s="316">
        <f>'H) Péréquation directe'!I264</f>
        <v>-5340.8437158005836</v>
      </c>
      <c r="H254" s="319">
        <f>+'I) Dépenses thématiques'!O253</f>
        <v>-93968.598453360173</v>
      </c>
      <c r="I254" s="316">
        <f>'K) Plafonnement aide'!J253</f>
        <v>0</v>
      </c>
      <c r="J254" s="319">
        <f>'J) Plafonnement effort'!J253</f>
        <v>0</v>
      </c>
      <c r="K254" s="316">
        <f>'L) Plafonnement taux'!Q254</f>
        <v>0</v>
      </c>
      <c r="L254" s="314">
        <f t="shared" si="12"/>
        <v>116388.66199420381</v>
      </c>
      <c r="M254" s="235">
        <f>'M) Police'!O254</f>
        <v>38882.386557877609</v>
      </c>
      <c r="N254" s="235">
        <f t="shared" si="9"/>
        <v>155271.04855208143</v>
      </c>
      <c r="P254" s="322"/>
    </row>
    <row r="255" spans="1:16" s="155" customFormat="1" x14ac:dyDescent="0.25">
      <c r="A255" s="152">
        <f>'B) D RI'!A256</f>
        <v>5831</v>
      </c>
      <c r="B255" s="153" t="str">
        <f>'B) D RI'!B256</f>
        <v>Valbroye</v>
      </c>
      <c r="C255" s="317">
        <f>'B) D RI'!S256</f>
        <v>73</v>
      </c>
      <c r="D255" s="154">
        <f>'B) D RI'!AA256</f>
        <v>3174</v>
      </c>
      <c r="E255" s="315">
        <f>'D) Ecrêtage'!C254</f>
        <v>83651.867392232569</v>
      </c>
      <c r="F255" s="319">
        <f>'E) Fact soc'!G260</f>
        <v>1633124.744066322</v>
      </c>
      <c r="G255" s="316">
        <f>'H) Péréquation directe'!I265</f>
        <v>-456670.84364766255</v>
      </c>
      <c r="H255" s="319">
        <f>+'I) Dépenses thématiques'!O254</f>
        <v>-748950.0786186771</v>
      </c>
      <c r="I255" s="316">
        <f>'K) Plafonnement aide'!J254</f>
        <v>0</v>
      </c>
      <c r="J255" s="319">
        <f>'J) Plafonnement effort'!J254</f>
        <v>0</v>
      </c>
      <c r="K255" s="316">
        <f>'L) Plafonnement taux'!Q255</f>
        <v>0</v>
      </c>
      <c r="L255" s="314">
        <f>F255+G255+H255+I255+J255+K255</f>
        <v>427503.82179998234</v>
      </c>
      <c r="M255" s="235">
        <f>'M) Police'!O255</f>
        <v>265751.13884857489</v>
      </c>
      <c r="N255" s="235">
        <f t="shared" ref="N255:N314" si="14">L255+M255</f>
        <v>693254.96064855717</v>
      </c>
      <c r="P255" s="322"/>
    </row>
    <row r="256" spans="1:16" s="155" customFormat="1" x14ac:dyDescent="0.25">
      <c r="A256" s="152">
        <f>'B) D RI'!A257</f>
        <v>5841</v>
      </c>
      <c r="B256" s="153" t="str">
        <f>'B) D RI'!B257</f>
        <v>Château-d'Oex</v>
      </c>
      <c r="C256" s="317">
        <f>'B) D RI'!S257</f>
        <v>83</v>
      </c>
      <c r="D256" s="154">
        <f>'B) D RI'!AA257</f>
        <v>3460</v>
      </c>
      <c r="E256" s="315">
        <f>'D) Ecrêtage'!C255</f>
        <v>116299.93992329082</v>
      </c>
      <c r="F256" s="319">
        <f>'E) Fact soc'!G261</f>
        <v>2292124.9428231711</v>
      </c>
      <c r="G256" s="316">
        <f>'H) Péréquation directe'!I266</f>
        <v>242162.24708942277</v>
      </c>
      <c r="H256" s="319">
        <f>+'I) Dépenses thématiques'!O255</f>
        <v>-1966469.1162909891</v>
      </c>
      <c r="I256" s="316">
        <f>'K) Plafonnement aide'!J255</f>
        <v>0</v>
      </c>
      <c r="J256" s="319">
        <f>'J) Plafonnement effort'!J255</f>
        <v>0</v>
      </c>
      <c r="K256" s="316">
        <f>'L) Plafonnement taux'!Q256</f>
        <v>0</v>
      </c>
      <c r="L256" s="314">
        <f t="shared" si="12"/>
        <v>567818.07362160482</v>
      </c>
      <c r="M256" s="235">
        <f>'M) Police'!O256</f>
        <v>362113.38497455232</v>
      </c>
      <c r="N256" s="235">
        <f t="shared" si="14"/>
        <v>929931.45859615714</v>
      </c>
      <c r="P256" s="322"/>
    </row>
    <row r="257" spans="1:16" s="155" customFormat="1" x14ac:dyDescent="0.25">
      <c r="A257" s="152">
        <f>'B) D RI'!A258</f>
        <v>5842</v>
      </c>
      <c r="B257" s="153" t="str">
        <f>'B) D RI'!B258</f>
        <v>Rossinière</v>
      </c>
      <c r="C257" s="317">
        <f>'B) D RI'!S258</f>
        <v>81</v>
      </c>
      <c r="D257" s="154">
        <f>'B) D RI'!AA258</f>
        <v>548</v>
      </c>
      <c r="E257" s="315">
        <f>'D) Ecrêtage'!C256</f>
        <v>16094.216375513943</v>
      </c>
      <c r="F257" s="319">
        <f>'E) Fact soc'!G262</f>
        <v>303260.61263127375</v>
      </c>
      <c r="G257" s="316">
        <f>'H) Péréquation directe'!I267</f>
        <v>37021.777626232128</v>
      </c>
      <c r="H257" s="319">
        <f>+'I) Dépenses thématiques'!O256</f>
        <v>-171124.51407423517</v>
      </c>
      <c r="I257" s="316">
        <f>'K) Plafonnement aide'!J256</f>
        <v>0</v>
      </c>
      <c r="J257" s="319">
        <f>'J) Plafonnement effort'!J256</f>
        <v>0</v>
      </c>
      <c r="K257" s="316">
        <f>'L) Plafonnement taux'!Q257</f>
        <v>0</v>
      </c>
      <c r="L257" s="314">
        <f t="shared" si="12"/>
        <v>169157.87618327071</v>
      </c>
      <c r="M257" s="235">
        <f>'M) Police'!O257</f>
        <v>51247.489095382814</v>
      </c>
      <c r="N257" s="235">
        <f t="shared" si="14"/>
        <v>220405.36527865351</v>
      </c>
      <c r="P257" s="322"/>
    </row>
    <row r="258" spans="1:16" s="155" customFormat="1" x14ac:dyDescent="0.25">
      <c r="A258" s="152">
        <f>'B) D RI'!A259</f>
        <v>5843</v>
      </c>
      <c r="B258" s="153" t="str">
        <f>'B) D RI'!B259</f>
        <v>Rougemont</v>
      </c>
      <c r="C258" s="317">
        <f>'B) D RI'!S259</f>
        <v>74</v>
      </c>
      <c r="D258" s="154">
        <f>'B) D RI'!AA259</f>
        <v>882</v>
      </c>
      <c r="E258" s="315">
        <f>'D) Ecrêtage'!C257</f>
        <v>94148.401666926264</v>
      </c>
      <c r="F258" s="319">
        <f>'E) Fact soc'!G263</f>
        <v>3603620.1920664515</v>
      </c>
      <c r="G258" s="316">
        <f>'H) Péréquation directe'!I268</f>
        <v>1799426.9817914886</v>
      </c>
      <c r="H258" s="319">
        <f>+'I) Dépenses thématiques'!O257</f>
        <v>-161918.18792713014</v>
      </c>
      <c r="I258" s="316">
        <f>'K) Plafonnement aide'!J257</f>
        <v>0</v>
      </c>
      <c r="J258" s="319">
        <f>'J) Plafonnement effort'!J257</f>
        <v>-91908.380918349125</v>
      </c>
      <c r="K258" s="316">
        <f>'L) Plafonnement taux'!Q258</f>
        <v>0</v>
      </c>
      <c r="L258" s="314">
        <f t="shared" si="12"/>
        <v>5149220.6050124606</v>
      </c>
      <c r="M258" s="235">
        <f>'M) Police'!O258</f>
        <v>197851.19171766008</v>
      </c>
      <c r="N258" s="235">
        <f t="shared" si="14"/>
        <v>5347071.7967301207</v>
      </c>
      <c r="P258" s="322"/>
    </row>
    <row r="259" spans="1:16" s="155" customFormat="1" x14ac:dyDescent="0.25">
      <c r="A259" s="152">
        <f>'B) D RI'!A260</f>
        <v>5851</v>
      </c>
      <c r="B259" s="153" t="str">
        <f>'B) D RI'!B260</f>
        <v>Allaman</v>
      </c>
      <c r="C259" s="317">
        <f>'B) D RI'!S260</f>
        <v>62</v>
      </c>
      <c r="D259" s="154">
        <f>'B) D RI'!AA260</f>
        <v>434</v>
      </c>
      <c r="E259" s="315">
        <f>'D) Ecrêtage'!C258</f>
        <v>28833.689592297927</v>
      </c>
      <c r="F259" s="319">
        <f>'E) Fact soc'!G264</f>
        <v>878931.93508571223</v>
      </c>
      <c r="G259" s="316">
        <f>'H) Péréquation directe'!I269</f>
        <v>530624.22641034704</v>
      </c>
      <c r="H259" s="319">
        <f>+'I) Dépenses thématiques'!O258</f>
        <v>0</v>
      </c>
      <c r="I259" s="316">
        <f>'K) Plafonnement aide'!J258</f>
        <v>0</v>
      </c>
      <c r="J259" s="319">
        <f>'J) Plafonnement effort'!J258</f>
        <v>0</v>
      </c>
      <c r="K259" s="316">
        <f>'L) Plafonnement taux'!Q259</f>
        <v>0</v>
      </c>
      <c r="L259" s="314">
        <f t="shared" si="12"/>
        <v>1409556.1614960593</v>
      </c>
      <c r="M259" s="235">
        <f>'M) Police'!O259</f>
        <v>74170.033446597052</v>
      </c>
      <c r="N259" s="235">
        <f t="shared" si="14"/>
        <v>1483726.1949426564</v>
      </c>
      <c r="P259" s="322"/>
    </row>
    <row r="260" spans="1:16" s="155" customFormat="1" x14ac:dyDescent="0.25">
      <c r="A260" s="152">
        <f>'B) D RI'!A261</f>
        <v>5852</v>
      </c>
      <c r="B260" s="153" t="str">
        <f>'B) D RI'!B261</f>
        <v>Bursinel</v>
      </c>
      <c r="C260" s="317">
        <f>'B) D RI'!S261</f>
        <v>65.5</v>
      </c>
      <c r="D260" s="154">
        <f>'B) D RI'!AA261</f>
        <v>471</v>
      </c>
      <c r="E260" s="315">
        <f>'D) Ecrêtage'!C259</f>
        <v>39695.951591324636</v>
      </c>
      <c r="F260" s="319">
        <f>'E) Fact soc'!G265</f>
        <v>1158046.8787806558</v>
      </c>
      <c r="G260" s="316">
        <f>'H) Péréquation directe'!I270</f>
        <v>746317.83632912172</v>
      </c>
      <c r="H260" s="319">
        <f>+'I) Dépenses thématiques'!O259</f>
        <v>0</v>
      </c>
      <c r="I260" s="316">
        <f>'K) Plafonnement aide'!J259</f>
        <v>0</v>
      </c>
      <c r="J260" s="319">
        <f>'J) Plafonnement effort'!J259</f>
        <v>0</v>
      </c>
      <c r="K260" s="316">
        <f>'L) Plafonnement taux'!Q260</f>
        <v>0</v>
      </c>
      <c r="L260" s="314">
        <f t="shared" si="12"/>
        <v>1904364.7151097776</v>
      </c>
      <c r="M260" s="235">
        <f>'M) Police'!O260</f>
        <v>91631.918843331194</v>
      </c>
      <c r="N260" s="235">
        <f t="shared" si="14"/>
        <v>1995996.6339531089</v>
      </c>
      <c r="P260" s="322"/>
    </row>
    <row r="261" spans="1:16" s="155" customFormat="1" x14ac:dyDescent="0.25">
      <c r="A261" s="152">
        <f>'B) D RI'!A262</f>
        <v>5853</v>
      </c>
      <c r="B261" s="153" t="str">
        <f>'B) D RI'!B262</f>
        <v>Bursins</v>
      </c>
      <c r="C261" s="317">
        <f>'B) D RI'!S262</f>
        <v>71</v>
      </c>
      <c r="D261" s="154">
        <f>'B) D RI'!AA262</f>
        <v>752</v>
      </c>
      <c r="E261" s="315">
        <f>'D) Ecrêtage'!C260</f>
        <v>36570.93565140845</v>
      </c>
      <c r="F261" s="319">
        <f>'E) Fact soc'!G266</f>
        <v>759202.14448138466</v>
      </c>
      <c r="G261" s="316">
        <f>'H) Péréquation directe'!I271</f>
        <v>647845.00072324509</v>
      </c>
      <c r="H261" s="319">
        <f>+'I) Dépenses thématiques'!O260</f>
        <v>-25472.059844802101</v>
      </c>
      <c r="I261" s="316">
        <f>'K) Plafonnement aide'!J260</f>
        <v>0</v>
      </c>
      <c r="J261" s="319">
        <f>'J) Plafonnement effort'!J260</f>
        <v>0</v>
      </c>
      <c r="K261" s="316">
        <f>'L) Plafonnement taux'!Q261</f>
        <v>0</v>
      </c>
      <c r="L261" s="314">
        <f t="shared" si="12"/>
        <v>1381575.0853598276</v>
      </c>
      <c r="M261" s="235">
        <f>'M) Police'!O261</f>
        <v>110769.28798431663</v>
      </c>
      <c r="N261" s="235">
        <f t="shared" si="14"/>
        <v>1492344.3733441443</v>
      </c>
      <c r="P261" s="322"/>
    </row>
    <row r="262" spans="1:16" s="155" customFormat="1" x14ac:dyDescent="0.25">
      <c r="A262" s="152">
        <f>'B) D RI'!A263</f>
        <v>5854</v>
      </c>
      <c r="B262" s="153" t="str">
        <f>'B) D RI'!B263</f>
        <v>Burtigny</v>
      </c>
      <c r="C262" s="317">
        <f>'B) D RI'!S263</f>
        <v>80</v>
      </c>
      <c r="D262" s="154">
        <f>'B) D RI'!AA263</f>
        <v>391</v>
      </c>
      <c r="E262" s="315">
        <f>'D) Ecrêtage'!C261</f>
        <v>15186.776169765042</v>
      </c>
      <c r="F262" s="319">
        <f>'E) Fact soc'!G267</f>
        <v>346240.20435110701</v>
      </c>
      <c r="G262" s="316">
        <f>'H) Péréquation directe'!I272</f>
        <v>199650.94578697617</v>
      </c>
      <c r="H262" s="319">
        <f>+'I) Dépenses thématiques'!O261</f>
        <v>-12589.394614660529</v>
      </c>
      <c r="I262" s="316">
        <f>'K) Plafonnement aide'!J261</f>
        <v>0</v>
      </c>
      <c r="J262" s="319">
        <f>'J) Plafonnement effort'!J261</f>
        <v>0</v>
      </c>
      <c r="K262" s="316">
        <f>'L) Plafonnement taux'!Q262</f>
        <v>-17145.841434200098</v>
      </c>
      <c r="L262" s="314">
        <f t="shared" si="12"/>
        <v>516155.9140892225</v>
      </c>
      <c r="M262" s="235">
        <f>'M) Police'!O262</f>
        <v>48708.797096052884</v>
      </c>
      <c r="N262" s="235">
        <f t="shared" si="14"/>
        <v>564864.71118527534</v>
      </c>
      <c r="P262" s="322"/>
    </row>
    <row r="263" spans="1:16" s="155" customFormat="1" x14ac:dyDescent="0.25">
      <c r="A263" s="152">
        <f>'B) D RI'!A264</f>
        <v>5855</v>
      </c>
      <c r="B263" s="153" t="str">
        <f>'B) D RI'!B264</f>
        <v>Dully</v>
      </c>
      <c r="C263" s="317">
        <f>'B) D RI'!S264</f>
        <v>49</v>
      </c>
      <c r="D263" s="154">
        <f>'B) D RI'!AA264</f>
        <v>635</v>
      </c>
      <c r="E263" s="315">
        <f>'D) Ecrêtage'!C262</f>
        <v>91369.635498396179</v>
      </c>
      <c r="F263" s="319">
        <f>'E) Fact soc'!G268</f>
        <v>3037378.6687848978</v>
      </c>
      <c r="G263" s="316">
        <f>'H) Péréquation directe'!I273</f>
        <v>1773910.5628637788</v>
      </c>
      <c r="H263" s="319">
        <f>+'I) Dépenses thématiques'!O262</f>
        <v>0</v>
      </c>
      <c r="I263" s="316">
        <f>'K) Plafonnement aide'!J262</f>
        <v>0</v>
      </c>
      <c r="J263" s="319">
        <f>'J) Plafonnement effort'!J262</f>
        <v>-128958.5427256601</v>
      </c>
      <c r="K263" s="316">
        <f>'L) Plafonnement taux'!Q263</f>
        <v>0</v>
      </c>
      <c r="L263" s="314">
        <f t="shared" si="12"/>
        <v>4682330.6889230162</v>
      </c>
      <c r="M263" s="235">
        <f>'M) Police'!O263</f>
        <v>173705.75506567629</v>
      </c>
      <c r="N263" s="235">
        <f t="shared" si="14"/>
        <v>4856036.443988692</v>
      </c>
      <c r="P263" s="322"/>
    </row>
    <row r="264" spans="1:16" s="155" customFormat="1" x14ac:dyDescent="0.25">
      <c r="A264" s="152">
        <f>'B) D RI'!A265</f>
        <v>5856</v>
      </c>
      <c r="B264" s="153" t="str">
        <f>'B) D RI'!B265</f>
        <v>Essertines-sur-Rolle</v>
      </c>
      <c r="C264" s="317">
        <f>'B) D RI'!S265</f>
        <v>68</v>
      </c>
      <c r="D264" s="154">
        <f>'B) D RI'!AA265</f>
        <v>726</v>
      </c>
      <c r="E264" s="315">
        <f>'D) Ecrêtage'!C263</f>
        <v>37403.277675115321</v>
      </c>
      <c r="F264" s="319">
        <f>'E) Fact soc'!G269</f>
        <v>824134.36193676386</v>
      </c>
      <c r="G264" s="316">
        <f>'H) Péréquation directe'!I274</f>
        <v>667973.71801008389</v>
      </c>
      <c r="H264" s="319">
        <f>+'I) Dépenses thématiques'!O263</f>
        <v>0</v>
      </c>
      <c r="I264" s="316">
        <f>'K) Plafonnement aide'!J263</f>
        <v>0</v>
      </c>
      <c r="J264" s="319">
        <f>'J) Plafonnement effort'!J263</f>
        <v>0</v>
      </c>
      <c r="K264" s="316">
        <f>'L) Plafonnement taux'!Q264</f>
        <v>0</v>
      </c>
      <c r="L264" s="314">
        <f t="shared" si="12"/>
        <v>1492108.0799468476</v>
      </c>
      <c r="M264" s="235">
        <f>'M) Police'!O264</f>
        <v>109718.51119291017</v>
      </c>
      <c r="N264" s="235">
        <f t="shared" si="14"/>
        <v>1601826.5911397578</v>
      </c>
      <c r="P264" s="322"/>
    </row>
    <row r="265" spans="1:16" s="155" customFormat="1" x14ac:dyDescent="0.25">
      <c r="A265" s="152">
        <f>'B) D RI'!A266</f>
        <v>5857</v>
      </c>
      <c r="B265" s="153" t="str">
        <f>'B) D RI'!B266</f>
        <v>Gilly</v>
      </c>
      <c r="C265" s="317">
        <f>'B) D RI'!S266</f>
        <v>66</v>
      </c>
      <c r="D265" s="154">
        <f>'B) D RI'!AA266</f>
        <v>1324</v>
      </c>
      <c r="E265" s="315">
        <f>'D) Ecrêtage'!C264</f>
        <v>88640.687774331382</v>
      </c>
      <c r="F265" s="319">
        <f>'E) Fact soc'!G270</f>
        <v>2072329.7371647307</v>
      </c>
      <c r="G265" s="316">
        <f>'H) Péréquation directe'!I275</f>
        <v>1559695.6334006863</v>
      </c>
      <c r="H265" s="319">
        <f>+'I) Dépenses thématiques'!O264</f>
        <v>0</v>
      </c>
      <c r="I265" s="316">
        <f>'K) Plafonnement aide'!J264</f>
        <v>0</v>
      </c>
      <c r="J265" s="319">
        <f>'J) Plafonnement effort'!J264</f>
        <v>0</v>
      </c>
      <c r="K265" s="316">
        <f>'L) Plafonnement taux'!Q265</f>
        <v>0</v>
      </c>
      <c r="L265" s="314">
        <f t="shared" si="12"/>
        <v>3632025.3705654172</v>
      </c>
      <c r="M265" s="235">
        <f>'M) Police'!O265</f>
        <v>227168.48541434505</v>
      </c>
      <c r="N265" s="235">
        <f t="shared" si="14"/>
        <v>3859193.855979762</v>
      </c>
      <c r="P265" s="322"/>
    </row>
    <row r="266" spans="1:16" s="155" customFormat="1" x14ac:dyDescent="0.25">
      <c r="A266" s="152">
        <f>'B) D RI'!A267</f>
        <v>5858</v>
      </c>
      <c r="B266" s="153" t="str">
        <f>'B) D RI'!B267</f>
        <v>Luins</v>
      </c>
      <c r="C266" s="317">
        <f>'B) D RI'!S267</f>
        <v>60</v>
      </c>
      <c r="D266" s="154">
        <f>'B) D RI'!AA267</f>
        <v>613</v>
      </c>
      <c r="E266" s="315">
        <f>'D) Ecrêtage'!C265</f>
        <v>43780.812152194871</v>
      </c>
      <c r="F266" s="319">
        <f>'E) Fact soc'!G271</f>
        <v>1041457.9359377368</v>
      </c>
      <c r="G266" s="316">
        <f>'H) Péréquation directe'!I276</f>
        <v>811436.9259357499</v>
      </c>
      <c r="H266" s="319">
        <f>+'I) Dépenses thématiques'!O265</f>
        <v>0</v>
      </c>
      <c r="I266" s="316">
        <f>'K) Plafonnement aide'!J265</f>
        <v>0</v>
      </c>
      <c r="J266" s="319">
        <f>'J) Plafonnement effort'!J265</f>
        <v>0</v>
      </c>
      <c r="K266" s="316">
        <f>'L) Plafonnement taux'!Q266</f>
        <v>0</v>
      </c>
      <c r="L266" s="314">
        <f t="shared" ref="L266:L315" si="15">F266+G266+H266+I266+J266+K266</f>
        <v>1852894.8618734865</v>
      </c>
      <c r="M266" s="235">
        <f>'M) Police'!O266</f>
        <v>108809.79273234485</v>
      </c>
      <c r="N266" s="235">
        <f t="shared" si="14"/>
        <v>1961704.6546058315</v>
      </c>
      <c r="P266" s="322"/>
    </row>
    <row r="267" spans="1:16" s="155" customFormat="1" x14ac:dyDescent="0.25">
      <c r="A267" s="152">
        <f>'B) D RI'!A268</f>
        <v>5859</v>
      </c>
      <c r="B267" s="153" t="str">
        <f>'B) D RI'!B268</f>
        <v>Mont-sur-Rolle</v>
      </c>
      <c r="C267" s="317">
        <f>'B) D RI'!S268</f>
        <v>65</v>
      </c>
      <c r="D267" s="154">
        <f>'B) D RI'!AA268</f>
        <v>2651</v>
      </c>
      <c r="E267" s="315">
        <f>'D) Ecrêtage'!C266</f>
        <v>142403.85565354835</v>
      </c>
      <c r="F267" s="319">
        <f>'E) Fact soc'!G272</f>
        <v>2759485.3203781634</v>
      </c>
      <c r="G267" s="316">
        <f>'H) Péréquation directe'!I277</f>
        <v>2186164.9730025181</v>
      </c>
      <c r="H267" s="319">
        <f>+'I) Dépenses thématiques'!O266</f>
        <v>0</v>
      </c>
      <c r="I267" s="316">
        <f>'K) Plafonnement aide'!J266</f>
        <v>0</v>
      </c>
      <c r="J267" s="319">
        <f>'J) Plafonnement effort'!J266</f>
        <v>0</v>
      </c>
      <c r="K267" s="316">
        <f>'L) Plafonnement taux'!Q267</f>
        <v>0</v>
      </c>
      <c r="L267" s="314">
        <f t="shared" si="15"/>
        <v>4945650.2933806814</v>
      </c>
      <c r="M267" s="235">
        <f>'M) Police'!O267</f>
        <v>408359.45097864908</v>
      </c>
      <c r="N267" s="235">
        <f t="shared" si="14"/>
        <v>5354009.7443593303</v>
      </c>
      <c r="P267" s="322"/>
    </row>
    <row r="268" spans="1:16" s="155" customFormat="1" x14ac:dyDescent="0.25">
      <c r="A268" s="152">
        <f>'B) D RI'!A269</f>
        <v>5860</v>
      </c>
      <c r="B268" s="153" t="str">
        <f>'B) D RI'!B269</f>
        <v>Perroy</v>
      </c>
      <c r="C268" s="317">
        <f>'B) D RI'!S269</f>
        <v>60</v>
      </c>
      <c r="D268" s="154">
        <f>'B) D RI'!AA269</f>
        <v>1542</v>
      </c>
      <c r="E268" s="315">
        <f>'D) Ecrêtage'!C267</f>
        <v>95160.687801613312</v>
      </c>
      <c r="F268" s="319">
        <f>'E) Fact soc'!G273</f>
        <v>2407724.8499572477</v>
      </c>
      <c r="G268" s="316">
        <f>'H) Péréquation directe'!I278</f>
        <v>1615714.3713521629</v>
      </c>
      <c r="H268" s="319">
        <f>+'I) Dépenses thématiques'!O267</f>
        <v>0</v>
      </c>
      <c r="I268" s="316">
        <f>'K) Plafonnement aide'!J267</f>
        <v>0</v>
      </c>
      <c r="J268" s="319">
        <f>'J) Plafonnement effort'!J267</f>
        <v>0</v>
      </c>
      <c r="K268" s="316">
        <f>'L) Plafonnement taux'!Q268</f>
        <v>0</v>
      </c>
      <c r="L268" s="314">
        <f t="shared" si="15"/>
        <v>4023439.2213094104</v>
      </c>
      <c r="M268" s="235">
        <f>'M) Police'!O268</f>
        <v>253870.0069315171</v>
      </c>
      <c r="N268" s="235">
        <f t="shared" si="14"/>
        <v>4277309.2282409277</v>
      </c>
      <c r="P268" s="322"/>
    </row>
    <row r="269" spans="1:16" s="155" customFormat="1" x14ac:dyDescent="0.25">
      <c r="A269" s="152">
        <f>'B) D RI'!A270</f>
        <v>5861</v>
      </c>
      <c r="B269" s="153" t="str">
        <f>'B) D RI'!B270</f>
        <v>Rolle</v>
      </c>
      <c r="C269" s="317">
        <f>'B) D RI'!S270</f>
        <v>59.5</v>
      </c>
      <c r="D269" s="154">
        <f>'B) D RI'!AA270</f>
        <v>6246</v>
      </c>
      <c r="E269" s="315">
        <f>'D) Ecrêtage'!C268</f>
        <v>574229.10238061741</v>
      </c>
      <c r="F269" s="319">
        <f>'E) Fact soc'!G274</f>
        <v>15767987.227916356</v>
      </c>
      <c r="G269" s="316">
        <f>'H) Péréquation directe'!I279</f>
        <v>9076796.6647936516</v>
      </c>
      <c r="H269" s="319">
        <f>+'I) Dépenses thématiques'!O268</f>
        <v>0</v>
      </c>
      <c r="I269" s="316">
        <f>'K) Plafonnement aide'!J268</f>
        <v>0</v>
      </c>
      <c r="J269" s="319">
        <f>'J) Plafonnement effort'!J268</f>
        <v>0</v>
      </c>
      <c r="K269" s="316">
        <f>'L) Plafonnement taux'!Q269</f>
        <v>0</v>
      </c>
      <c r="L269" s="314">
        <f t="shared" si="15"/>
        <v>24844783.892710008</v>
      </c>
      <c r="M269" s="235">
        <f>'M) Police'!O269</f>
        <v>1278517.8226583966</v>
      </c>
      <c r="N269" s="235">
        <f t="shared" si="14"/>
        <v>26123301.715368405</v>
      </c>
      <c r="P269" s="322"/>
    </row>
    <row r="270" spans="1:16" s="155" customFormat="1" x14ac:dyDescent="0.25">
      <c r="A270" s="152">
        <f>'B) D RI'!A271</f>
        <v>5862</v>
      </c>
      <c r="B270" s="153" t="str">
        <f>'B) D RI'!B271</f>
        <v>Tartegnin</v>
      </c>
      <c r="C270" s="317">
        <f>'B) D RI'!S271</f>
        <v>81</v>
      </c>
      <c r="D270" s="154">
        <f>'B) D RI'!AA271</f>
        <v>246</v>
      </c>
      <c r="E270" s="315">
        <f>'D) Ecrêtage'!C269</f>
        <v>12235.59571867773</v>
      </c>
      <c r="F270" s="319">
        <f>'E) Fact soc'!G275</f>
        <v>232532.39459896283</v>
      </c>
      <c r="G270" s="316">
        <f>'H) Péréquation directe'!I280</f>
        <v>217449.54996778473</v>
      </c>
      <c r="H270" s="319">
        <f>+'I) Dépenses thématiques'!O269</f>
        <v>0</v>
      </c>
      <c r="I270" s="316">
        <f>'K) Plafonnement aide'!J269</f>
        <v>0</v>
      </c>
      <c r="J270" s="319">
        <f>'J) Plafonnement effort'!J269</f>
        <v>0</v>
      </c>
      <c r="K270" s="316">
        <f>'L) Plafonnement taux'!Q270</f>
        <v>0</v>
      </c>
      <c r="L270" s="314">
        <f t="shared" si="15"/>
        <v>449981.94456674752</v>
      </c>
      <c r="M270" s="235">
        <f>'M) Police'!O270</f>
        <v>36596.508290555859</v>
      </c>
      <c r="N270" s="235">
        <f t="shared" si="14"/>
        <v>486578.45285730337</v>
      </c>
      <c r="P270" s="322"/>
    </row>
    <row r="271" spans="1:16" s="155" customFormat="1" x14ac:dyDescent="0.25">
      <c r="A271" s="152">
        <f>'B) D RI'!A272</f>
        <v>5863</v>
      </c>
      <c r="B271" s="153" t="str">
        <f>'B) D RI'!B272</f>
        <v>Vinzel</v>
      </c>
      <c r="C271" s="317">
        <f>'B) D RI'!S272</f>
        <v>67</v>
      </c>
      <c r="D271" s="154">
        <f>'B) D RI'!AA272</f>
        <v>358</v>
      </c>
      <c r="E271" s="315">
        <f>'D) Ecrêtage'!C270</f>
        <v>22394.635794374353</v>
      </c>
      <c r="F271" s="319">
        <f>'E) Fact soc'!G276</f>
        <v>484672.32189684198</v>
      </c>
      <c r="G271" s="316">
        <f>'H) Péréquation directe'!I281</f>
        <v>409514.48452905577</v>
      </c>
      <c r="H271" s="319">
        <f>+'I) Dépenses thématiques'!O270</f>
        <v>0</v>
      </c>
      <c r="I271" s="316">
        <f>'K) Plafonnement aide'!J270</f>
        <v>0</v>
      </c>
      <c r="J271" s="319">
        <f>'J) Plafonnement effort'!J270</f>
        <v>0</v>
      </c>
      <c r="K271" s="316">
        <f>'L) Plafonnement taux'!Q271</f>
        <v>0</v>
      </c>
      <c r="L271" s="314">
        <f t="shared" si="15"/>
        <v>894186.80642589775</v>
      </c>
      <c r="M271" s="235">
        <f>'M) Police'!O271</f>
        <v>59339.668080737829</v>
      </c>
      <c r="N271" s="235">
        <f t="shared" si="14"/>
        <v>953526.47450663557</v>
      </c>
      <c r="P271" s="322"/>
    </row>
    <row r="272" spans="1:16" s="155" customFormat="1" x14ac:dyDescent="0.25">
      <c r="A272" s="152">
        <f>'B) D RI'!A273</f>
        <v>5871</v>
      </c>
      <c r="B272" s="153" t="str">
        <f>'B) D RI'!B273</f>
        <v>L'Abbaye</v>
      </c>
      <c r="C272" s="317">
        <f>'B) D RI'!S273</f>
        <v>77.31</v>
      </c>
      <c r="D272" s="154">
        <f>'B) D RI'!AA273</f>
        <v>1481</v>
      </c>
      <c r="E272" s="315">
        <f>'D) Ecrêtage'!C271</f>
        <v>44671.831166364944</v>
      </c>
      <c r="F272" s="319">
        <f>'E) Fact soc'!G277</f>
        <v>967363.95310344268</v>
      </c>
      <c r="G272" s="316">
        <f>'H) Péréquation directe'!I282</f>
        <v>96926.058408167562</v>
      </c>
      <c r="H272" s="319">
        <f>+'I) Dépenses thématiques'!O271</f>
        <v>-381267.34637331683</v>
      </c>
      <c r="I272" s="316">
        <f>'K) Plafonnement aide'!J271</f>
        <v>0</v>
      </c>
      <c r="J272" s="319">
        <f>'J) Plafonnement effort'!J271</f>
        <v>0</v>
      </c>
      <c r="K272" s="316">
        <f>'L) Plafonnement taux'!Q272</f>
        <v>0</v>
      </c>
      <c r="L272" s="314">
        <f t="shared" si="15"/>
        <v>683022.66513829352</v>
      </c>
      <c r="M272" s="235">
        <f>'M) Police'!O272</f>
        <v>141986.62066775459</v>
      </c>
      <c r="N272" s="235">
        <f t="shared" si="14"/>
        <v>825009.28580604808</v>
      </c>
      <c r="P272" s="322"/>
    </row>
    <row r="273" spans="1:16" s="155" customFormat="1" x14ac:dyDescent="0.25">
      <c r="A273" s="152">
        <f>'B) D RI'!A274</f>
        <v>5872</v>
      </c>
      <c r="B273" s="153" t="str">
        <f>'B) D RI'!B274</f>
        <v>Le Chenit</v>
      </c>
      <c r="C273" s="317">
        <f>'B) D RI'!S274</f>
        <v>68.12</v>
      </c>
      <c r="D273" s="154">
        <f>'B) D RI'!AA274</f>
        <v>4605</v>
      </c>
      <c r="E273" s="315">
        <f>'D) Ecrêtage'!C272</f>
        <v>169487.47890245376</v>
      </c>
      <c r="F273" s="319">
        <f>'E) Fact soc'!G278</f>
        <v>5086032.6796281338</v>
      </c>
      <c r="G273" s="316">
        <f>'H) Péréquation directe'!I283</f>
        <v>1130279.902006336</v>
      </c>
      <c r="H273" s="319">
        <f>+'I) Dépenses thématiques'!O272</f>
        <v>-1809601.4808954662</v>
      </c>
      <c r="I273" s="316">
        <f>'K) Plafonnement aide'!J272</f>
        <v>0</v>
      </c>
      <c r="J273" s="319">
        <f>'J) Plafonnement effort'!J272</f>
        <v>0</v>
      </c>
      <c r="K273" s="316">
        <f>'L) Plafonnement taux'!Q273</f>
        <v>0</v>
      </c>
      <c r="L273" s="314">
        <f t="shared" si="15"/>
        <v>4406711.1007390032</v>
      </c>
      <c r="M273" s="235">
        <f>'M) Police'!O273</f>
        <v>541630.9395340716</v>
      </c>
      <c r="N273" s="235">
        <f t="shared" si="14"/>
        <v>4948342.040273075</v>
      </c>
      <c r="P273" s="322"/>
    </row>
    <row r="274" spans="1:16" s="155" customFormat="1" x14ac:dyDescent="0.25">
      <c r="A274" s="152">
        <f>'B) D RI'!A275</f>
        <v>5873</v>
      </c>
      <c r="B274" s="153" t="str">
        <f>'B) D RI'!B275</f>
        <v>Le Lieu</v>
      </c>
      <c r="C274" s="317">
        <f>'B) D RI'!S275</f>
        <v>70</v>
      </c>
      <c r="D274" s="154">
        <f>'B) D RI'!AA275</f>
        <v>875</v>
      </c>
      <c r="E274" s="315">
        <f>'D) Ecrêtage'!C273</f>
        <v>29965.351280448966</v>
      </c>
      <c r="F274" s="319">
        <f>'E) Fact soc'!G279</f>
        <v>748126.72682182724</v>
      </c>
      <c r="G274" s="316">
        <f>'H) Péréquation directe'!I284</f>
        <v>318143.34382076462</v>
      </c>
      <c r="H274" s="319">
        <f>+'I) Dépenses thématiques'!O273</f>
        <v>-775574.21553319972</v>
      </c>
      <c r="I274" s="316">
        <f>'K) Plafonnement aide'!J273</f>
        <v>0</v>
      </c>
      <c r="J274" s="319">
        <f>'J) Plafonnement effort'!J273</f>
        <v>0</v>
      </c>
      <c r="K274" s="316">
        <f>'L) Plafonnement taux'!Q274</f>
        <v>0</v>
      </c>
      <c r="L274" s="314">
        <f t="shared" si="15"/>
        <v>290695.8551093922</v>
      </c>
      <c r="M274" s="235">
        <f>'M) Police'!O274</f>
        <v>95639.748130548192</v>
      </c>
      <c r="N274" s="235">
        <f t="shared" si="14"/>
        <v>386335.60323994036</v>
      </c>
      <c r="P274" s="322"/>
    </row>
    <row r="275" spans="1:16" s="155" customFormat="1" x14ac:dyDescent="0.25">
      <c r="A275" s="152">
        <f>'B) D RI'!A276</f>
        <v>5881</v>
      </c>
      <c r="B275" s="153" t="str">
        <f>'B) D RI'!B276</f>
        <v>Blonay</v>
      </c>
      <c r="C275" s="317">
        <f>'B) D RI'!S276</f>
        <v>70</v>
      </c>
      <c r="D275" s="154">
        <f>'B) D RI'!AA276</f>
        <v>6175</v>
      </c>
      <c r="E275" s="315">
        <f>'D) Ecrêtage'!C274</f>
        <v>329876.03226063965</v>
      </c>
      <c r="F275" s="319">
        <f>'E) Fact soc'!G280</f>
        <v>6522900.501982539</v>
      </c>
      <c r="G275" s="316">
        <f>'H) Péréquation directe'!I285</f>
        <v>4163259.783370703</v>
      </c>
      <c r="H275" s="319">
        <f>+'I) Dépenses thématiques'!O274</f>
        <v>-649971.21425457415</v>
      </c>
      <c r="I275" s="316">
        <f>'K) Plafonnement aide'!J274</f>
        <v>0</v>
      </c>
      <c r="J275" s="319">
        <f>'J) Plafonnement effort'!J274</f>
        <v>0</v>
      </c>
      <c r="K275" s="316">
        <f>'L) Plafonnement taux'!Q275</f>
        <v>0</v>
      </c>
      <c r="L275" s="314">
        <f t="shared" si="15"/>
        <v>10036189.071098667</v>
      </c>
      <c r="M275" s="235">
        <f>'M) Police'!O275</f>
        <v>437211.89983075706</v>
      </c>
      <c r="N275" s="235">
        <f t="shared" si="14"/>
        <v>10473400.970929423</v>
      </c>
      <c r="P275" s="322"/>
    </row>
    <row r="276" spans="1:16" s="155" customFormat="1" x14ac:dyDescent="0.25">
      <c r="A276" s="152">
        <f>'B) D RI'!A277</f>
        <v>5882</v>
      </c>
      <c r="B276" s="153" t="str">
        <f>'B) D RI'!B277</f>
        <v>Chardonne</v>
      </c>
      <c r="C276" s="317">
        <f>'B) D RI'!S277</f>
        <v>68</v>
      </c>
      <c r="D276" s="154">
        <f>'B) D RI'!AA277</f>
        <v>2941</v>
      </c>
      <c r="E276" s="315">
        <f>'D) Ecrêtage'!C275</f>
        <v>160866.12406088383</v>
      </c>
      <c r="F276" s="319">
        <f>'E) Fact soc'!G281</f>
        <v>3836019.1207686178</v>
      </c>
      <c r="G276" s="316">
        <f>'H) Péréquation directe'!I286</f>
        <v>2459228.2622184213</v>
      </c>
      <c r="H276" s="319">
        <f>+'I) Dépenses thématiques'!O275</f>
        <v>-390426.25703205972</v>
      </c>
      <c r="I276" s="316">
        <f>'K) Plafonnement aide'!J275</f>
        <v>0</v>
      </c>
      <c r="J276" s="319">
        <f>'J) Plafonnement effort'!J275</f>
        <v>0</v>
      </c>
      <c r="K276" s="316">
        <f>'L) Plafonnement taux'!Q276</f>
        <v>0</v>
      </c>
      <c r="L276" s="314">
        <f t="shared" si="15"/>
        <v>5904821.1259549791</v>
      </c>
      <c r="M276" s="235">
        <f>'M) Police'!O276</f>
        <v>213209.13567766733</v>
      </c>
      <c r="N276" s="235">
        <f t="shared" si="14"/>
        <v>6118030.2616326464</v>
      </c>
      <c r="P276" s="322"/>
    </row>
    <row r="277" spans="1:16" s="155" customFormat="1" x14ac:dyDescent="0.25">
      <c r="A277" s="152">
        <f>'B) D RI'!A278</f>
        <v>5883</v>
      </c>
      <c r="B277" s="153" t="str">
        <f>'B) D RI'!B278</f>
        <v>Corseaux</v>
      </c>
      <c r="C277" s="317">
        <f>'B) D RI'!S278</f>
        <v>69</v>
      </c>
      <c r="D277" s="154">
        <f>'B) D RI'!AA278</f>
        <v>2282</v>
      </c>
      <c r="E277" s="315">
        <f>'D) Ecrêtage'!C276</f>
        <v>155219.69320868849</v>
      </c>
      <c r="F277" s="319">
        <f>'E) Fact soc'!G282</f>
        <v>5101885.3883120399</v>
      </c>
      <c r="G277" s="316">
        <f>'H) Péréquation directe'!I287</f>
        <v>2575122.4196650479</v>
      </c>
      <c r="H277" s="319">
        <f>+'I) Dépenses thématiques'!O276</f>
        <v>0</v>
      </c>
      <c r="I277" s="316">
        <f>'K) Plafonnement aide'!J276</f>
        <v>0</v>
      </c>
      <c r="J277" s="319">
        <f>'J) Plafonnement effort'!J276</f>
        <v>0</v>
      </c>
      <c r="K277" s="316">
        <f>'L) Plafonnement taux'!Q277</f>
        <v>0</v>
      </c>
      <c r="L277" s="314">
        <f t="shared" si="15"/>
        <v>7677007.8079770878</v>
      </c>
      <c r="M277" s="235">
        <f>'M) Police'!O277</f>
        <v>205725.45538954993</v>
      </c>
      <c r="N277" s="235">
        <f t="shared" si="14"/>
        <v>7882733.2633666378</v>
      </c>
      <c r="P277" s="322"/>
    </row>
    <row r="278" spans="1:16" s="155" customFormat="1" x14ac:dyDescent="0.25">
      <c r="A278" s="152">
        <f>'B) D RI'!A279</f>
        <v>5884</v>
      </c>
      <c r="B278" s="153" t="str">
        <f>'B) D RI'!B279</f>
        <v>Corsier-sur-Vevey</v>
      </c>
      <c r="C278" s="317">
        <f>'B) D RI'!S279</f>
        <v>66</v>
      </c>
      <c r="D278" s="154">
        <f>'B) D RI'!AA279</f>
        <v>3386</v>
      </c>
      <c r="E278" s="315">
        <f>'D) Ecrêtage'!C277</f>
        <v>113730.49763913798</v>
      </c>
      <c r="F278" s="319">
        <f>'E) Fact soc'!G283</f>
        <v>2162052.6400663317</v>
      </c>
      <c r="G278" s="316">
        <f>'H) Péréquation directe'!I288</f>
        <v>630721.74816862354</v>
      </c>
      <c r="H278" s="319">
        <f>+'I) Dépenses thématiques'!O277</f>
        <v>-1332315.8363846042</v>
      </c>
      <c r="I278" s="316">
        <f>'K) Plafonnement aide'!J277</f>
        <v>0</v>
      </c>
      <c r="J278" s="319">
        <f>'J) Plafonnement effort'!J277</f>
        <v>0</v>
      </c>
      <c r="K278" s="316">
        <f>'L) Plafonnement taux'!Q278</f>
        <v>0</v>
      </c>
      <c r="L278" s="314">
        <f t="shared" si="15"/>
        <v>1460458.551850351</v>
      </c>
      <c r="M278" s="235">
        <f>'M) Police'!O278</f>
        <v>150736.40422053175</v>
      </c>
      <c r="N278" s="235">
        <f t="shared" si="14"/>
        <v>1611194.9560708827</v>
      </c>
      <c r="P278" s="322"/>
    </row>
    <row r="279" spans="1:16" s="155" customFormat="1" x14ac:dyDescent="0.25">
      <c r="A279" s="152">
        <f>'B) D RI'!A280</f>
        <v>5885</v>
      </c>
      <c r="B279" s="153" t="str">
        <f>'B) D RI'!B280</f>
        <v>Jongny</v>
      </c>
      <c r="C279" s="317">
        <f>'B) D RI'!S280</f>
        <v>71</v>
      </c>
      <c r="D279" s="154">
        <f>'B) D RI'!AA280</f>
        <v>1536</v>
      </c>
      <c r="E279" s="315">
        <f>'D) Ecrêtage'!C278</f>
        <v>83488.016188395792</v>
      </c>
      <c r="F279" s="319">
        <f>'E) Fact soc'!G284</f>
        <v>2131319.6073621754</v>
      </c>
      <c r="G279" s="316">
        <f>'H) Péréquation directe'!I289</f>
        <v>1381061.1591247632</v>
      </c>
      <c r="H279" s="319">
        <f>+'I) Dépenses thématiques'!O278</f>
        <v>-18570.8922095997</v>
      </c>
      <c r="I279" s="316">
        <f>'K) Plafonnement aide'!J278</f>
        <v>0</v>
      </c>
      <c r="J279" s="319">
        <f>'J) Plafonnement effort'!J278</f>
        <v>0</v>
      </c>
      <c r="K279" s="316">
        <f>'L) Plafonnement taux'!Q279</f>
        <v>0</v>
      </c>
      <c r="L279" s="314">
        <f t="shared" si="15"/>
        <v>3493809.8742773389</v>
      </c>
      <c r="M279" s="235">
        <f>'M) Police'!O279</f>
        <v>110653.55042826763</v>
      </c>
      <c r="N279" s="235">
        <f t="shared" si="14"/>
        <v>3604463.4247056064</v>
      </c>
      <c r="P279" s="322"/>
    </row>
    <row r="280" spans="1:16" s="155" customFormat="1" x14ac:dyDescent="0.25">
      <c r="A280" s="152">
        <f>'B) D RI'!A281</f>
        <v>5886</v>
      </c>
      <c r="B280" s="153" t="str">
        <f>'B) D RI'!B281</f>
        <v>Montreux</v>
      </c>
      <c r="C280" s="317">
        <f>'B) D RI'!S281</f>
        <v>65</v>
      </c>
      <c r="D280" s="154">
        <f>'B) D RI'!AA281</f>
        <v>26006</v>
      </c>
      <c r="E280" s="315">
        <f>'D) Ecrêtage'!C279</f>
        <v>1097840.7322767281</v>
      </c>
      <c r="F280" s="319">
        <f>'E) Fact soc'!G285</f>
        <v>28906137.928823143</v>
      </c>
      <c r="G280" s="316">
        <f>'H) Péréquation directe'!I290</f>
        <v>-183402.45844851062</v>
      </c>
      <c r="H280" s="319">
        <f>+'I) Dépenses thématiques'!O279</f>
        <v>-6845924.3228246383</v>
      </c>
      <c r="I280" s="316">
        <f>'K) Plafonnement aide'!J279</f>
        <v>0</v>
      </c>
      <c r="J280" s="319">
        <f>'J) Plafonnement effort'!J279</f>
        <v>0</v>
      </c>
      <c r="K280" s="316">
        <f>'L) Plafonnement taux'!Q280</f>
        <v>0</v>
      </c>
      <c r="L280" s="314">
        <f t="shared" si="15"/>
        <v>21876811.147549994</v>
      </c>
      <c r="M280" s="235">
        <f>'M) Police'!O280</f>
        <v>1455058.8261321508</v>
      </c>
      <c r="N280" s="235">
        <f t="shared" si="14"/>
        <v>23331869.973682147</v>
      </c>
      <c r="P280" s="322"/>
    </row>
    <row r="281" spans="1:16" s="155" customFormat="1" x14ac:dyDescent="0.25">
      <c r="A281" s="152">
        <f>'B) D RI'!A282</f>
        <v>5888</v>
      </c>
      <c r="B281" s="153" t="str">
        <f>'B) D RI'!B282</f>
        <v>Saint-Légier-La Chiésaz</v>
      </c>
      <c r="C281" s="317">
        <f>'B) D RI'!S282</f>
        <v>70</v>
      </c>
      <c r="D281" s="154">
        <f>'B) D RI'!AA282</f>
        <v>5185</v>
      </c>
      <c r="E281" s="315">
        <f>'D) Ecrêtage'!C280</f>
        <v>314313.56949265295</v>
      </c>
      <c r="F281" s="319">
        <f>'E) Fact soc'!G286</f>
        <v>7216582.6580667533</v>
      </c>
      <c r="G281" s="316">
        <f>'H) Péréquation directe'!I291</f>
        <v>4441016.3633705452</v>
      </c>
      <c r="H281" s="319">
        <f>+'I) Dépenses thématiques'!O280</f>
        <v>-570361.77490741154</v>
      </c>
      <c r="I281" s="316">
        <f>'K) Plafonnement aide'!J280</f>
        <v>0</v>
      </c>
      <c r="J281" s="319">
        <f>'J) Plafonnement effort'!J280</f>
        <v>0</v>
      </c>
      <c r="K281" s="316">
        <f>'L) Plafonnement taux'!Q281</f>
        <v>0</v>
      </c>
      <c r="L281" s="314">
        <f t="shared" si="15"/>
        <v>11087237.246529886</v>
      </c>
      <c r="M281" s="235">
        <f>'M) Police'!O281</f>
        <v>416585.6849881435</v>
      </c>
      <c r="N281" s="235">
        <f t="shared" si="14"/>
        <v>11503822.931518029</v>
      </c>
      <c r="P281" s="322"/>
    </row>
    <row r="282" spans="1:16" s="155" customFormat="1" x14ac:dyDescent="0.25">
      <c r="A282" s="152">
        <f>'B) D RI'!A283</f>
        <v>5889</v>
      </c>
      <c r="B282" s="153" t="str">
        <f>'B) D RI'!B283</f>
        <v>La Tour-de-Peilz</v>
      </c>
      <c r="C282" s="317">
        <f>'B) D RI'!S283</f>
        <v>64</v>
      </c>
      <c r="D282" s="154">
        <f>'B) D RI'!AA283</f>
        <v>11871</v>
      </c>
      <c r="E282" s="315">
        <f>'D) Ecrêtage'!C281</f>
        <v>638439.35310298624</v>
      </c>
      <c r="F282" s="319">
        <f>'E) Fact soc'!G287</f>
        <v>15304199.26462586</v>
      </c>
      <c r="G282" s="316">
        <f>'H) Péréquation directe'!I292</f>
        <v>6290509.2864822978</v>
      </c>
      <c r="H282" s="319">
        <f>+'I) Dépenses thématiques'!O281</f>
        <v>0</v>
      </c>
      <c r="I282" s="316">
        <f>'K) Plafonnement aide'!J281</f>
        <v>0</v>
      </c>
      <c r="J282" s="319">
        <f>'J) Plafonnement effort'!J281</f>
        <v>0</v>
      </c>
      <c r="K282" s="316">
        <f>'L) Plafonnement taux'!Q282</f>
        <v>0</v>
      </c>
      <c r="L282" s="314">
        <f t="shared" si="15"/>
        <v>21594708.551108159</v>
      </c>
      <c r="M282" s="235">
        <f>'M) Police'!O282</f>
        <v>846176.30624442908</v>
      </c>
      <c r="N282" s="235">
        <f t="shared" si="14"/>
        <v>22440884.857352588</v>
      </c>
      <c r="P282" s="322"/>
    </row>
    <row r="283" spans="1:16" s="155" customFormat="1" x14ac:dyDescent="0.25">
      <c r="A283" s="152">
        <f>'B) D RI'!A284</f>
        <v>5890</v>
      </c>
      <c r="B283" s="153" t="str">
        <f>'B) D RI'!B284</f>
        <v>Vevey</v>
      </c>
      <c r="C283" s="317">
        <f>'B) D RI'!S284</f>
        <v>76</v>
      </c>
      <c r="D283" s="154">
        <f>'B) D RI'!AA284</f>
        <v>19904</v>
      </c>
      <c r="E283" s="315">
        <f>'D) Ecrêtage'!C282</f>
        <v>913497.60631978849</v>
      </c>
      <c r="F283" s="319">
        <f>'E) Fact soc'!G288</f>
        <v>18207152.690177578</v>
      </c>
      <c r="G283" s="316">
        <f>'H) Péréquation directe'!I293</f>
        <v>3618840.2509813495</v>
      </c>
      <c r="H283" s="319">
        <f>+'I) Dépenses thématiques'!O282</f>
        <v>-3196642.8114393027</v>
      </c>
      <c r="I283" s="316">
        <f>'K) Plafonnement aide'!J282</f>
        <v>0</v>
      </c>
      <c r="J283" s="319">
        <f>'J) Plafonnement effort'!J282</f>
        <v>0</v>
      </c>
      <c r="K283" s="316">
        <f>'L) Plafonnement taux'!Q283</f>
        <v>0</v>
      </c>
      <c r="L283" s="314">
        <f t="shared" si="15"/>
        <v>18629350.129719626</v>
      </c>
      <c r="M283" s="235">
        <f>'M) Police'!O283</f>
        <v>1210733.6844477337</v>
      </c>
      <c r="N283" s="235">
        <f t="shared" si="14"/>
        <v>19840083.814167358</v>
      </c>
      <c r="P283" s="322"/>
    </row>
    <row r="284" spans="1:16" s="155" customFormat="1" x14ac:dyDescent="0.25">
      <c r="A284" s="152">
        <f>'B) D RI'!A285</f>
        <v>5891</v>
      </c>
      <c r="B284" s="153" t="str">
        <f>'B) D RI'!B285</f>
        <v>Veytaux</v>
      </c>
      <c r="C284" s="317">
        <f>'B) D RI'!S285</f>
        <v>71</v>
      </c>
      <c r="D284" s="154">
        <f>'B) D RI'!AA285</f>
        <v>884</v>
      </c>
      <c r="E284" s="315">
        <f>'D) Ecrêtage'!C283</f>
        <v>36119.381724012419</v>
      </c>
      <c r="F284" s="319">
        <f>'E) Fact soc'!G289</f>
        <v>990665.80094270222</v>
      </c>
      <c r="G284" s="316">
        <f>'H) Péréquation directe'!I294</f>
        <v>551920.23443027353</v>
      </c>
      <c r="H284" s="319">
        <f>+'I) Dépenses thématiques'!O283</f>
        <v>-487240.04172304401</v>
      </c>
      <c r="I284" s="316">
        <f>'K) Plafonnement aide'!J283</f>
        <v>0</v>
      </c>
      <c r="J284" s="319">
        <f>'J) Plafonnement effort'!J283</f>
        <v>0</v>
      </c>
      <c r="K284" s="316">
        <f>'L) Plafonnement taux'!Q284</f>
        <v>0</v>
      </c>
      <c r="L284" s="314">
        <f t="shared" si="15"/>
        <v>1055345.9936499316</v>
      </c>
      <c r="M284" s="235">
        <f>'M) Police'!O284</f>
        <v>47871.994203539034</v>
      </c>
      <c r="N284" s="235">
        <f t="shared" si="14"/>
        <v>1103217.9878534707</v>
      </c>
      <c r="P284" s="322"/>
    </row>
    <row r="285" spans="1:16" s="155" customFormat="1" x14ac:dyDescent="0.25">
      <c r="A285" s="152">
        <f>'B) D RI'!A286</f>
        <v>5902</v>
      </c>
      <c r="B285" s="153" t="str">
        <f>'B) D RI'!B286</f>
        <v>Belmont-sur-Yverdon</v>
      </c>
      <c r="C285" s="317">
        <f>'B) D RI'!S286</f>
        <v>76</v>
      </c>
      <c r="D285" s="154">
        <f>'B) D RI'!AA286</f>
        <v>384</v>
      </c>
      <c r="E285" s="315">
        <f>'D) Ecrêtage'!C284</f>
        <v>10311.765900330549</v>
      </c>
      <c r="F285" s="319">
        <f>'E) Fact soc'!G290</f>
        <v>159475.29366415748</v>
      </c>
      <c r="G285" s="316">
        <f>'H) Péréquation directe'!I295</f>
        <v>2692.1219656761677</v>
      </c>
      <c r="H285" s="319">
        <f>+'I) Dépenses thématiques'!O284</f>
        <v>-7358.9680309968835</v>
      </c>
      <c r="I285" s="316">
        <f>'K) Plafonnement aide'!J284</f>
        <v>0</v>
      </c>
      <c r="J285" s="319">
        <f>'J) Plafonnement effort'!J284</f>
        <v>0</v>
      </c>
      <c r="K285" s="316">
        <f>'L) Plafonnement taux'!Q285</f>
        <v>0</v>
      </c>
      <c r="L285" s="314">
        <f t="shared" si="15"/>
        <v>154808.44759883676</v>
      </c>
      <c r="M285" s="235">
        <f>'M) Police'!O285</f>
        <v>32825.383649384414</v>
      </c>
      <c r="N285" s="235">
        <f t="shared" si="14"/>
        <v>187633.83124822116</v>
      </c>
      <c r="P285" s="322"/>
    </row>
    <row r="286" spans="1:16" s="155" customFormat="1" x14ac:dyDescent="0.25">
      <c r="A286" s="152">
        <f>'B) D RI'!A287</f>
        <v>5903</v>
      </c>
      <c r="B286" s="153" t="str">
        <f>'B) D RI'!B287</f>
        <v>Bioley-Magnoux</v>
      </c>
      <c r="C286" s="317">
        <f>'B) D RI'!S287</f>
        <v>74</v>
      </c>
      <c r="D286" s="154">
        <f>'B) D RI'!AA287</f>
        <v>225</v>
      </c>
      <c r="E286" s="315">
        <f>'D) Ecrêtage'!C285</f>
        <v>5438.478399120967</v>
      </c>
      <c r="F286" s="319">
        <f>'E) Fact soc'!G291</f>
        <v>99496.314814254729</v>
      </c>
      <c r="G286" s="316">
        <f>'H) Péréquation directe'!I296</f>
        <v>-18983.469436420739</v>
      </c>
      <c r="H286" s="319">
        <f>+'I) Dépenses thématiques'!O285</f>
        <v>-229483.79992171659</v>
      </c>
      <c r="I286" s="316">
        <f>'K) Plafonnement aide'!J285</f>
        <v>0</v>
      </c>
      <c r="J286" s="319">
        <f>'J) Plafonnement effort'!J285</f>
        <v>0</v>
      </c>
      <c r="K286" s="316">
        <f>'L) Plafonnement taux'!Q286</f>
        <v>0</v>
      </c>
      <c r="L286" s="314">
        <f t="shared" si="15"/>
        <v>-148970.9545438826</v>
      </c>
      <c r="M286" s="235">
        <f>'M) Police'!O286</f>
        <v>17094.721329344429</v>
      </c>
      <c r="N286" s="235">
        <f t="shared" si="14"/>
        <v>-131876.23321453817</v>
      </c>
      <c r="P286" s="322"/>
    </row>
    <row r="287" spans="1:16" s="155" customFormat="1" x14ac:dyDescent="0.25">
      <c r="A287" s="152">
        <f>'B) D RI'!A288</f>
        <v>5904</v>
      </c>
      <c r="B287" s="153" t="str">
        <f>'B) D RI'!B288</f>
        <v>Chamblon</v>
      </c>
      <c r="C287" s="317">
        <f>'B) D RI'!S288</f>
        <v>66</v>
      </c>
      <c r="D287" s="154">
        <f>'B) D RI'!AA288</f>
        <v>542</v>
      </c>
      <c r="E287" s="315">
        <f>'D) Ecrêtage'!C286</f>
        <v>19974.80164727481</v>
      </c>
      <c r="F287" s="319">
        <f>'E) Fact soc'!G292</f>
        <v>342190.08587411512</v>
      </c>
      <c r="G287" s="316">
        <f>'H) Péréquation directe'!I297</f>
        <v>262620.06382081675</v>
      </c>
      <c r="H287" s="319">
        <f>+'I) Dépenses thématiques'!O286</f>
        <v>0</v>
      </c>
      <c r="I287" s="316">
        <f>'K) Plafonnement aide'!J286</f>
        <v>0</v>
      </c>
      <c r="J287" s="319">
        <f>'J) Plafonnement effort'!J286</f>
        <v>0</v>
      </c>
      <c r="K287" s="316">
        <f>'L) Plafonnement taux'!Q287</f>
        <v>0</v>
      </c>
      <c r="L287" s="314">
        <f t="shared" si="15"/>
        <v>604810.14969493193</v>
      </c>
      <c r="M287" s="235">
        <f>'M) Police'!O287</f>
        <v>26474.251303129888</v>
      </c>
      <c r="N287" s="235">
        <f t="shared" si="14"/>
        <v>631284.40099806176</v>
      </c>
      <c r="P287" s="322"/>
    </row>
    <row r="288" spans="1:16" s="155" customFormat="1" x14ac:dyDescent="0.25">
      <c r="A288" s="152">
        <f>'B) D RI'!A289</f>
        <v>5905</v>
      </c>
      <c r="B288" s="153" t="str">
        <f>'B) D RI'!B289</f>
        <v>Champvent</v>
      </c>
      <c r="C288" s="317">
        <f>'B) D RI'!S289</f>
        <v>71</v>
      </c>
      <c r="D288" s="154">
        <f>'B) D RI'!AA289</f>
        <v>685</v>
      </c>
      <c r="E288" s="315">
        <f>'D) Ecrêtage'!C287</f>
        <v>22958.275896270283</v>
      </c>
      <c r="F288" s="319">
        <f>'E) Fact soc'!G293</f>
        <v>394207.14246628096</v>
      </c>
      <c r="G288" s="316">
        <f>'H) Péréquation directe'!I298</f>
        <v>224821.23745662961</v>
      </c>
      <c r="H288" s="319">
        <f>+'I) Dépenses thématiques'!O287</f>
        <v>-29641.294357072406</v>
      </c>
      <c r="I288" s="316">
        <f>'K) Plafonnement aide'!J287</f>
        <v>0</v>
      </c>
      <c r="J288" s="319">
        <f>'J) Plafonnement effort'!J287</f>
        <v>0</v>
      </c>
      <c r="K288" s="316">
        <f>'L) Plafonnement taux'!Q288</f>
        <v>0</v>
      </c>
      <c r="L288" s="314">
        <f t="shared" si="15"/>
        <v>589387.08556583815</v>
      </c>
      <c r="M288" s="235">
        <f>'M) Police'!O288</f>
        <v>73540.182680378377</v>
      </c>
      <c r="N288" s="235">
        <f t="shared" si="14"/>
        <v>662927.26824621647</v>
      </c>
      <c r="P288" s="322"/>
    </row>
    <row r="289" spans="1:16" s="155" customFormat="1" x14ac:dyDescent="0.25">
      <c r="A289" s="152">
        <f>'B) D RI'!A290</f>
        <v>5907</v>
      </c>
      <c r="B289" s="153" t="str">
        <f>'B) D RI'!B290</f>
        <v>Chavannes-le-Chêne</v>
      </c>
      <c r="C289" s="317">
        <f>'B) D RI'!S290</f>
        <v>78</v>
      </c>
      <c r="D289" s="154">
        <f>'B) D RI'!AA290</f>
        <v>308</v>
      </c>
      <c r="E289" s="315">
        <f>'D) Ecrêtage'!C288</f>
        <v>8069.3635983781451</v>
      </c>
      <c r="F289" s="319">
        <f>'E) Fact soc'!G294</f>
        <v>132601.91981574937</v>
      </c>
      <c r="G289" s="316">
        <f>'H) Péréquation directe'!I299</f>
        <v>-13583.144532195874</v>
      </c>
      <c r="H289" s="319">
        <f>+'I) Dépenses thématiques'!O288</f>
        <v>-60933.563252437161</v>
      </c>
      <c r="I289" s="316">
        <f>'K) Plafonnement aide'!J288</f>
        <v>0</v>
      </c>
      <c r="J289" s="319">
        <f>'J) Plafonnement effort'!J288</f>
        <v>0</v>
      </c>
      <c r="K289" s="316">
        <f>'L) Plafonnement taux'!Q289</f>
        <v>0</v>
      </c>
      <c r="L289" s="314">
        <f t="shared" si="15"/>
        <v>58085.212031116331</v>
      </c>
      <c r="M289" s="235">
        <f>'M) Police'!O289</f>
        <v>25711.035379407163</v>
      </c>
      <c r="N289" s="235">
        <f t="shared" si="14"/>
        <v>83796.247410523501</v>
      </c>
      <c r="P289" s="322"/>
    </row>
    <row r="290" spans="1:16" s="155" customFormat="1" x14ac:dyDescent="0.25">
      <c r="A290" s="152">
        <f>'B) D RI'!A291</f>
        <v>5908</v>
      </c>
      <c r="B290" s="153" t="str">
        <f>'B) D RI'!B291</f>
        <v>Chêne-Pâquier</v>
      </c>
      <c r="C290" s="317">
        <f>'B) D RI'!S291</f>
        <v>79</v>
      </c>
      <c r="D290" s="154">
        <f>'B) D RI'!AA291</f>
        <v>141</v>
      </c>
      <c r="E290" s="315">
        <f>'D) Ecrêtage'!C289</f>
        <v>3150.4766446398044</v>
      </c>
      <c r="F290" s="319">
        <f>'E) Fact soc'!G295</f>
        <v>88527.875121946796</v>
      </c>
      <c r="G290" s="316">
        <f>'H) Péréquation directe'!I300</f>
        <v>-32374.53483487435</v>
      </c>
      <c r="H290" s="319">
        <f>+'I) Dépenses thématiques'!O289</f>
        <v>-12598.090321862885</v>
      </c>
      <c r="I290" s="316">
        <f>'K) Plafonnement aide'!J289</f>
        <v>0</v>
      </c>
      <c r="J290" s="319">
        <f>'J) Plafonnement effort'!J289</f>
        <v>0</v>
      </c>
      <c r="K290" s="316">
        <f>'L) Plafonnement taux'!Q290</f>
        <v>-6950.5701205209762</v>
      </c>
      <c r="L290" s="314">
        <f t="shared" si="15"/>
        <v>36604.67984468858</v>
      </c>
      <c r="M290" s="235">
        <f>'M) Police'!O290</f>
        <v>10061.413122709786</v>
      </c>
      <c r="N290" s="235">
        <f t="shared" si="14"/>
        <v>46666.092967398363</v>
      </c>
      <c r="P290" s="322"/>
    </row>
    <row r="291" spans="1:16" s="155" customFormat="1" x14ac:dyDescent="0.25">
      <c r="A291" s="152">
        <f>'B) D RI'!A292</f>
        <v>5909</v>
      </c>
      <c r="B291" s="153" t="str">
        <f>'B) D RI'!B292</f>
        <v>Cheseaux-Noréaz</v>
      </c>
      <c r="C291" s="317">
        <f>'B) D RI'!S292</f>
        <v>70</v>
      </c>
      <c r="D291" s="154">
        <f>'B) D RI'!AA292</f>
        <v>721</v>
      </c>
      <c r="E291" s="315">
        <f>'D) Ecrêtage'!C290</f>
        <v>32363.863960310864</v>
      </c>
      <c r="F291" s="319">
        <f>'E) Fact soc'!G296</f>
        <v>588435.06923300552</v>
      </c>
      <c r="G291" s="316">
        <f>'H) Péréquation directe'!I301</f>
        <v>566386.12118010235</v>
      </c>
      <c r="H291" s="319">
        <f>+'I) Dépenses thématiques'!O290</f>
        <v>-75613.219930273277</v>
      </c>
      <c r="I291" s="316">
        <f>'K) Plafonnement aide'!J290</f>
        <v>0</v>
      </c>
      <c r="J291" s="319">
        <f>'J) Plafonnement effort'!J290</f>
        <v>0</v>
      </c>
      <c r="K291" s="316">
        <f>'L) Plafonnement taux'!Q291</f>
        <v>0</v>
      </c>
      <c r="L291" s="314">
        <f t="shared" si="15"/>
        <v>1079207.9704828346</v>
      </c>
      <c r="M291" s="235">
        <f>'M) Police'!O291</f>
        <v>42894.496914439893</v>
      </c>
      <c r="N291" s="235">
        <f t="shared" si="14"/>
        <v>1122102.4673972744</v>
      </c>
      <c r="P291" s="322"/>
    </row>
    <row r="292" spans="1:16" s="155" customFormat="1" x14ac:dyDescent="0.25">
      <c r="A292" s="152">
        <f>'B) D RI'!A293</f>
        <v>5910</v>
      </c>
      <c r="B292" s="153" t="str">
        <f>'B) D RI'!B293</f>
        <v>Cronay</v>
      </c>
      <c r="C292" s="317">
        <f>'B) D RI'!S293</f>
        <v>79</v>
      </c>
      <c r="D292" s="154">
        <f>'B) D RI'!AA293</f>
        <v>385</v>
      </c>
      <c r="E292" s="315">
        <f>'D) Ecrêtage'!C291</f>
        <v>9609.1535349412279</v>
      </c>
      <c r="F292" s="319">
        <f>'E) Fact soc'!G297</f>
        <v>161948.78203098095</v>
      </c>
      <c r="G292" s="316">
        <f>'H) Péréquation directe'!I302</f>
        <v>-42993.048494385788</v>
      </c>
      <c r="H292" s="319">
        <f>+'I) Dépenses thématiques'!O291</f>
        <v>-89300.371150035906</v>
      </c>
      <c r="I292" s="316">
        <f>'K) Plafonnement aide'!J291</f>
        <v>0</v>
      </c>
      <c r="J292" s="319">
        <f>'J) Plafonnement effort'!J291</f>
        <v>0</v>
      </c>
      <c r="K292" s="316">
        <f>'L) Plafonnement taux'!Q292</f>
        <v>0</v>
      </c>
      <c r="L292" s="314">
        <f t="shared" si="15"/>
        <v>29655.362386559253</v>
      </c>
      <c r="M292" s="235">
        <f>'M) Police'!O292</f>
        <v>30643.138255940794</v>
      </c>
      <c r="N292" s="235">
        <f t="shared" si="14"/>
        <v>60298.500642500047</v>
      </c>
      <c r="P292" s="322"/>
    </row>
    <row r="293" spans="1:16" s="155" customFormat="1" x14ac:dyDescent="0.25">
      <c r="A293" s="152">
        <f>'B) D RI'!A294</f>
        <v>5911</v>
      </c>
      <c r="B293" s="153" t="str">
        <f>'B) D RI'!B294</f>
        <v>Cuarny</v>
      </c>
      <c r="C293" s="317">
        <f>'B) D RI'!S294</f>
        <v>79</v>
      </c>
      <c r="D293" s="154">
        <f>'B) D RI'!AA294</f>
        <v>243</v>
      </c>
      <c r="E293" s="315">
        <f>'D) Ecrêtage'!C292</f>
        <v>6836.3467697278311</v>
      </c>
      <c r="F293" s="319">
        <f>'E) Fact soc'!G298</f>
        <v>134090.32363220234</v>
      </c>
      <c r="G293" s="316">
        <f>'H) Péréquation directe'!I303</f>
        <v>7651.4538963514788</v>
      </c>
      <c r="H293" s="319">
        <f>+'I) Dépenses thématiques'!O292</f>
        <v>-108220.26483830031</v>
      </c>
      <c r="I293" s="316">
        <f>'K) Plafonnement aide'!J292</f>
        <v>0</v>
      </c>
      <c r="J293" s="319">
        <f>'J) Plafonnement effort'!J292</f>
        <v>0</v>
      </c>
      <c r="K293" s="316">
        <f>'L) Plafonnement taux'!Q293</f>
        <v>0</v>
      </c>
      <c r="L293" s="314">
        <f t="shared" si="15"/>
        <v>33521.512690253512</v>
      </c>
      <c r="M293" s="235">
        <f>'M) Police'!O293</f>
        <v>21920.968753029119</v>
      </c>
      <c r="N293" s="235">
        <f t="shared" si="14"/>
        <v>55442.481443282632</v>
      </c>
      <c r="P293" s="322"/>
    </row>
    <row r="294" spans="1:16" s="155" customFormat="1" x14ac:dyDescent="0.25">
      <c r="A294" s="152">
        <f>'B) D RI'!A295</f>
        <v>5912</v>
      </c>
      <c r="B294" s="153" t="str">
        <f>'B) D RI'!B295</f>
        <v>Démoret</v>
      </c>
      <c r="C294" s="317">
        <f>'B) D RI'!S295</f>
        <v>81</v>
      </c>
      <c r="D294" s="154">
        <f>'B) D RI'!AA295</f>
        <v>141</v>
      </c>
      <c r="E294" s="315">
        <f>'D) Ecrêtage'!C293</f>
        <v>3133.4473385194956</v>
      </c>
      <c r="F294" s="319">
        <f>'E) Fact soc'!G299</f>
        <v>48266.377458524803</v>
      </c>
      <c r="G294" s="316">
        <f>'H) Péréquation directe'!I304</f>
        <v>-37197.765477817629</v>
      </c>
      <c r="H294" s="319">
        <f>+'I) Dépenses thématiques'!O293</f>
        <v>-56518.345265668082</v>
      </c>
      <c r="I294" s="316">
        <f>'K) Plafonnement aide'!J293</f>
        <v>0</v>
      </c>
      <c r="J294" s="319">
        <f>'J) Plafonnement effort'!J293</f>
        <v>0</v>
      </c>
      <c r="K294" s="316">
        <f>'L) Plafonnement taux'!Q294</f>
        <v>0</v>
      </c>
      <c r="L294" s="314">
        <f t="shared" si="15"/>
        <v>-45449.733284960908</v>
      </c>
      <c r="M294" s="235">
        <f>'M) Police'!O294</f>
        <v>9926.5008729435576</v>
      </c>
      <c r="N294" s="235">
        <f t="shared" si="14"/>
        <v>-35523.232412017351</v>
      </c>
      <c r="P294" s="322"/>
    </row>
    <row r="295" spans="1:16" s="155" customFormat="1" x14ac:dyDescent="0.25">
      <c r="A295" s="152">
        <f>'B) D RI'!A296</f>
        <v>5913</v>
      </c>
      <c r="B295" s="153" t="str">
        <f>'B) D RI'!B296</f>
        <v>Donneloye</v>
      </c>
      <c r="C295" s="317">
        <f>'B) D RI'!S296</f>
        <v>73</v>
      </c>
      <c r="D295" s="154">
        <f>'B) D RI'!AA296</f>
        <v>809</v>
      </c>
      <c r="E295" s="315">
        <f>'D) Ecrêtage'!C294</f>
        <v>20110.628715820858</v>
      </c>
      <c r="F295" s="319">
        <f>'E) Fact soc'!G300</f>
        <v>390130.09705546405</v>
      </c>
      <c r="G295" s="316">
        <f>'H) Péréquation directe'!I305</f>
        <v>-35418.514863042219</v>
      </c>
      <c r="H295" s="319">
        <f>+'I) Dépenses thématiques'!O294</f>
        <v>-43054.356282173838</v>
      </c>
      <c r="I295" s="316">
        <f>'K) Plafonnement aide'!J294</f>
        <v>0</v>
      </c>
      <c r="J295" s="319">
        <f>'J) Plafonnement effort'!J294</f>
        <v>0</v>
      </c>
      <c r="K295" s="316">
        <f>'L) Plafonnement taux'!Q295</f>
        <v>0</v>
      </c>
      <c r="L295" s="314">
        <f t="shared" si="15"/>
        <v>311657.225910248</v>
      </c>
      <c r="M295" s="235">
        <f>'M) Police'!O295</f>
        <v>63828.297299433849</v>
      </c>
      <c r="N295" s="235">
        <f t="shared" si="14"/>
        <v>375485.52320968185</v>
      </c>
      <c r="P295" s="322"/>
    </row>
    <row r="296" spans="1:16" s="155" customFormat="1" x14ac:dyDescent="0.25">
      <c r="A296" s="152">
        <f>'B) D RI'!A297</f>
        <v>5914</v>
      </c>
      <c r="B296" s="153" t="str">
        <f>'B) D RI'!B297</f>
        <v>Ependes</v>
      </c>
      <c r="C296" s="317">
        <f>'B) D RI'!S297</f>
        <v>75</v>
      </c>
      <c r="D296" s="154">
        <f>'B) D RI'!AA297</f>
        <v>360</v>
      </c>
      <c r="E296" s="315">
        <f>'D) Ecrêtage'!C295</f>
        <v>9482.8279280120751</v>
      </c>
      <c r="F296" s="319">
        <f>'E) Fact soc'!G301</f>
        <v>164968.63258815807</v>
      </c>
      <c r="G296" s="316">
        <f>'H) Péréquation directe'!I306</f>
        <v>-1458.2672156677872</v>
      </c>
      <c r="H296" s="319">
        <f>+'I) Dépenses thématiques'!O295</f>
        <v>-45669.152878864326</v>
      </c>
      <c r="I296" s="316">
        <f>'K) Plafonnement aide'!J295</f>
        <v>0</v>
      </c>
      <c r="J296" s="319">
        <f>'J) Plafonnement effort'!J295</f>
        <v>0</v>
      </c>
      <c r="K296" s="316">
        <f>'L) Plafonnement taux'!Q296</f>
        <v>0</v>
      </c>
      <c r="L296" s="314">
        <f t="shared" si="15"/>
        <v>117841.21249362596</v>
      </c>
      <c r="M296" s="235">
        <f>'M) Police'!O296</f>
        <v>12568.373597080568</v>
      </c>
      <c r="N296" s="235">
        <f t="shared" si="14"/>
        <v>130409.58609070654</v>
      </c>
      <c r="P296" s="322"/>
    </row>
    <row r="297" spans="1:16" s="155" customFormat="1" x14ac:dyDescent="0.25">
      <c r="A297" s="152">
        <f>'B) D RI'!A298</f>
        <v>5919</v>
      </c>
      <c r="B297" s="153" t="str">
        <f>'B) D RI'!B298</f>
        <v>Mathod</v>
      </c>
      <c r="C297" s="317">
        <f>'B) D RI'!S298</f>
        <v>72</v>
      </c>
      <c r="D297" s="154">
        <f>'B) D RI'!AA298</f>
        <v>611</v>
      </c>
      <c r="E297" s="315">
        <f>'D) Ecrêtage'!C296</f>
        <v>17110.918111251427</v>
      </c>
      <c r="F297" s="319">
        <f>'E) Fact soc'!G302</f>
        <v>370939.34709494532</v>
      </c>
      <c r="G297" s="316">
        <f>'H) Péréquation directe'!I307</f>
        <v>58898.958925591141</v>
      </c>
      <c r="H297" s="319">
        <f>+'I) Dépenses thématiques'!O296</f>
        <v>-63012.413551063051</v>
      </c>
      <c r="I297" s="316">
        <f>'K) Plafonnement aide'!J296</f>
        <v>0</v>
      </c>
      <c r="J297" s="319">
        <f>'J) Plafonnement effort'!J296</f>
        <v>0</v>
      </c>
      <c r="K297" s="316">
        <f>'L) Plafonnement taux'!Q297</f>
        <v>0</v>
      </c>
      <c r="L297" s="314">
        <f t="shared" si="15"/>
        <v>366825.89246947342</v>
      </c>
      <c r="M297" s="235">
        <f>'M) Police'!O297</f>
        <v>22678.510360394499</v>
      </c>
      <c r="N297" s="235">
        <f t="shared" si="14"/>
        <v>389504.4028298679</v>
      </c>
      <c r="P297" s="322"/>
    </row>
    <row r="298" spans="1:16" s="155" customFormat="1" x14ac:dyDescent="0.25">
      <c r="A298" s="152">
        <f>'B) D RI'!A299</f>
        <v>5921</v>
      </c>
      <c r="B298" s="153" t="str">
        <f>'B) D RI'!B299</f>
        <v>Molondin</v>
      </c>
      <c r="C298" s="317">
        <f>'B) D RI'!S299</f>
        <v>81</v>
      </c>
      <c r="D298" s="154">
        <f>'B) D RI'!AA299</f>
        <v>235</v>
      </c>
      <c r="E298" s="315">
        <f>'D) Ecrêtage'!C297</f>
        <v>5222.6425850785827</v>
      </c>
      <c r="F298" s="319">
        <f>'E) Fact soc'!G303</f>
        <v>91344.410715616978</v>
      </c>
      <c r="G298" s="316">
        <f>'H) Péréquation directe'!I308</f>
        <v>-61985.59385360076</v>
      </c>
      <c r="H298" s="319">
        <f>+'I) Dépenses thématiques'!O297</f>
        <v>-42515.870020823808</v>
      </c>
      <c r="I298" s="316">
        <f>'K) Plafonnement aide'!J297</f>
        <v>0</v>
      </c>
      <c r="J298" s="319">
        <f>'J) Plafonnement effort'!J297</f>
        <v>0</v>
      </c>
      <c r="K298" s="316">
        <f>'L) Plafonnement taux'!Q298</f>
        <v>0</v>
      </c>
      <c r="L298" s="314">
        <f t="shared" si="15"/>
        <v>-13157.05315880759</v>
      </c>
      <c r="M298" s="235">
        <f>'M) Police'!O298</f>
        <v>16582.492573640178</v>
      </c>
      <c r="N298" s="235">
        <f t="shared" si="14"/>
        <v>3425.4394148325882</v>
      </c>
      <c r="P298" s="322"/>
    </row>
    <row r="299" spans="1:16" s="155" customFormat="1" x14ac:dyDescent="0.25">
      <c r="A299" s="152">
        <f>'B) D RI'!A300</f>
        <v>5922</v>
      </c>
      <c r="B299" s="153" t="str">
        <f>'B) D RI'!B300</f>
        <v>Montagny-près-Yverdon</v>
      </c>
      <c r="C299" s="317">
        <f>'B) D RI'!S300</f>
        <v>65</v>
      </c>
      <c r="D299" s="154">
        <f>'B) D RI'!AA300</f>
        <v>738</v>
      </c>
      <c r="E299" s="315">
        <f>'D) Ecrêtage'!C298</f>
        <v>35584.669450199006</v>
      </c>
      <c r="F299" s="319">
        <f>'E) Fact soc'!G304</f>
        <v>822751.57118385436</v>
      </c>
      <c r="G299" s="316">
        <f>'H) Péréquation directe'!I309</f>
        <v>629589.28431120899</v>
      </c>
      <c r="H299" s="319">
        <f>+'I) Dépenses thématiques'!O298</f>
        <v>-188765.62032540332</v>
      </c>
      <c r="I299" s="316">
        <f>'K) Plafonnement aide'!J298</f>
        <v>0</v>
      </c>
      <c r="J299" s="319">
        <f>'J) Plafonnement effort'!J298</f>
        <v>0</v>
      </c>
      <c r="K299" s="316">
        <f>'L) Plafonnement taux'!Q299</f>
        <v>0</v>
      </c>
      <c r="L299" s="314">
        <f t="shared" si="15"/>
        <v>1263575.2351696601</v>
      </c>
      <c r="M299" s="235">
        <f>'M) Police'!O299</f>
        <v>107492.57292383711</v>
      </c>
      <c r="N299" s="235">
        <f t="shared" si="14"/>
        <v>1371067.8080934971</v>
      </c>
      <c r="P299" s="322"/>
    </row>
    <row r="300" spans="1:16" s="155" customFormat="1" x14ac:dyDescent="0.25">
      <c r="A300" s="152">
        <f>'B) D RI'!A301</f>
        <v>5923</v>
      </c>
      <c r="B300" s="153" t="str">
        <f>'B) D RI'!B301</f>
        <v>Oppens</v>
      </c>
      <c r="C300" s="317">
        <f>'B) D RI'!S301</f>
        <v>81</v>
      </c>
      <c r="D300" s="154">
        <f>'B) D RI'!AA301</f>
        <v>196</v>
      </c>
      <c r="E300" s="315">
        <f>'D) Ecrêtage'!C299</f>
        <v>5170.8107520197709</v>
      </c>
      <c r="F300" s="319">
        <f>'E) Fact soc'!G305</f>
        <v>96323.688759003082</v>
      </c>
      <c r="G300" s="316">
        <f>'H) Péréquation directe'!I310</f>
        <v>-13910.018416776322</v>
      </c>
      <c r="H300" s="319">
        <f>+'I) Dépenses thématiques'!O299</f>
        <v>-43098.392102738551</v>
      </c>
      <c r="I300" s="316">
        <f>'K) Plafonnement aide'!J299</f>
        <v>0</v>
      </c>
      <c r="J300" s="319">
        <f>'J) Plafonnement effort'!J299</f>
        <v>0</v>
      </c>
      <c r="K300" s="316">
        <f>'L) Plafonnement taux'!Q300</f>
        <v>0</v>
      </c>
      <c r="L300" s="314">
        <f t="shared" si="15"/>
        <v>39315.278239488209</v>
      </c>
      <c r="M300" s="235">
        <f>'M) Police'!O300</f>
        <v>16598.380054412217</v>
      </c>
      <c r="N300" s="235">
        <f t="shared" si="14"/>
        <v>55913.658293900429</v>
      </c>
      <c r="P300" s="322"/>
    </row>
    <row r="301" spans="1:16" s="155" customFormat="1" x14ac:dyDescent="0.25">
      <c r="A301" s="152">
        <f>'B) D RI'!A302</f>
        <v>5924</v>
      </c>
      <c r="B301" s="153" t="str">
        <f>'B) D RI'!B302</f>
        <v>Orges</v>
      </c>
      <c r="C301" s="317">
        <f>'B) D RI'!S302</f>
        <v>74</v>
      </c>
      <c r="D301" s="154">
        <f>'B) D RI'!AA302</f>
        <v>332</v>
      </c>
      <c r="E301" s="315">
        <f>'D) Ecrêtage'!C300</f>
        <v>10275.510319946678</v>
      </c>
      <c r="F301" s="319">
        <f>'E) Fact soc'!G306</f>
        <v>180141.08211318852</v>
      </c>
      <c r="G301" s="316">
        <f>'H) Péréquation directe'!I311</f>
        <v>66648.819753432675</v>
      </c>
      <c r="H301" s="319">
        <f>+'I) Dépenses thématiques'!O300</f>
        <v>-419.42112404235701</v>
      </c>
      <c r="I301" s="316">
        <f>'K) Plafonnement aide'!J300</f>
        <v>0</v>
      </c>
      <c r="J301" s="319">
        <f>'J) Plafonnement effort'!J300</f>
        <v>0</v>
      </c>
      <c r="K301" s="316">
        <f>'L) Plafonnement taux'!Q301</f>
        <v>0</v>
      </c>
      <c r="L301" s="314">
        <f t="shared" si="15"/>
        <v>246370.48074257883</v>
      </c>
      <c r="M301" s="235">
        <f>'M) Police'!O301</f>
        <v>32826.931287778396</v>
      </c>
      <c r="N301" s="235">
        <f t="shared" si="14"/>
        <v>279197.41203035723</v>
      </c>
      <c r="P301" s="322"/>
    </row>
    <row r="302" spans="1:16" s="155" customFormat="1" x14ac:dyDescent="0.25">
      <c r="A302" s="152">
        <f>'B) D RI'!A303</f>
        <v>5925</v>
      </c>
      <c r="B302" s="153" t="str">
        <f>'B) D RI'!B303</f>
        <v>Orzens</v>
      </c>
      <c r="C302" s="317">
        <f>'B) D RI'!S303</f>
        <v>79</v>
      </c>
      <c r="D302" s="154">
        <f>'B) D RI'!AA303</f>
        <v>196</v>
      </c>
      <c r="E302" s="315">
        <f>'D) Ecrêtage'!C301</f>
        <v>5564.160782501971</v>
      </c>
      <c r="F302" s="319">
        <f>'E) Fact soc'!G307</f>
        <v>110894.60129718194</v>
      </c>
      <c r="G302" s="316">
        <f>'H) Péréquation directe'!I312</f>
        <v>8429.6852933313348</v>
      </c>
      <c r="H302" s="319">
        <f>+'I) Dépenses thématiques'!O301</f>
        <v>-16544.227304006363</v>
      </c>
      <c r="I302" s="316">
        <f>'K) Plafonnement aide'!J301</f>
        <v>0</v>
      </c>
      <c r="J302" s="319">
        <f>'J) Plafonnement effort'!J301</f>
        <v>0</v>
      </c>
      <c r="K302" s="316">
        <f>'L) Plafonnement taux'!Q302</f>
        <v>0</v>
      </c>
      <c r="L302" s="314">
        <f t="shared" si="15"/>
        <v>102780.05928650692</v>
      </c>
      <c r="M302" s="235">
        <f>'M) Police'!O302</f>
        <v>17697.114446322008</v>
      </c>
      <c r="N302" s="235">
        <f t="shared" si="14"/>
        <v>120477.17373282893</v>
      </c>
      <c r="P302" s="322"/>
    </row>
    <row r="303" spans="1:16" s="155" customFormat="1" x14ac:dyDescent="0.25">
      <c r="A303" s="152">
        <f>'B) D RI'!A304</f>
        <v>5926</v>
      </c>
      <c r="B303" s="153" t="str">
        <f>'B) D RI'!B304</f>
        <v>Pomy</v>
      </c>
      <c r="C303" s="317">
        <f>'B) D RI'!S304</f>
        <v>71</v>
      </c>
      <c r="D303" s="154">
        <f>'B) D RI'!AA304</f>
        <v>780</v>
      </c>
      <c r="E303" s="315">
        <f>'D) Ecrêtage'!C302</f>
        <v>26594.76814227111</v>
      </c>
      <c r="F303" s="319">
        <f>'E) Fact soc'!G308</f>
        <v>437972.14875161223</v>
      </c>
      <c r="G303" s="316">
        <f>'H) Péréquation directe'!I313</f>
        <v>274248.99868024042</v>
      </c>
      <c r="H303" s="319">
        <f>+'I) Dépenses thématiques'!O302</f>
        <v>-12351.888806715191</v>
      </c>
      <c r="I303" s="316">
        <f>'K) Plafonnement aide'!J302</f>
        <v>0</v>
      </c>
      <c r="J303" s="319">
        <f>'J) Plafonnement effort'!J302</f>
        <v>0</v>
      </c>
      <c r="K303" s="316">
        <f>'L) Plafonnement taux'!Q303</f>
        <v>0</v>
      </c>
      <c r="L303" s="314">
        <f t="shared" si="15"/>
        <v>699869.2586251375</v>
      </c>
      <c r="M303" s="235">
        <f>'M) Police'!O303</f>
        <v>35248.238634851041</v>
      </c>
      <c r="N303" s="235">
        <f t="shared" si="14"/>
        <v>735117.49725998857</v>
      </c>
      <c r="P303" s="322"/>
    </row>
    <row r="304" spans="1:16" s="155" customFormat="1" x14ac:dyDescent="0.25">
      <c r="A304" s="152">
        <f>'B) D RI'!A305</f>
        <v>5928</v>
      </c>
      <c r="B304" s="153" t="str">
        <f>'B) D RI'!B305</f>
        <v>Rovray</v>
      </c>
      <c r="C304" s="317">
        <f>'B) D RI'!S305</f>
        <v>73</v>
      </c>
      <c r="D304" s="154">
        <f>'B) D RI'!AA305</f>
        <v>180</v>
      </c>
      <c r="E304" s="315">
        <f>'D) Ecrêtage'!C303</f>
        <v>4332.6487869809371</v>
      </c>
      <c r="F304" s="319">
        <f>'E) Fact soc'!G309</f>
        <v>80977.979965083839</v>
      </c>
      <c r="G304" s="316">
        <f>'H) Péréquation directe'!I314</f>
        <v>-13765.673386372277</v>
      </c>
      <c r="H304" s="319">
        <f>+'I) Dépenses thématiques'!O303</f>
        <v>-9866.7921508271684</v>
      </c>
      <c r="I304" s="316">
        <f>'K) Plafonnement aide'!J303</f>
        <v>0</v>
      </c>
      <c r="J304" s="319">
        <f>'J) Plafonnement effort'!J303</f>
        <v>0</v>
      </c>
      <c r="K304" s="316">
        <f>'L) Plafonnement taux'!Q304</f>
        <v>0</v>
      </c>
      <c r="L304" s="314">
        <f t="shared" si="15"/>
        <v>57345.514427884395</v>
      </c>
      <c r="M304" s="235">
        <f>'M) Police'!O304</f>
        <v>13834.744322648716</v>
      </c>
      <c r="N304" s="235">
        <f t="shared" si="14"/>
        <v>71180.258750533103</v>
      </c>
      <c r="P304" s="322"/>
    </row>
    <row r="305" spans="1:16" s="155" customFormat="1" x14ac:dyDescent="0.25">
      <c r="A305" s="152">
        <f>'B) D RI'!A306</f>
        <v>5929</v>
      </c>
      <c r="B305" s="153" t="str">
        <f>'B) D RI'!B306</f>
        <v>Suchy</v>
      </c>
      <c r="C305" s="317">
        <f>'B) D RI'!S306</f>
        <v>70</v>
      </c>
      <c r="D305" s="154">
        <f>'B) D RI'!AA306</f>
        <v>599</v>
      </c>
      <c r="E305" s="315">
        <f>'D) Ecrêtage'!C304</f>
        <v>17123.573212033476</v>
      </c>
      <c r="F305" s="319">
        <f>'E) Fact soc'!G310</f>
        <v>312578.56123780238</v>
      </c>
      <c r="G305" s="316">
        <f>'H) Péréquation directe'!I315</f>
        <v>82987.748591008421</v>
      </c>
      <c r="H305" s="319">
        <f>+'I) Dépenses thématiques'!O304</f>
        <v>-16954.226098992069</v>
      </c>
      <c r="I305" s="316">
        <f>'K) Plafonnement aide'!J304</f>
        <v>0</v>
      </c>
      <c r="J305" s="319">
        <f>'J) Plafonnement effort'!J304</f>
        <v>0</v>
      </c>
      <c r="K305" s="316">
        <f>'L) Plafonnement taux'!Q305</f>
        <v>0</v>
      </c>
      <c r="L305" s="314">
        <f t="shared" si="15"/>
        <v>378612.08372981875</v>
      </c>
      <c r="M305" s="235">
        <f>'M) Police'!O305</f>
        <v>22695.283208720433</v>
      </c>
      <c r="N305" s="235">
        <f t="shared" si="14"/>
        <v>401307.3669385392</v>
      </c>
      <c r="P305" s="322"/>
    </row>
    <row r="306" spans="1:16" s="155" customFormat="1" x14ac:dyDescent="0.25">
      <c r="A306" s="152">
        <f>'B) D RI'!A307</f>
        <v>5930</v>
      </c>
      <c r="B306" s="153" t="str">
        <f>'B) D RI'!B307</f>
        <v>Suscévaz</v>
      </c>
      <c r="C306" s="317">
        <f>'B) D RI'!S307</f>
        <v>72</v>
      </c>
      <c r="D306" s="154">
        <f>'B) D RI'!AA307</f>
        <v>213</v>
      </c>
      <c r="E306" s="315">
        <f>'D) Ecrêtage'!C305</f>
        <v>5845.0713540916349</v>
      </c>
      <c r="F306" s="319">
        <f>'E) Fact soc'!G311</f>
        <v>120685.61109804217</v>
      </c>
      <c r="G306" s="316">
        <f>'H) Péréquation directe'!I316</f>
        <v>15627.355289139741</v>
      </c>
      <c r="H306" s="319">
        <f>+'I) Dépenses thématiques'!O305</f>
        <v>-28719.100882759689</v>
      </c>
      <c r="I306" s="316">
        <f>'K) Plafonnement aide'!J305</f>
        <v>0</v>
      </c>
      <c r="J306" s="319">
        <f>'J) Plafonnement effort'!J305</f>
        <v>0</v>
      </c>
      <c r="K306" s="316">
        <f>'L) Plafonnement taux'!Q306</f>
        <v>0</v>
      </c>
      <c r="L306" s="314">
        <f t="shared" si="15"/>
        <v>107593.8655044222</v>
      </c>
      <c r="M306" s="235">
        <f>'M) Police'!O306</f>
        <v>7746.9549207793789</v>
      </c>
      <c r="N306" s="235">
        <f t="shared" si="14"/>
        <v>115340.82042520157</v>
      </c>
      <c r="P306" s="322"/>
    </row>
    <row r="307" spans="1:16" s="155" customFormat="1" x14ac:dyDescent="0.25">
      <c r="A307" s="152">
        <f>'B) D RI'!A308</f>
        <v>5931</v>
      </c>
      <c r="B307" s="153" t="str">
        <f>'B) D RI'!B308</f>
        <v>Treycovagnes</v>
      </c>
      <c r="C307" s="317">
        <f>'B) D RI'!S308</f>
        <v>75</v>
      </c>
      <c r="D307" s="154">
        <f>'B) D RI'!AA308</f>
        <v>480</v>
      </c>
      <c r="E307" s="315">
        <f>'D) Ecrêtage'!C306</f>
        <v>12973.113986974873</v>
      </c>
      <c r="F307" s="319">
        <f>'E) Fact soc'!G312</f>
        <v>234354.54187592285</v>
      </c>
      <c r="G307" s="316">
        <f>'H) Péréquation directe'!I317</f>
        <v>12102.102071515721</v>
      </c>
      <c r="H307" s="319">
        <f>+'I) Dépenses thématiques'!O306</f>
        <v>-8082.5580496922166</v>
      </c>
      <c r="I307" s="316">
        <f>'K) Plafonnement aide'!J306</f>
        <v>0</v>
      </c>
      <c r="J307" s="319">
        <f>'J) Plafonnement effort'!J306</f>
        <v>0</v>
      </c>
      <c r="K307" s="316">
        <f>'L) Plafonnement taux'!Q307</f>
        <v>0</v>
      </c>
      <c r="L307" s="314">
        <f t="shared" si="15"/>
        <v>238374.08589774635</v>
      </c>
      <c r="M307" s="235">
        <f>'M) Police'!O307</f>
        <v>17194.337442754029</v>
      </c>
      <c r="N307" s="235">
        <f t="shared" si="14"/>
        <v>255568.42334050039</v>
      </c>
      <c r="P307" s="322"/>
    </row>
    <row r="308" spans="1:16" s="155" customFormat="1" x14ac:dyDescent="0.25">
      <c r="A308" s="152">
        <f>'B) D RI'!A309</f>
        <v>5932</v>
      </c>
      <c r="B308" s="153" t="str">
        <f>'B) D RI'!B309</f>
        <v>Ursins</v>
      </c>
      <c r="C308" s="317">
        <f>'B) D RI'!S309</f>
        <v>77</v>
      </c>
      <c r="D308" s="154">
        <f>'B) D RI'!AA309</f>
        <v>230</v>
      </c>
      <c r="E308" s="315">
        <f>'D) Ecrêtage'!C307</f>
        <v>6686.217062317166</v>
      </c>
      <c r="F308" s="319">
        <f>'E) Fact soc'!G313</f>
        <v>126635.73028616305</v>
      </c>
      <c r="G308" s="316">
        <f>'H) Péréquation directe'!I318</f>
        <v>21461.184673452226</v>
      </c>
      <c r="H308" s="319">
        <f>+'I) Dépenses thématiques'!O307</f>
        <v>-10026.540304708768</v>
      </c>
      <c r="I308" s="316">
        <f>'K) Plafonnement aide'!J307</f>
        <v>0</v>
      </c>
      <c r="J308" s="319">
        <f>'J) Plafonnement effort'!J307</f>
        <v>0</v>
      </c>
      <c r="K308" s="316">
        <f>'L) Plafonnement taux'!Q308</f>
        <v>0</v>
      </c>
      <c r="L308" s="314">
        <f t="shared" si="15"/>
        <v>138070.37465490651</v>
      </c>
      <c r="M308" s="235">
        <f>'M) Police'!O308</f>
        <v>21416.509314261653</v>
      </c>
      <c r="N308" s="235">
        <f t="shared" si="14"/>
        <v>159486.88396916818</v>
      </c>
      <c r="P308" s="322"/>
    </row>
    <row r="309" spans="1:16" s="155" customFormat="1" x14ac:dyDescent="0.25">
      <c r="A309" s="152">
        <f>'B) D RI'!A310</f>
        <v>5933</v>
      </c>
      <c r="B309" s="153" t="str">
        <f>'B) D RI'!B310</f>
        <v>Valeyres-sous-Montagny</v>
      </c>
      <c r="C309" s="317">
        <f>'B) D RI'!S310</f>
        <v>72</v>
      </c>
      <c r="D309" s="154">
        <f>'B) D RI'!AA310</f>
        <v>708</v>
      </c>
      <c r="E309" s="315">
        <f>'D) Ecrêtage'!C308</f>
        <v>22631.763146204292</v>
      </c>
      <c r="F309" s="319">
        <f>'E) Fact soc'!G314</f>
        <v>395467.52983210795</v>
      </c>
      <c r="G309" s="316">
        <f>'H) Péréquation directe'!I319</f>
        <v>182938.31665762479</v>
      </c>
      <c r="H309" s="319">
        <f>+'I) Dépenses thématiques'!O308</f>
        <v>-146469.68048731465</v>
      </c>
      <c r="I309" s="316">
        <f>'K) Plafonnement aide'!J308</f>
        <v>0</v>
      </c>
      <c r="J309" s="319">
        <f>'J) Plafonnement effort'!J308</f>
        <v>0</v>
      </c>
      <c r="K309" s="316">
        <f>'L) Plafonnement taux'!Q309</f>
        <v>0</v>
      </c>
      <c r="L309" s="314">
        <f t="shared" si="15"/>
        <v>431936.16600241809</v>
      </c>
      <c r="M309" s="235">
        <f>'M) Police'!O309</f>
        <v>71983.970482080185</v>
      </c>
      <c r="N309" s="235">
        <f t="shared" si="14"/>
        <v>503920.13648449827</v>
      </c>
      <c r="P309" s="322"/>
    </row>
    <row r="310" spans="1:16" s="155" customFormat="1" x14ac:dyDescent="0.25">
      <c r="A310" s="152">
        <f>'B) D RI'!A311</f>
        <v>5934</v>
      </c>
      <c r="B310" s="153" t="str">
        <f>'B) D RI'!B311</f>
        <v>Valeyres-sous-Ursins</v>
      </c>
      <c r="C310" s="317">
        <f>'B) D RI'!S311</f>
        <v>79</v>
      </c>
      <c r="D310" s="154">
        <f>'B) D RI'!AA311</f>
        <v>232</v>
      </c>
      <c r="E310" s="315">
        <f>'D) Ecrêtage'!C309</f>
        <v>7641.8509852223033</v>
      </c>
      <c r="F310" s="319">
        <f>'E) Fact soc'!G315</f>
        <v>119117.5354314978</v>
      </c>
      <c r="G310" s="316">
        <f>'H) Péréquation directe'!I320</f>
        <v>57589.455544400829</v>
      </c>
      <c r="H310" s="319">
        <f>+'I) Dépenses thématiques'!O309</f>
        <v>-6747.5574811836468</v>
      </c>
      <c r="I310" s="316">
        <f>'K) Plafonnement aide'!J309</f>
        <v>0</v>
      </c>
      <c r="J310" s="319">
        <f>'J) Plafonnement effort'!J309</f>
        <v>0</v>
      </c>
      <c r="K310" s="316">
        <f>'L) Plafonnement taux'!Q310</f>
        <v>0</v>
      </c>
      <c r="L310" s="314">
        <f t="shared" si="15"/>
        <v>169959.43349471499</v>
      </c>
      <c r="M310" s="235">
        <f>'M) Police'!O310</f>
        <v>24675.892248911092</v>
      </c>
      <c r="N310" s="235">
        <f t="shared" si="14"/>
        <v>194635.32574362608</v>
      </c>
      <c r="P310" s="322"/>
    </row>
    <row r="311" spans="1:16" s="155" customFormat="1" x14ac:dyDescent="0.25">
      <c r="A311" s="152">
        <f>'B) D RI'!A312</f>
        <v>5935</v>
      </c>
      <c r="B311" s="153" t="str">
        <f>'B) D RI'!B312</f>
        <v>Villars-Epeney</v>
      </c>
      <c r="C311" s="317">
        <f>'B) D RI'!S312</f>
        <v>60</v>
      </c>
      <c r="D311" s="154">
        <f>'B) D RI'!AA312</f>
        <v>100</v>
      </c>
      <c r="E311" s="315">
        <f>'D) Ecrêtage'!C310</f>
        <v>5591.3819786059366</v>
      </c>
      <c r="F311" s="319">
        <f>'E) Fact soc'!G316</f>
        <v>107445.69153390372</v>
      </c>
      <c r="G311" s="316">
        <f>'H) Péréquation directe'!I321</f>
        <v>100919.84632526938</v>
      </c>
      <c r="H311" s="319">
        <f>+'I) Dépenses thématiques'!O310</f>
        <v>-6817.9347846800674</v>
      </c>
      <c r="I311" s="316">
        <f>'K) Plafonnement aide'!J310</f>
        <v>0</v>
      </c>
      <c r="J311" s="319">
        <f>'J) Plafonnement effort'!J310</f>
        <v>0</v>
      </c>
      <c r="K311" s="316">
        <f>'L) Plafonnement taux'!Q311</f>
        <v>0</v>
      </c>
      <c r="L311" s="314">
        <f t="shared" si="15"/>
        <v>201547.603074493</v>
      </c>
      <c r="M311" s="235">
        <f>'M) Police'!O311</f>
        <v>15695.135985239096</v>
      </c>
      <c r="N311" s="235">
        <f t="shared" si="14"/>
        <v>217242.73905973209</v>
      </c>
      <c r="P311" s="322"/>
    </row>
    <row r="312" spans="1:16" s="155" customFormat="1" x14ac:dyDescent="0.25">
      <c r="A312" s="152">
        <f>'B) D RI'!A313</f>
        <v>5937</v>
      </c>
      <c r="B312" s="153" t="str">
        <f>'B) D RI'!B313</f>
        <v>Vugelles-La Mothe</v>
      </c>
      <c r="C312" s="317">
        <f>'B) D RI'!S313</f>
        <v>70</v>
      </c>
      <c r="D312" s="154">
        <f>'B) D RI'!AA313</f>
        <v>132</v>
      </c>
      <c r="E312" s="315">
        <f>'D) Ecrêtage'!C311</f>
        <v>2402.7405651963004</v>
      </c>
      <c r="F312" s="319">
        <f>'E) Fact soc'!G317</f>
        <v>46287.360731257293</v>
      </c>
      <c r="G312" s="316">
        <f>'H) Péréquation directe'!I322</f>
        <v>-36222.190834389308</v>
      </c>
      <c r="H312" s="319">
        <f>+'I) Dépenses thématiques'!O311</f>
        <v>-35910.036827380332</v>
      </c>
      <c r="I312" s="316">
        <f>'K) Plafonnement aide'!J311</f>
        <v>0</v>
      </c>
      <c r="J312" s="319">
        <f>'J) Plafonnement effort'!J311</f>
        <v>0</v>
      </c>
      <c r="K312" s="316">
        <f>'L) Plafonnement taux'!Q312</f>
        <v>0</v>
      </c>
      <c r="L312" s="314">
        <f t="shared" si="15"/>
        <v>-25844.866930512348</v>
      </c>
      <c r="M312" s="235">
        <f>'M) Police'!O312</f>
        <v>7552.2190333510389</v>
      </c>
      <c r="N312" s="235">
        <f t="shared" si="14"/>
        <v>-18292.647897161311</v>
      </c>
      <c r="P312" s="322"/>
    </row>
    <row r="313" spans="1:16" s="155" customFormat="1" x14ac:dyDescent="0.25">
      <c r="A313" s="152">
        <f>'B) D RI'!A314</f>
        <v>5938</v>
      </c>
      <c r="B313" s="153" t="str">
        <f>'B) D RI'!B314</f>
        <v>Yverdon-les-Bains</v>
      </c>
      <c r="C313" s="317">
        <f>'B) D RI'!S314</f>
        <v>76.5</v>
      </c>
      <c r="D313" s="154">
        <f>'B) D RI'!AA314</f>
        <v>30211</v>
      </c>
      <c r="E313" s="315">
        <f>'D) Ecrêtage'!C312</f>
        <v>748845.35601358349</v>
      </c>
      <c r="F313" s="319">
        <f>'E) Fact soc'!G318</f>
        <v>15122275.306108832</v>
      </c>
      <c r="G313" s="316">
        <f>'H) Péréquation directe'!I323</f>
        <v>-24619828.969910733</v>
      </c>
      <c r="H313" s="319">
        <f>+'I) Dépenses thématiques'!O312</f>
        <v>-8541423.2660828792</v>
      </c>
      <c r="I313" s="316">
        <f>'K) Plafonnement aide'!J312</f>
        <v>3506790.8156932327</v>
      </c>
      <c r="J313" s="319">
        <f>'J) Plafonnement effort'!J312</f>
        <v>0</v>
      </c>
      <c r="K313" s="316">
        <f>'L) Plafonnement taux'!Q313</f>
        <v>0</v>
      </c>
      <c r="L313" s="314">
        <f t="shared" si="15"/>
        <v>-14532186.114191547</v>
      </c>
      <c r="M313" s="235">
        <f>'M) Police'!O313</f>
        <v>992506.48353697895</v>
      </c>
      <c r="N313" s="235">
        <f t="shared" si="14"/>
        <v>-13539679.630654568</v>
      </c>
      <c r="P313" s="322"/>
    </row>
    <row r="314" spans="1:16" s="155" customFormat="1" x14ac:dyDescent="0.25">
      <c r="A314" s="152">
        <f>'B) D RI'!A315</f>
        <v>5939</v>
      </c>
      <c r="B314" s="153" t="str">
        <f>'B) D RI'!B315</f>
        <v>Yvonand</v>
      </c>
      <c r="C314" s="317">
        <f>'B) D RI'!S315</f>
        <v>73</v>
      </c>
      <c r="D314" s="154">
        <f>'B) D RI'!AA315</f>
        <v>3426</v>
      </c>
      <c r="E314" s="315">
        <f>'D) Ecrêtage'!C313</f>
        <v>91997.775281850787</v>
      </c>
      <c r="F314" s="319">
        <f>'E) Fact soc'!G319</f>
        <v>1767460.5572357425</v>
      </c>
      <c r="G314" s="316">
        <f>'H) Péréquation directe'!I324</f>
        <v>-475781.31139298854</v>
      </c>
      <c r="H314" s="367">
        <f>+'I) Dépenses thématiques'!O313</f>
        <v>-249349.94663958414</v>
      </c>
      <c r="I314" s="316">
        <f>'K) Plafonnement aide'!J313</f>
        <v>0</v>
      </c>
      <c r="J314" s="319">
        <f>'J) Plafonnement effort'!J313</f>
        <v>0</v>
      </c>
      <c r="K314" s="316">
        <f>'L) Plafonnement taux'!Q314</f>
        <v>0</v>
      </c>
      <c r="L314" s="314">
        <f t="shared" si="15"/>
        <v>1042329.2992031698</v>
      </c>
      <c r="M314" s="235">
        <f>'M) Police'!O314</f>
        <v>290621.97117640113</v>
      </c>
      <c r="N314" s="237">
        <f t="shared" si="14"/>
        <v>1332951.2703795708</v>
      </c>
      <c r="P314" s="322"/>
    </row>
    <row r="315" spans="1:16" x14ac:dyDescent="0.25">
      <c r="A315" s="30"/>
      <c r="B315" s="24">
        <f>COUNTA(B6:B314)</f>
        <v>309</v>
      </c>
      <c r="C315" s="259"/>
      <c r="D315" s="157">
        <f>SUM(D6:D314)</f>
        <v>800162</v>
      </c>
      <c r="E315" s="157">
        <f>SUM(E6:E314)</f>
        <v>35867536.64913179</v>
      </c>
      <c r="F315" s="148">
        <f>'E) Fact soc'!G320</f>
        <v>824863599.99999928</v>
      </c>
      <c r="G315" s="148">
        <f>'H) Péréquation directe'!I325</f>
        <v>171276891.62745154</v>
      </c>
      <c r="H315" s="366">
        <f>'I) Dépenses thématiques'!O314</f>
        <v>-161403914.92109314</v>
      </c>
      <c r="I315" s="148">
        <f>'K) Plafonnement aide'!J314</f>
        <v>4100045.1342997462</v>
      </c>
      <c r="J315" s="148">
        <f>'J) Plafonnement effort'!J314</f>
        <v>-13491767.483091028</v>
      </c>
      <c r="K315" s="148">
        <f>+'L) Plafonnement taux'!Q315</f>
        <v>-31254.357561127046</v>
      </c>
      <c r="L315" s="236">
        <f t="shared" si="15"/>
        <v>825313600.00000536</v>
      </c>
      <c r="M315" s="236">
        <f>SUM(M6:M314)</f>
        <v>68941679.25310652</v>
      </c>
      <c r="N315" s="236">
        <f>SUM(N6:N314)</f>
        <v>894255279.25311303</v>
      </c>
    </row>
    <row r="316" spans="1:16" x14ac:dyDescent="0.25">
      <c r="D316" s="13"/>
      <c r="E316" s="13"/>
      <c r="L316" s="6"/>
      <c r="M316" s="6"/>
      <c r="N316" s="6"/>
    </row>
    <row r="317" spans="1:16" x14ac:dyDescent="0.25">
      <c r="H317" s="156"/>
      <c r="I317" s="156"/>
      <c r="J317" s="156"/>
      <c r="K317" s="156"/>
      <c r="L317" s="6"/>
      <c r="M317" s="6"/>
      <c r="N317" s="6"/>
    </row>
  </sheetData>
  <mergeCells count="16">
    <mergeCell ref="O4:O5"/>
    <mergeCell ref="M4:M5"/>
    <mergeCell ref="N4:N5"/>
    <mergeCell ref="A1:E1"/>
    <mergeCell ref="L4:L5"/>
    <mergeCell ref="K4:K5"/>
    <mergeCell ref="J4:J5"/>
    <mergeCell ref="I4:I5"/>
    <mergeCell ref="H4:H5"/>
    <mergeCell ref="G4:G5"/>
    <mergeCell ref="F4:F5"/>
    <mergeCell ref="E4:E5"/>
    <mergeCell ref="D4:D5"/>
    <mergeCell ref="C4:C5"/>
    <mergeCell ref="B4:B5"/>
    <mergeCell ref="A4:A5"/>
  </mergeCells>
  <phoneticPr fontId="0" type="noConversion"/>
  <printOptions horizontalCentered="1" verticalCentered="1"/>
  <pageMargins left="0.19685039370078741" right="0.19685039370078741" top="0" bottom="0" header="0.51181102362204722" footer="0.51181102362204722"/>
  <pageSetup paperSize="9" fitToHeight="7" orientation="landscape" horizontalDpi="1200" verticalDpi="1200" r:id="rId1"/>
  <headerFooter alignWithMargins="0">
    <oddFooter>&amp;LSCL - Division finances communales&amp;C-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3" tint="0.39997558519241921"/>
    <pageSetUpPr fitToPage="1"/>
  </sheetPr>
  <dimension ref="B1:J56"/>
  <sheetViews>
    <sheetView tabSelected="1" workbookViewId="0">
      <selection activeCell="C3" sqref="C3:E3"/>
    </sheetView>
  </sheetViews>
  <sheetFormatPr baseColWidth="10" defaultColWidth="10.875" defaultRowHeight="15" x14ac:dyDescent="0.25"/>
  <cols>
    <col min="1" max="1" width="3.375" style="159" customWidth="1"/>
    <col min="2" max="2" width="17.125" style="159" customWidth="1"/>
    <col min="3" max="4" width="12.75" style="159" customWidth="1"/>
    <col min="5" max="6" width="12.75" style="204" customWidth="1"/>
    <col min="7" max="7" width="11.75" style="159" bestFit="1" customWidth="1"/>
    <col min="8" max="16384" width="10.875" style="159"/>
  </cols>
  <sheetData>
    <row r="1" spans="2:9" ht="31.5" x14ac:dyDescent="0.5">
      <c r="B1" s="199" t="s">
        <v>486</v>
      </c>
    </row>
    <row r="3" spans="2:9" s="205" customFormat="1" ht="26.25" x14ac:dyDescent="0.4">
      <c r="B3" s="208"/>
      <c r="C3" s="466"/>
      <c r="D3" s="466"/>
      <c r="E3" s="466"/>
      <c r="F3" s="206"/>
    </row>
    <row r="6" spans="2:9" ht="18.75" x14ac:dyDescent="0.3">
      <c r="B6" s="465" t="str">
        <f>CONCATENATE("Péréquation, ",Paramètres!B5)</f>
        <v>Péréquation, Acomptes 2020</v>
      </c>
      <c r="C6" s="465"/>
      <c r="D6" s="465"/>
      <c r="E6" s="465"/>
      <c r="F6" s="465"/>
    </row>
    <row r="7" spans="2:9" s="251" customFormat="1" ht="18.75" x14ac:dyDescent="0.3">
      <c r="B7" s="465">
        <f>C3</f>
        <v>0</v>
      </c>
      <c r="C7" s="465"/>
      <c r="D7" s="465"/>
      <c r="E7" s="465"/>
      <c r="F7" s="465"/>
    </row>
    <row r="8" spans="2:9" s="251" customFormat="1" ht="12.75" x14ac:dyDescent="0.2">
      <c r="B8" s="258" t="e">
        <f>CONCATENATE("Population : ",VLOOKUP($B$7,'A) Base RI'!$B$7:$V$315,21,FALSE))</f>
        <v>#N/A</v>
      </c>
      <c r="C8" s="249"/>
      <c r="D8" s="249"/>
      <c r="E8" s="250"/>
      <c r="F8" s="257" t="e">
        <f>CONCATENATE("N° OFS : ",VLOOKUP($B$7,Paramètres!$A$70:$B$378,2,FALSE))</f>
        <v>#N/A</v>
      </c>
    </row>
    <row r="9" spans="2:9" s="251" customFormat="1" ht="12.75" x14ac:dyDescent="0.2">
      <c r="B9" s="258" t="e">
        <f>CONCATENATE("Taux : ",VLOOKUP($B$7,'A) Base RI'!$B$7:$V$315,20,FALSE))</f>
        <v>#N/A</v>
      </c>
      <c r="C9" s="249"/>
      <c r="D9" s="249"/>
      <c r="E9" s="250"/>
      <c r="F9" s="326" t="e">
        <f>CONCATENATE("Point impôt communal : ",ROUND(VLOOKUP(B7,'D) Ecrêtage'!B5:M322,2,FALSE),0))</f>
        <v>#N/A</v>
      </c>
    </row>
    <row r="10" spans="2:9" s="251" customFormat="1" ht="12.75" x14ac:dyDescent="0.2">
      <c r="B10" s="249"/>
      <c r="C10" s="249"/>
      <c r="D10" s="249"/>
      <c r="E10" s="250"/>
      <c r="F10" s="326"/>
      <c r="H10" s="353"/>
      <c r="I10" s="353"/>
    </row>
    <row r="11" spans="2:9" ht="18" x14ac:dyDescent="0.35">
      <c r="B11" s="242" t="s">
        <v>513</v>
      </c>
      <c r="C11" s="103"/>
      <c r="D11" s="103"/>
      <c r="E11" s="207"/>
      <c r="F11" s="207"/>
    </row>
    <row r="12" spans="2:9" s="251" customFormat="1" ht="12.75" x14ac:dyDescent="0.2">
      <c r="B12" s="249"/>
      <c r="C12" s="249"/>
      <c r="D12" s="249"/>
      <c r="E12" s="250"/>
      <c r="F12" s="250"/>
    </row>
    <row r="13" spans="2:9" s="251" customFormat="1" ht="12.75" x14ac:dyDescent="0.2">
      <c r="B13" s="256" t="s">
        <v>436</v>
      </c>
      <c r="C13" s="249"/>
      <c r="D13" s="249"/>
      <c r="E13" s="250"/>
      <c r="F13" s="250"/>
    </row>
    <row r="14" spans="2:9" s="251" customFormat="1" ht="12.75" x14ac:dyDescent="0.2">
      <c r="B14" s="249" t="s">
        <v>476</v>
      </c>
      <c r="C14" s="249"/>
      <c r="D14" s="249"/>
      <c r="E14" s="252" t="e">
        <f>VLOOKUP($C$3,'C) Prél. conj.'!$B$3:$E$391,2,FALSE)*0.5</f>
        <v>#N/A</v>
      </c>
      <c r="F14" s="250"/>
    </row>
    <row r="15" spans="2:9" s="251" customFormat="1" ht="12.75" x14ac:dyDescent="0.2">
      <c r="B15" s="249" t="s">
        <v>194</v>
      </c>
      <c r="C15" s="249"/>
      <c r="D15" s="249"/>
      <c r="E15" s="252" t="e">
        <f>VLOOKUP($C$3,'C) Prél. conj.'!$B$3:$E$391,3,FALSE)*0.3</f>
        <v>#N/A</v>
      </c>
      <c r="F15" s="250" t="e">
        <f>E14+E15</f>
        <v>#N/A</v>
      </c>
    </row>
    <row r="16" spans="2:9" s="251" customFormat="1" ht="12.75" x14ac:dyDescent="0.2">
      <c r="B16" s="249"/>
      <c r="C16" s="249"/>
      <c r="D16" s="249"/>
      <c r="E16" s="250"/>
      <c r="F16" s="250"/>
    </row>
    <row r="17" spans="2:8" s="251" customFormat="1" ht="12.75" x14ac:dyDescent="0.2">
      <c r="B17" s="256" t="s">
        <v>474</v>
      </c>
      <c r="C17" s="249"/>
      <c r="D17" s="249"/>
      <c r="E17" s="250"/>
      <c r="F17" s="250"/>
    </row>
    <row r="18" spans="2:8" s="251" customFormat="1" ht="12.75" x14ac:dyDescent="0.2">
      <c r="B18" s="249" t="s">
        <v>546</v>
      </c>
      <c r="C18" s="249"/>
      <c r="D18" s="253" t="e">
        <f>VLOOKUP($C$3,'D) Ecrêtage'!$B$3:$M$391,11,FALSE)</f>
        <v>#N/A</v>
      </c>
      <c r="E18" s="250"/>
      <c r="F18" s="250" t="e">
        <f>VLOOKUP($C$3,'D) Ecrêtage'!$B$3:$M$391,12,FALSE)</f>
        <v>#N/A</v>
      </c>
    </row>
    <row r="19" spans="2:8" s="251" customFormat="1" ht="12.75" x14ac:dyDescent="0.2">
      <c r="B19" s="249"/>
      <c r="C19" s="249"/>
      <c r="D19" s="249"/>
      <c r="E19" s="250"/>
      <c r="F19" s="250"/>
    </row>
    <row r="20" spans="2:8" s="251" customFormat="1" ht="12.75" x14ac:dyDescent="0.2">
      <c r="B20" s="256" t="s">
        <v>477</v>
      </c>
      <c r="C20" s="249"/>
      <c r="D20" s="249"/>
      <c r="E20" s="250"/>
      <c r="F20" s="250"/>
    </row>
    <row r="21" spans="2:8" s="251" customFormat="1" ht="12.75" x14ac:dyDescent="0.2">
      <c r="B21" s="249" t="str">
        <f>CONCATENATE("Nombre de points à répartir ",ROUND('E) Fact soc'!D7,2))</f>
        <v>Nombre de points à répartir 15.4</v>
      </c>
      <c r="C21" s="249"/>
      <c r="D21" s="249"/>
      <c r="E21" s="250"/>
      <c r="F21" s="250"/>
    </row>
    <row r="22" spans="2:8" s="251" customFormat="1" ht="12.75" x14ac:dyDescent="0.2">
      <c r="B22" s="249" t="s">
        <v>485</v>
      </c>
      <c r="C22" s="249"/>
      <c r="D22" s="249"/>
      <c r="E22" s="250"/>
      <c r="F22" s="250" t="e">
        <f>VLOOKUP($C$3,'E) Fact soc'!$B$9:$G$391,5,FALSE)</f>
        <v>#N/A</v>
      </c>
    </row>
    <row r="23" spans="2:8" s="251" customFormat="1" ht="12.75" x14ac:dyDescent="0.2">
      <c r="B23" s="249"/>
      <c r="C23" s="249"/>
      <c r="D23" s="249"/>
      <c r="E23" s="250"/>
      <c r="F23" s="254"/>
    </row>
    <row r="24" spans="2:8" s="251" customFormat="1" ht="12.75" x14ac:dyDescent="0.2">
      <c r="B24" s="256" t="s">
        <v>478</v>
      </c>
      <c r="C24" s="249"/>
      <c r="D24" s="249"/>
      <c r="E24" s="250"/>
      <c r="F24" s="255" t="e">
        <f>F15+F18+F22</f>
        <v>#N/A</v>
      </c>
      <c r="G24" s="441"/>
      <c r="H24" s="441"/>
    </row>
    <row r="25" spans="2:8" s="251" customFormat="1" ht="12.75" x14ac:dyDescent="0.2">
      <c r="B25" s="249"/>
      <c r="C25" s="249"/>
      <c r="D25" s="249"/>
      <c r="E25" s="250"/>
      <c r="F25" s="250"/>
    </row>
    <row r="26" spans="2:8" ht="18" x14ac:dyDescent="0.35">
      <c r="B26" s="242" t="s">
        <v>514</v>
      </c>
      <c r="C26" s="103"/>
      <c r="D26" s="103"/>
      <c r="E26" s="207"/>
      <c r="F26" s="207"/>
      <c r="G26" s="440"/>
    </row>
    <row r="27" spans="2:8" s="251" customFormat="1" ht="12.75" x14ac:dyDescent="0.2">
      <c r="B27" s="249"/>
      <c r="C27" s="249"/>
      <c r="D27" s="249"/>
      <c r="E27" s="250"/>
      <c r="F27" s="250"/>
    </row>
    <row r="28" spans="2:8" s="251" customFormat="1" ht="12.75" x14ac:dyDescent="0.2">
      <c r="B28" s="256" t="s">
        <v>304</v>
      </c>
      <c r="C28" s="249"/>
      <c r="D28" s="249"/>
      <c r="E28" s="250"/>
      <c r="F28" s="250" t="e">
        <f>-VLOOKUP($C$3,'F) Population'!$B$8:$K$391,10,FALSE)</f>
        <v>#N/A</v>
      </c>
      <c r="G28" s="442"/>
    </row>
    <row r="29" spans="2:8" s="251" customFormat="1" ht="12.75" x14ac:dyDescent="0.2">
      <c r="B29" s="249"/>
      <c r="C29" s="249"/>
      <c r="D29" s="249"/>
      <c r="E29" s="250"/>
      <c r="F29" s="250"/>
    </row>
    <row r="30" spans="2:8" s="251" customFormat="1" ht="12.75" x14ac:dyDescent="0.2">
      <c r="B30" s="256" t="s">
        <v>479</v>
      </c>
      <c r="C30" s="249"/>
      <c r="D30" s="249"/>
      <c r="E30" s="250"/>
      <c r="F30" s="250" t="e">
        <f>-VLOOKUP($C$3,'G) Solidarité'!$B$5:$I$391,8,FALSE)</f>
        <v>#N/A</v>
      </c>
    </row>
    <row r="31" spans="2:8" s="251" customFormat="1" ht="12.75" x14ac:dyDescent="0.2">
      <c r="B31" s="249"/>
      <c r="C31" s="249"/>
      <c r="D31" s="249"/>
      <c r="E31" s="250"/>
      <c r="F31" s="250"/>
    </row>
    <row r="32" spans="2:8" s="251" customFormat="1" ht="12.75" x14ac:dyDescent="0.2">
      <c r="B32" s="256" t="s">
        <v>139</v>
      </c>
      <c r="C32" s="249"/>
      <c r="D32" s="249"/>
      <c r="E32" s="250"/>
      <c r="F32" s="250"/>
    </row>
    <row r="33" spans="2:10" s="251" customFormat="1" ht="12.75" x14ac:dyDescent="0.2">
      <c r="B33" s="249" t="s">
        <v>480</v>
      </c>
      <c r="C33" s="249"/>
      <c r="D33" s="249"/>
      <c r="E33" s="252" t="e">
        <f>VLOOKUP(B7,'I) Dépenses thématiques'!B5:O313,9,FALSE)</f>
        <v>#N/A</v>
      </c>
      <c r="F33" s="250"/>
    </row>
    <row r="34" spans="2:10" s="251" customFormat="1" ht="12.75" x14ac:dyDescent="0.2">
      <c r="B34" s="249" t="s">
        <v>214</v>
      </c>
      <c r="C34" s="249"/>
      <c r="D34" s="249"/>
      <c r="E34" s="252" t="e">
        <f>VLOOKUP(B7,'I) Dépenses thématiques'!B5:O313,13,FALSE)</f>
        <v>#N/A</v>
      </c>
      <c r="F34" s="250" t="e">
        <f>SUM(E33:E34)</f>
        <v>#N/A</v>
      </c>
    </row>
    <row r="35" spans="2:10" s="251" customFormat="1" ht="12.75" x14ac:dyDescent="0.2">
      <c r="B35" s="249"/>
      <c r="C35" s="249"/>
      <c r="D35" s="249"/>
      <c r="E35" s="250"/>
      <c r="F35" s="250"/>
    </row>
    <row r="36" spans="2:10" s="251" customFormat="1" ht="12.75" x14ac:dyDescent="0.2">
      <c r="B36" s="256" t="s">
        <v>481</v>
      </c>
      <c r="C36" s="249"/>
      <c r="D36" s="249"/>
      <c r="E36" s="250"/>
      <c r="F36" s="250"/>
    </row>
    <row r="37" spans="2:10" s="251" customFormat="1" ht="12.75" x14ac:dyDescent="0.2">
      <c r="B37" s="249" t="s">
        <v>534</v>
      </c>
      <c r="C37" s="249"/>
      <c r="D37" s="249"/>
      <c r="E37" s="252" t="e">
        <f>VLOOKUP($C$3,'J) Plafonnement effort'!$B$5:$J$391,9,FALSE)</f>
        <v>#N/A</v>
      </c>
      <c r="F37" s="250"/>
    </row>
    <row r="38" spans="2:10" s="251" customFormat="1" ht="12.75" x14ac:dyDescent="0.2">
      <c r="B38" s="249" t="s">
        <v>482</v>
      </c>
      <c r="C38" s="249"/>
      <c r="D38" s="249"/>
      <c r="E38" s="252" t="e">
        <f>VLOOKUP($C$3,'K) Plafonnement aide'!$B$5:$J$391,9,FALSE)</f>
        <v>#N/A</v>
      </c>
      <c r="F38" s="250"/>
    </row>
    <row r="39" spans="2:10" s="251" customFormat="1" ht="12.75" x14ac:dyDescent="0.2">
      <c r="B39" s="249" t="s">
        <v>483</v>
      </c>
      <c r="C39" s="249"/>
      <c r="D39" s="249"/>
      <c r="E39" s="252" t="e">
        <f>VLOOKUP($C$3,'L) Plafonnement taux'!$B$6:$Q$391,16,FALSE)</f>
        <v>#N/A</v>
      </c>
      <c r="F39" s="250" t="e">
        <f>SUM(E37:E39)</f>
        <v>#N/A</v>
      </c>
    </row>
    <row r="40" spans="2:10" s="251" customFormat="1" ht="12.75" x14ac:dyDescent="0.2">
      <c r="B40" s="249"/>
      <c r="C40" s="249"/>
      <c r="D40" s="249"/>
      <c r="E40" s="250"/>
      <c r="F40" s="250"/>
    </row>
    <row r="41" spans="2:10" s="251" customFormat="1" ht="12.75" x14ac:dyDescent="0.2">
      <c r="B41" s="256" t="s">
        <v>94</v>
      </c>
      <c r="C41" s="249"/>
      <c r="D41" s="249"/>
      <c r="E41" s="250"/>
      <c r="F41" s="250" t="e">
        <f>VLOOKUP($C$3,'H) Péréquation directe'!$B$16:$I$391,4,FALSE)</f>
        <v>#N/A</v>
      </c>
    </row>
    <row r="42" spans="2:10" s="251" customFormat="1" ht="12.75" x14ac:dyDescent="0.2">
      <c r="B42" s="249"/>
      <c r="C42" s="249"/>
      <c r="D42" s="249"/>
      <c r="E42" s="250"/>
      <c r="F42" s="254"/>
    </row>
    <row r="43" spans="2:10" s="251" customFormat="1" ht="12.75" x14ac:dyDescent="0.2">
      <c r="B43" s="256" t="s">
        <v>484</v>
      </c>
      <c r="C43" s="249"/>
      <c r="D43" s="249"/>
      <c r="E43" s="250"/>
      <c r="F43" s="354" t="e">
        <f>SUM(F27:F42)</f>
        <v>#N/A</v>
      </c>
      <c r="G43" s="353"/>
      <c r="H43" s="442"/>
      <c r="J43" s="441"/>
    </row>
    <row r="44" spans="2:10" s="251" customFormat="1" ht="12.75" x14ac:dyDescent="0.2">
      <c r="B44" s="249"/>
      <c r="C44" s="249"/>
      <c r="D44" s="249"/>
      <c r="E44" s="250"/>
      <c r="F44" s="250"/>
      <c r="H44" s="441"/>
    </row>
    <row r="45" spans="2:10" ht="18" x14ac:dyDescent="0.35">
      <c r="B45" s="242" t="s">
        <v>515</v>
      </c>
      <c r="C45" s="103"/>
      <c r="D45" s="103"/>
      <c r="E45" s="207"/>
      <c r="F45" s="207"/>
    </row>
    <row r="46" spans="2:10" s="251" customFormat="1" ht="12.75" x14ac:dyDescent="0.2">
      <c r="B46" s="249"/>
      <c r="C46" s="249"/>
      <c r="D46" s="249"/>
      <c r="E46" s="250"/>
      <c r="F46" s="250"/>
    </row>
    <row r="47" spans="2:10" s="251" customFormat="1" ht="12.75" x14ac:dyDescent="0.2">
      <c r="B47" s="249" t="s">
        <v>496</v>
      </c>
      <c r="C47" s="249"/>
      <c r="D47" s="249"/>
      <c r="E47" s="252" t="e">
        <f>VLOOKUP($C$3,'M) Police'!$B$6:$N$396,10,FALSE)</f>
        <v>#N/A</v>
      </c>
      <c r="F47" s="250"/>
    </row>
    <row r="48" spans="2:10" s="251" customFormat="1" ht="12.75" x14ac:dyDescent="0.2">
      <c r="B48" s="249" t="s">
        <v>497</v>
      </c>
      <c r="C48" s="249"/>
      <c r="D48" s="249"/>
      <c r="E48" s="252" t="e">
        <f>VLOOKUP($C$3,'M) Police'!$B$6:$N$396,13,FALSE)</f>
        <v>#N/A</v>
      </c>
      <c r="F48" s="250" t="e">
        <f>E47+E48</f>
        <v>#N/A</v>
      </c>
    </row>
    <row r="49" spans="2:6" s="251" customFormat="1" ht="12.75" x14ac:dyDescent="0.2">
      <c r="B49" s="249"/>
      <c r="C49" s="249"/>
      <c r="D49" s="249"/>
      <c r="E49" s="250"/>
      <c r="F49" s="254"/>
    </row>
    <row r="50" spans="2:6" s="251" customFormat="1" ht="12.75" x14ac:dyDescent="0.2">
      <c r="B50" s="256" t="s">
        <v>502</v>
      </c>
      <c r="C50" s="249"/>
      <c r="D50" s="249"/>
      <c r="E50" s="250"/>
      <c r="F50" s="255" t="e">
        <f>F48</f>
        <v>#N/A</v>
      </c>
    </row>
    <row r="51" spans="2:6" s="251" customFormat="1" ht="12.75" x14ac:dyDescent="0.2">
      <c r="B51" s="249"/>
      <c r="C51" s="249"/>
      <c r="D51" s="249"/>
      <c r="E51" s="250"/>
      <c r="F51" s="250"/>
    </row>
    <row r="52" spans="2:6" ht="18" x14ac:dyDescent="0.35">
      <c r="B52" s="242" t="s">
        <v>516</v>
      </c>
      <c r="C52" s="103"/>
      <c r="D52" s="103"/>
      <c r="E52" s="207"/>
      <c r="F52" s="207"/>
    </row>
    <row r="53" spans="2:6" x14ac:dyDescent="0.25">
      <c r="B53" s="249"/>
      <c r="C53" s="249"/>
      <c r="D53" s="249"/>
      <c r="E53" s="249"/>
      <c r="F53" s="249"/>
    </row>
    <row r="54" spans="2:6" x14ac:dyDescent="0.25">
      <c r="B54" s="256" t="s">
        <v>535</v>
      </c>
      <c r="C54" s="249"/>
      <c r="D54" s="249"/>
      <c r="E54" s="249"/>
      <c r="F54" s="255" t="e">
        <f>+F24+F43+F50</f>
        <v>#N/A</v>
      </c>
    </row>
    <row r="55" spans="2:6" x14ac:dyDescent="0.25">
      <c r="B55" s="249"/>
      <c r="C55" s="249"/>
      <c r="D55" s="249"/>
      <c r="E55" s="249"/>
      <c r="F55" s="249"/>
    </row>
    <row r="56" spans="2:6" ht="18" x14ac:dyDescent="0.35">
      <c r="B56" s="242" t="s">
        <v>536</v>
      </c>
      <c r="C56" s="103"/>
      <c r="D56" s="103"/>
      <c r="E56" s="207"/>
      <c r="F56" s="207"/>
    </row>
  </sheetData>
  <protectedRanges>
    <protectedRange sqref="C3:E3" name="Plage1"/>
  </protectedRanges>
  <mergeCells count="3">
    <mergeCell ref="B6:F6"/>
    <mergeCell ref="B7:F7"/>
    <mergeCell ref="C3:E3"/>
  </mergeCells>
  <printOptions horizontalCentered="1" verticalCentered="1"/>
  <pageMargins left="0.70866141732283472" right="0.70866141732283472" top="0.35433070866141736" bottom="0.35433070866141736"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Paramètres!$A$70:$A$378</xm:f>
          </x14:formula1>
          <xm:sqref>C3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00B050"/>
  </sheetPr>
  <dimension ref="A1:AF318"/>
  <sheetViews>
    <sheetView zoomScaleNormal="100" workbookViewId="0">
      <pane ySplit="6" topLeftCell="A7" activePane="bottomLeft" state="frozen"/>
      <selection pane="bottomLeft" activeCell="A7" sqref="A7"/>
    </sheetView>
  </sheetViews>
  <sheetFormatPr baseColWidth="10" defaultColWidth="8.625" defaultRowHeight="15" x14ac:dyDescent="0.25"/>
  <cols>
    <col min="1" max="1" width="8.875" style="346" customWidth="1"/>
    <col min="2" max="2" width="20.375" style="15" bestFit="1" customWidth="1"/>
    <col min="3" max="3" width="15" style="340" bestFit="1" customWidth="1"/>
    <col min="4" max="4" width="14" style="15" bestFit="1" customWidth="1"/>
    <col min="5" max="5" width="12.125" style="15" bestFit="1" customWidth="1"/>
    <col min="6" max="6" width="11.25" style="15" bestFit="1" customWidth="1"/>
    <col min="7" max="7" width="18.375" style="376" bestFit="1" customWidth="1"/>
    <col min="8" max="8" width="12.375" style="376" bestFit="1" customWidth="1"/>
    <col min="9" max="9" width="12.125" style="376" customWidth="1"/>
    <col min="10" max="10" width="13.875" style="15" customWidth="1"/>
    <col min="11" max="11" width="12.125" style="15" bestFit="1" customWidth="1"/>
    <col min="12" max="12" width="13.25" style="15" bestFit="1" customWidth="1"/>
    <col min="13" max="14" width="14.25" style="15" bestFit="1" customWidth="1"/>
    <col min="15" max="15" width="12.125" style="15" bestFit="1" customWidth="1"/>
    <col min="16" max="16" width="14" style="15" bestFit="1" customWidth="1"/>
    <col min="17" max="17" width="12.125" style="15" bestFit="1" customWidth="1"/>
    <col min="18" max="18" width="13.875" style="15" customWidth="1"/>
    <col min="19" max="19" width="12.125" style="15" bestFit="1" customWidth="1"/>
    <col min="20" max="20" width="14.25" style="15" bestFit="1" customWidth="1"/>
    <col min="21" max="21" width="12" style="15" customWidth="1"/>
    <col min="22" max="22" width="10.875" style="6" bestFit="1" customWidth="1"/>
    <col min="23" max="23" width="12.125" style="15" bestFit="1" customWidth="1"/>
    <col min="24" max="24" width="11.25" style="15" bestFit="1" customWidth="1"/>
    <col min="25" max="25" width="11.875" style="15" bestFit="1" customWidth="1"/>
    <col min="26" max="26" width="7" style="15" bestFit="1" customWidth="1"/>
    <col min="27" max="28" width="13" style="15" bestFit="1" customWidth="1"/>
    <col min="29" max="29" width="12.125" style="15" bestFit="1" customWidth="1"/>
    <col min="30" max="30" width="13" style="15" bestFit="1" customWidth="1"/>
    <col min="31" max="32" width="12.125" style="15" bestFit="1" customWidth="1"/>
    <col min="33" max="16384" width="8.625" style="15"/>
  </cols>
  <sheetData>
    <row r="1" spans="1:32" ht="21" x14ac:dyDescent="0.35">
      <c r="A1" s="341" t="s">
        <v>450</v>
      </c>
      <c r="B1" s="328"/>
      <c r="C1" s="329"/>
      <c r="D1" s="328"/>
      <c r="E1" s="328"/>
      <c r="F1" s="328"/>
      <c r="G1" s="328"/>
      <c r="H1" s="328"/>
      <c r="I1" s="328"/>
      <c r="J1" s="328"/>
      <c r="K1" s="328"/>
      <c r="U1" s="347"/>
    </row>
    <row r="2" spans="1:32" ht="21" x14ac:dyDescent="0.35">
      <c r="A2" s="341" t="str">
        <f>Paramètres!B5</f>
        <v>Acomptes 2020</v>
      </c>
      <c r="C2" s="330"/>
      <c r="D2" s="331"/>
      <c r="E2" s="328"/>
      <c r="F2" s="328"/>
      <c r="G2" s="328"/>
      <c r="H2" s="328"/>
      <c r="I2" s="328"/>
      <c r="J2" s="328"/>
      <c r="K2" s="328"/>
      <c r="U2" s="347"/>
    </row>
    <row r="3" spans="1:32" x14ac:dyDescent="0.25">
      <c r="A3" s="342"/>
      <c r="B3" s="328"/>
      <c r="C3" s="329"/>
      <c r="D3" s="328"/>
      <c r="E3" s="328"/>
      <c r="F3" s="328"/>
      <c r="G3" s="328"/>
      <c r="H3" s="328"/>
      <c r="I3" s="328"/>
      <c r="J3" s="328"/>
      <c r="K3" s="328"/>
      <c r="M3" s="332"/>
      <c r="U3" s="347"/>
    </row>
    <row r="4" spans="1:32" s="333" customFormat="1" ht="38.1" customHeight="1" x14ac:dyDescent="0.2">
      <c r="A4" s="473" t="s">
        <v>46</v>
      </c>
      <c r="B4" s="476" t="s">
        <v>519</v>
      </c>
      <c r="C4" s="471" t="s">
        <v>413</v>
      </c>
      <c r="D4" s="480" t="s">
        <v>414</v>
      </c>
      <c r="E4" s="467" t="s">
        <v>258</v>
      </c>
      <c r="F4" s="467" t="s">
        <v>259</v>
      </c>
      <c r="G4" s="469" t="s">
        <v>555</v>
      </c>
      <c r="H4" s="469" t="s">
        <v>556</v>
      </c>
      <c r="I4" s="469" t="s">
        <v>568</v>
      </c>
      <c r="J4" s="467" t="s">
        <v>415</v>
      </c>
      <c r="K4" s="467" t="s">
        <v>383</v>
      </c>
      <c r="L4" s="467" t="s">
        <v>384</v>
      </c>
      <c r="M4" s="467" t="s">
        <v>385</v>
      </c>
      <c r="N4" s="467" t="s">
        <v>193</v>
      </c>
      <c r="O4" s="467" t="s">
        <v>194</v>
      </c>
      <c r="P4" s="467" t="s">
        <v>195</v>
      </c>
      <c r="Q4" s="467" t="s">
        <v>196</v>
      </c>
      <c r="R4" s="467" t="s">
        <v>416</v>
      </c>
      <c r="S4" s="467" t="s">
        <v>197</v>
      </c>
      <c r="T4" s="467" t="s">
        <v>138</v>
      </c>
      <c r="U4" s="471" t="s">
        <v>78</v>
      </c>
      <c r="V4" s="482" t="s">
        <v>449</v>
      </c>
      <c r="W4" s="467" t="s">
        <v>246</v>
      </c>
      <c r="X4" s="467" t="s">
        <v>247</v>
      </c>
      <c r="Y4" s="467" t="s">
        <v>248</v>
      </c>
      <c r="Z4" s="467" t="s">
        <v>501</v>
      </c>
    </row>
    <row r="5" spans="1:32" s="333" customFormat="1" ht="38.1" customHeight="1" x14ac:dyDescent="0.2">
      <c r="A5" s="474"/>
      <c r="B5" s="477"/>
      <c r="C5" s="472"/>
      <c r="D5" s="481"/>
      <c r="E5" s="468"/>
      <c r="F5" s="468"/>
      <c r="G5" s="470"/>
      <c r="H5" s="470"/>
      <c r="I5" s="470"/>
      <c r="J5" s="468"/>
      <c r="K5" s="468"/>
      <c r="L5" s="468"/>
      <c r="M5" s="468"/>
      <c r="N5" s="468"/>
      <c r="O5" s="468"/>
      <c r="P5" s="468"/>
      <c r="Q5" s="468"/>
      <c r="R5" s="479"/>
      <c r="S5" s="468"/>
      <c r="T5" s="468"/>
      <c r="U5" s="472"/>
      <c r="V5" s="483"/>
      <c r="W5" s="479"/>
      <c r="X5" s="479"/>
      <c r="Y5" s="479"/>
      <c r="Z5" s="479"/>
    </row>
    <row r="6" spans="1:32" s="328" customFormat="1" x14ac:dyDescent="0.25">
      <c r="A6" s="475"/>
      <c r="B6" s="478"/>
      <c r="C6" s="349" t="s">
        <v>417</v>
      </c>
      <c r="D6" s="350" t="s">
        <v>418</v>
      </c>
      <c r="E6" s="334" t="s">
        <v>79</v>
      </c>
      <c r="F6" s="334" t="s">
        <v>80</v>
      </c>
      <c r="G6" s="390" t="s">
        <v>419</v>
      </c>
      <c r="H6" s="390" t="s">
        <v>420</v>
      </c>
      <c r="I6" s="390"/>
      <c r="J6" s="334" t="s">
        <v>82</v>
      </c>
      <c r="K6" s="334" t="s">
        <v>83</v>
      </c>
      <c r="L6" s="334" t="s">
        <v>84</v>
      </c>
      <c r="M6" s="334" t="s">
        <v>85</v>
      </c>
      <c r="N6" s="334" t="s">
        <v>86</v>
      </c>
      <c r="O6" s="334" t="s">
        <v>87</v>
      </c>
      <c r="P6" s="334" t="s">
        <v>88</v>
      </c>
      <c r="Q6" s="334" t="s">
        <v>89</v>
      </c>
      <c r="R6" s="468"/>
      <c r="S6" s="334" t="s">
        <v>90</v>
      </c>
      <c r="T6" s="334" t="s">
        <v>91</v>
      </c>
      <c r="U6" s="355">
        <f>+Paramètres!B8</f>
        <v>2018</v>
      </c>
      <c r="V6" s="351">
        <f>+Paramètres!B7</f>
        <v>42003</v>
      </c>
      <c r="W6" s="468"/>
      <c r="X6" s="468"/>
      <c r="Y6" s="468"/>
      <c r="Z6" s="468"/>
    </row>
    <row r="7" spans="1:32" x14ac:dyDescent="0.25">
      <c r="A7" s="343">
        <v>5401</v>
      </c>
      <c r="B7" s="335" t="s">
        <v>261</v>
      </c>
      <c r="C7" s="395">
        <v>12551584.710000001</v>
      </c>
      <c r="D7" s="395">
        <v>1759394.42</v>
      </c>
      <c r="E7" s="395"/>
      <c r="F7" s="395"/>
      <c r="G7" s="385">
        <v>872308.20459434215</v>
      </c>
      <c r="H7" s="385">
        <v>208245.65</v>
      </c>
      <c r="I7" s="385">
        <v>182648.65698424572</v>
      </c>
      <c r="J7" s="398">
        <v>7765.25</v>
      </c>
      <c r="K7" s="398">
        <v>616612.9</v>
      </c>
      <c r="L7" s="398">
        <v>223186.85</v>
      </c>
      <c r="M7" s="398">
        <v>2073061.4</v>
      </c>
      <c r="N7" s="336">
        <f t="shared" ref="N7:N70" si="0">SUM(C7:M7)</f>
        <v>18494808.041578587</v>
      </c>
      <c r="O7" s="400">
        <v>1058449.45</v>
      </c>
      <c r="P7" s="401">
        <v>586742</v>
      </c>
      <c r="Q7" s="401">
        <v>811384.1</v>
      </c>
      <c r="R7" s="402">
        <v>60316.67</v>
      </c>
      <c r="S7" s="402">
        <v>402573.65</v>
      </c>
      <c r="T7" s="337">
        <f t="shared" ref="T7:T70" si="1">SUM(N7:S7)</f>
        <v>21414273.911578588</v>
      </c>
      <c r="U7" s="404">
        <v>67.5</v>
      </c>
      <c r="V7" s="407">
        <v>10134</v>
      </c>
      <c r="W7" s="409">
        <v>-321666.98</v>
      </c>
      <c r="X7" s="411"/>
      <c r="Y7" s="411">
        <v>-645.51</v>
      </c>
      <c r="Z7" s="415">
        <v>1.2</v>
      </c>
      <c r="AC7" s="376"/>
      <c r="AE7" s="409"/>
      <c r="AF7" s="409"/>
    </row>
    <row r="8" spans="1:32" x14ac:dyDescent="0.25">
      <c r="A8" s="343">
        <v>5402</v>
      </c>
      <c r="B8" s="335" t="s">
        <v>262</v>
      </c>
      <c r="C8" s="395">
        <v>8728409.1199999992</v>
      </c>
      <c r="D8" s="395">
        <v>1192204.75</v>
      </c>
      <c r="E8" s="395"/>
      <c r="F8" s="395"/>
      <c r="G8" s="385">
        <v>415640.54756070382</v>
      </c>
      <c r="H8" s="385">
        <v>122898.59999999976</v>
      </c>
      <c r="I8" s="385">
        <v>91030.587339240315</v>
      </c>
      <c r="J8" s="398">
        <v>-67367.5</v>
      </c>
      <c r="K8" s="398">
        <v>309541.81</v>
      </c>
      <c r="L8" s="398">
        <v>106621.8</v>
      </c>
      <c r="M8" s="398">
        <v>1549823.8</v>
      </c>
      <c r="N8" s="336">
        <f t="shared" si="0"/>
        <v>12448803.514899945</v>
      </c>
      <c r="O8" s="400">
        <v>202311.1</v>
      </c>
      <c r="P8" s="401">
        <v>57137.7</v>
      </c>
      <c r="Q8" s="401">
        <v>540896.75</v>
      </c>
      <c r="R8" s="402">
        <v>104295.16</v>
      </c>
      <c r="S8" s="402">
        <v>285520.5</v>
      </c>
      <c r="T8" s="337">
        <f t="shared" si="1"/>
        <v>13638964.724899944</v>
      </c>
      <c r="U8" s="403">
        <v>71</v>
      </c>
      <c r="V8" s="406">
        <v>7757</v>
      </c>
      <c r="W8" s="409">
        <v>-344821.64</v>
      </c>
      <c r="X8" s="410"/>
      <c r="Y8" s="410">
        <v>-401.51</v>
      </c>
      <c r="Z8" s="416">
        <v>1.25</v>
      </c>
      <c r="AA8" s="409"/>
      <c r="AB8" s="409"/>
      <c r="AC8" s="409"/>
      <c r="AD8" s="409"/>
      <c r="AE8" s="409"/>
      <c r="AF8" s="409"/>
    </row>
    <row r="9" spans="1:32" x14ac:dyDescent="0.25">
      <c r="A9" s="343">
        <v>5403</v>
      </c>
      <c r="B9" s="335" t="s">
        <v>112</v>
      </c>
      <c r="C9" s="395">
        <v>602719.35</v>
      </c>
      <c r="D9" s="395">
        <v>49578.41</v>
      </c>
      <c r="E9" s="395"/>
      <c r="F9" s="395"/>
      <c r="G9" s="385">
        <v>6854.0615845824404</v>
      </c>
      <c r="H9" s="385">
        <v>494.2</v>
      </c>
      <c r="I9" s="385">
        <v>1242.0946016584926</v>
      </c>
      <c r="J9" s="398"/>
      <c r="K9" s="398">
        <v>37312.67</v>
      </c>
      <c r="L9" s="398">
        <v>975.8</v>
      </c>
      <c r="M9" s="398">
        <v>59116.75</v>
      </c>
      <c r="N9" s="336">
        <f t="shared" si="0"/>
        <v>758293.33618624101</v>
      </c>
      <c r="O9" s="400"/>
      <c r="P9" s="401">
        <v>55.5</v>
      </c>
      <c r="Q9" s="401">
        <v>45793</v>
      </c>
      <c r="R9" s="402">
        <v>4460.54</v>
      </c>
      <c r="S9" s="402">
        <v>18465.7</v>
      </c>
      <c r="T9" s="337">
        <f t="shared" si="1"/>
        <v>827068.076186241</v>
      </c>
      <c r="U9" s="403">
        <v>74</v>
      </c>
      <c r="V9" s="406">
        <v>426</v>
      </c>
      <c r="W9" s="409">
        <v>-16488.96</v>
      </c>
      <c r="X9" s="410"/>
      <c r="Y9" s="410">
        <v>-0.37</v>
      </c>
      <c r="Z9" s="416">
        <v>1</v>
      </c>
      <c r="AA9" s="409"/>
      <c r="AB9" s="409"/>
      <c r="AC9" s="409"/>
      <c r="AD9" s="409"/>
      <c r="AE9" s="409"/>
      <c r="AF9" s="409"/>
    </row>
    <row r="10" spans="1:32" x14ac:dyDescent="0.25">
      <c r="A10" s="343">
        <v>5404</v>
      </c>
      <c r="B10" s="335" t="s">
        <v>113</v>
      </c>
      <c r="C10" s="395">
        <v>614485.27</v>
      </c>
      <c r="D10" s="395">
        <v>123535.09</v>
      </c>
      <c r="E10" s="395"/>
      <c r="F10" s="395"/>
      <c r="G10" s="385">
        <v>13504.573080397469</v>
      </c>
      <c r="H10" s="385">
        <v>38.100000000000009</v>
      </c>
      <c r="I10" s="385">
        <v>2289.1511048654838</v>
      </c>
      <c r="J10" s="398"/>
      <c r="K10" s="398">
        <v>2754.62</v>
      </c>
      <c r="L10" s="398">
        <v>565.75</v>
      </c>
      <c r="M10" s="398">
        <v>119006.35</v>
      </c>
      <c r="N10" s="336">
        <f t="shared" si="0"/>
        <v>876178.90418526286</v>
      </c>
      <c r="O10" s="400">
        <v>22870.9</v>
      </c>
      <c r="P10" s="401">
        <v>6544.4</v>
      </c>
      <c r="Q10" s="401">
        <v>17595.75</v>
      </c>
      <c r="R10" s="402">
        <v>1993.73</v>
      </c>
      <c r="S10" s="402">
        <v>34218</v>
      </c>
      <c r="T10" s="337">
        <f t="shared" si="1"/>
        <v>959401.68418526289</v>
      </c>
      <c r="U10" s="403">
        <v>70</v>
      </c>
      <c r="V10" s="406">
        <v>438</v>
      </c>
      <c r="W10" s="409">
        <v>-6462.73</v>
      </c>
      <c r="X10" s="410"/>
      <c r="Y10" s="410">
        <v>-17.23</v>
      </c>
      <c r="Z10" s="416">
        <v>1.5</v>
      </c>
      <c r="AA10" s="409"/>
      <c r="AB10" s="409"/>
      <c r="AC10" s="409"/>
      <c r="AD10" s="409"/>
      <c r="AE10" s="409"/>
      <c r="AF10" s="409"/>
    </row>
    <row r="11" spans="1:32" x14ac:dyDescent="0.25">
      <c r="A11" s="343">
        <v>5405</v>
      </c>
      <c r="B11" s="335" t="s">
        <v>114</v>
      </c>
      <c r="C11" s="395">
        <v>3006343.17</v>
      </c>
      <c r="D11" s="395">
        <v>1233509.73</v>
      </c>
      <c r="E11" s="395"/>
      <c r="F11" s="395"/>
      <c r="G11" s="385">
        <v>45209.971247357294</v>
      </c>
      <c r="H11" s="385">
        <v>9567.9000000000051</v>
      </c>
      <c r="I11" s="385">
        <v>9259.2373561443837</v>
      </c>
      <c r="J11" s="398">
        <v>167661.60999999999</v>
      </c>
      <c r="K11" s="398">
        <v>78110.41</v>
      </c>
      <c r="L11" s="398">
        <v>14245.65</v>
      </c>
      <c r="M11" s="398">
        <v>755763.85</v>
      </c>
      <c r="N11" s="336">
        <f t="shared" si="0"/>
        <v>5319671.5286035025</v>
      </c>
      <c r="O11" s="400"/>
      <c r="P11" s="401">
        <v>850859.6</v>
      </c>
      <c r="Q11" s="401">
        <v>436669.5</v>
      </c>
      <c r="R11" s="402">
        <v>69386.649999999994</v>
      </c>
      <c r="S11" s="402">
        <v>288698.25</v>
      </c>
      <c r="T11" s="337">
        <f t="shared" si="1"/>
        <v>6965285.5286035025</v>
      </c>
      <c r="U11" s="403">
        <v>75</v>
      </c>
      <c r="V11" s="406">
        <v>1332</v>
      </c>
      <c r="W11" s="409">
        <v>-107816.78</v>
      </c>
      <c r="X11" s="410"/>
      <c r="Y11" s="410">
        <v>-1020.24</v>
      </c>
      <c r="Z11" s="416">
        <v>1.5</v>
      </c>
      <c r="AA11" s="409"/>
      <c r="AB11" s="409"/>
      <c r="AC11" s="409"/>
      <c r="AD11" s="409"/>
      <c r="AE11" s="409"/>
      <c r="AF11" s="409"/>
    </row>
    <row r="12" spans="1:32" x14ac:dyDescent="0.25">
      <c r="A12" s="343">
        <v>5406</v>
      </c>
      <c r="B12" s="335" t="s">
        <v>115</v>
      </c>
      <c r="C12" s="395">
        <v>1156924.05</v>
      </c>
      <c r="D12" s="395">
        <v>135830.73000000001</v>
      </c>
      <c r="E12" s="395"/>
      <c r="F12" s="395"/>
      <c r="G12" s="385">
        <v>29537.691245266207</v>
      </c>
      <c r="H12" s="385">
        <v>6179.5499999999993</v>
      </c>
      <c r="I12" s="385">
        <v>6037.3725167814882</v>
      </c>
      <c r="J12" s="398"/>
      <c r="K12" s="398">
        <v>48594.14</v>
      </c>
      <c r="L12" s="398">
        <v>9162.85</v>
      </c>
      <c r="M12" s="398">
        <v>189281.05</v>
      </c>
      <c r="N12" s="336">
        <f t="shared" si="0"/>
        <v>1581547.4337620479</v>
      </c>
      <c r="O12" s="400">
        <v>5025.7</v>
      </c>
      <c r="P12" s="401">
        <v>6382.9</v>
      </c>
      <c r="Q12" s="401">
        <v>22417.05</v>
      </c>
      <c r="R12" s="402">
        <v>15.05</v>
      </c>
      <c r="S12" s="402">
        <v>18573.349999999999</v>
      </c>
      <c r="T12" s="337">
        <f t="shared" si="1"/>
        <v>1633961.483762048</v>
      </c>
      <c r="U12" s="403">
        <v>71</v>
      </c>
      <c r="V12" s="406">
        <v>946</v>
      </c>
      <c r="W12" s="409">
        <v>-33929.61</v>
      </c>
      <c r="X12" s="410"/>
      <c r="Y12" s="410">
        <v>0</v>
      </c>
      <c r="Z12" s="416">
        <v>1.3</v>
      </c>
      <c r="AA12" s="409"/>
      <c r="AB12" s="409"/>
      <c r="AC12" s="409"/>
      <c r="AD12" s="409"/>
      <c r="AE12" s="409"/>
      <c r="AF12" s="409"/>
    </row>
    <row r="13" spans="1:32" x14ac:dyDescent="0.25">
      <c r="A13" s="343">
        <v>5407</v>
      </c>
      <c r="B13" s="335" t="s">
        <v>116</v>
      </c>
      <c r="C13" s="395">
        <v>4024623.49</v>
      </c>
      <c r="D13" s="395">
        <v>955580.7</v>
      </c>
      <c r="E13" s="395"/>
      <c r="F13" s="395"/>
      <c r="G13" s="385">
        <v>253930.83906313663</v>
      </c>
      <c r="H13" s="385">
        <v>177991.2999999999</v>
      </c>
      <c r="I13" s="385">
        <v>73008.854011502393</v>
      </c>
      <c r="J13" s="398">
        <v>103811.4</v>
      </c>
      <c r="K13" s="398">
        <v>530827.74</v>
      </c>
      <c r="L13" s="398">
        <v>56627.1</v>
      </c>
      <c r="M13" s="398">
        <v>1213009.55</v>
      </c>
      <c r="N13" s="336">
        <f t="shared" si="0"/>
        <v>7389410.9730746392</v>
      </c>
      <c r="O13" s="400">
        <v>40574.25</v>
      </c>
      <c r="P13" s="401">
        <v>64833.3</v>
      </c>
      <c r="Q13" s="401">
        <v>240474.65</v>
      </c>
      <c r="R13" s="402">
        <v>64255.360000000001</v>
      </c>
      <c r="S13" s="402">
        <v>116951.25</v>
      </c>
      <c r="T13" s="337">
        <f t="shared" si="1"/>
        <v>7916499.7830746397</v>
      </c>
      <c r="U13" s="403">
        <v>78</v>
      </c>
      <c r="V13" s="406">
        <v>3939</v>
      </c>
      <c r="W13" s="409">
        <v>-200535.16</v>
      </c>
      <c r="X13" s="410"/>
      <c r="Y13" s="410">
        <v>-390.55</v>
      </c>
      <c r="Z13" s="416">
        <v>1.5</v>
      </c>
      <c r="AA13" s="409"/>
      <c r="AB13" s="409"/>
      <c r="AC13" s="409"/>
      <c r="AD13" s="409"/>
      <c r="AE13" s="409"/>
      <c r="AF13" s="409"/>
    </row>
    <row r="14" spans="1:32" x14ac:dyDescent="0.25">
      <c r="A14" s="343">
        <v>5408</v>
      </c>
      <c r="B14" s="335" t="s">
        <v>117</v>
      </c>
      <c r="C14" s="395">
        <v>1826568.72</v>
      </c>
      <c r="D14" s="395">
        <v>207713.47</v>
      </c>
      <c r="E14" s="395"/>
      <c r="F14" s="395"/>
      <c r="G14" s="385">
        <v>337629.08230411011</v>
      </c>
      <c r="H14" s="385">
        <v>15787.80000000001</v>
      </c>
      <c r="I14" s="385">
        <v>59738.918735002349</v>
      </c>
      <c r="J14" s="398"/>
      <c r="K14" s="398">
        <v>88283.43</v>
      </c>
      <c r="L14" s="398">
        <v>16158.25</v>
      </c>
      <c r="M14" s="398">
        <v>281673.84999999998</v>
      </c>
      <c r="N14" s="336">
        <f t="shared" si="0"/>
        <v>2833553.5210391125</v>
      </c>
      <c r="O14" s="400">
        <v>139114.85</v>
      </c>
      <c r="P14" s="401"/>
      <c r="Q14" s="401">
        <v>387372.55</v>
      </c>
      <c r="R14" s="402">
        <v>8032.71</v>
      </c>
      <c r="S14" s="402">
        <v>50551.65</v>
      </c>
      <c r="T14" s="337">
        <f t="shared" si="1"/>
        <v>3418625.2810391122</v>
      </c>
      <c r="U14" s="403">
        <v>78.5</v>
      </c>
      <c r="V14" s="406">
        <v>1113</v>
      </c>
      <c r="W14" s="409">
        <v>-40391.29</v>
      </c>
      <c r="X14" s="410"/>
      <c r="Y14" s="410">
        <v>-224.14</v>
      </c>
      <c r="Z14" s="416">
        <v>1.5</v>
      </c>
      <c r="AA14" s="409"/>
      <c r="AB14" s="409"/>
      <c r="AC14" s="409"/>
      <c r="AD14" s="409"/>
      <c r="AE14" s="409"/>
      <c r="AF14" s="409"/>
    </row>
    <row r="15" spans="1:32" x14ac:dyDescent="0.25">
      <c r="A15" s="343">
        <v>5409</v>
      </c>
      <c r="B15" s="335" t="s">
        <v>118</v>
      </c>
      <c r="C15" s="395">
        <v>12953156.33</v>
      </c>
      <c r="D15" s="395">
        <v>4790266.2699999996</v>
      </c>
      <c r="E15" s="395"/>
      <c r="F15" s="395"/>
      <c r="G15" s="385">
        <v>379892.31367541198</v>
      </c>
      <c r="H15" s="385">
        <v>155134.19999999995</v>
      </c>
      <c r="I15" s="385">
        <v>90436.838255010967</v>
      </c>
      <c r="J15" s="398">
        <v>2663385.38</v>
      </c>
      <c r="K15" s="398">
        <v>636620.25</v>
      </c>
      <c r="L15" s="398">
        <v>116612.8</v>
      </c>
      <c r="M15" s="398">
        <v>4103008.55</v>
      </c>
      <c r="N15" s="336">
        <f t="shared" si="0"/>
        <v>25888512.931930423</v>
      </c>
      <c r="O15" s="400">
        <v>74320.850000000006</v>
      </c>
      <c r="P15" s="401">
        <v>1989328.1</v>
      </c>
      <c r="Q15" s="401">
        <v>1463003.25</v>
      </c>
      <c r="R15" s="402">
        <v>105851.69</v>
      </c>
      <c r="S15" s="402">
        <v>648955.65</v>
      </c>
      <c r="T15" s="337">
        <f t="shared" si="1"/>
        <v>30169972.471930426</v>
      </c>
      <c r="U15" s="403">
        <v>68</v>
      </c>
      <c r="V15" s="406">
        <v>7461</v>
      </c>
      <c r="W15" s="409">
        <v>-272742.56</v>
      </c>
      <c r="X15" s="410"/>
      <c r="Y15" s="410">
        <v>-6460.57</v>
      </c>
      <c r="Z15" s="416">
        <v>1.3</v>
      </c>
      <c r="AA15" s="409"/>
      <c r="AB15" s="409"/>
      <c r="AC15" s="409"/>
      <c r="AD15" s="409"/>
      <c r="AE15" s="409"/>
      <c r="AF15" s="409"/>
    </row>
    <row r="16" spans="1:32" x14ac:dyDescent="0.25">
      <c r="A16" s="343">
        <v>5410</v>
      </c>
      <c r="B16" s="335" t="s">
        <v>130</v>
      </c>
      <c r="C16" s="395">
        <v>2498104.88</v>
      </c>
      <c r="D16" s="395">
        <v>507413.84</v>
      </c>
      <c r="E16" s="395"/>
      <c r="F16" s="395"/>
      <c r="G16" s="385">
        <v>23922.365357359788</v>
      </c>
      <c r="H16" s="385">
        <v>2876.0499999999897</v>
      </c>
      <c r="I16" s="385">
        <v>4529.8015952803189</v>
      </c>
      <c r="J16" s="398"/>
      <c r="K16" s="398">
        <v>62143.42</v>
      </c>
      <c r="L16" s="398">
        <v>7310.15</v>
      </c>
      <c r="M16" s="398">
        <v>555593.55000000005</v>
      </c>
      <c r="N16" s="336">
        <f t="shared" si="0"/>
        <v>3661894.0569526395</v>
      </c>
      <c r="O16" s="400"/>
      <c r="P16" s="401">
        <v>48586.2</v>
      </c>
      <c r="Q16" s="401">
        <v>153604.75</v>
      </c>
      <c r="R16" s="402">
        <v>80.61</v>
      </c>
      <c r="S16" s="402">
        <v>120544.2</v>
      </c>
      <c r="T16" s="337">
        <f t="shared" si="1"/>
        <v>3984709.8169526397</v>
      </c>
      <c r="U16" s="403">
        <v>78.5</v>
      </c>
      <c r="V16" s="406">
        <v>1121</v>
      </c>
      <c r="W16" s="409">
        <v>-85157.28</v>
      </c>
      <c r="X16" s="410"/>
      <c r="Y16" s="410">
        <v>-112.78</v>
      </c>
      <c r="Z16" s="416">
        <v>1.5</v>
      </c>
      <c r="AA16" s="409"/>
      <c r="AB16" s="409"/>
      <c r="AC16" s="409"/>
      <c r="AD16" s="409"/>
      <c r="AE16" s="409"/>
      <c r="AF16" s="409"/>
    </row>
    <row r="17" spans="1:32" x14ac:dyDescent="0.25">
      <c r="A17" s="343">
        <v>5411</v>
      </c>
      <c r="B17" s="335" t="s">
        <v>131</v>
      </c>
      <c r="C17" s="395">
        <v>3233252.44</v>
      </c>
      <c r="D17" s="395">
        <v>1275409.08</v>
      </c>
      <c r="E17" s="395"/>
      <c r="F17" s="395"/>
      <c r="G17" s="385">
        <v>33975.163465553211</v>
      </c>
      <c r="H17" s="385">
        <v>18640.30000000001</v>
      </c>
      <c r="I17" s="385">
        <v>8893.7202877266591</v>
      </c>
      <c r="J17" s="398">
        <v>67080.78</v>
      </c>
      <c r="K17" s="398">
        <v>119038.02</v>
      </c>
      <c r="L17" s="398">
        <v>21713.05</v>
      </c>
      <c r="M17" s="398">
        <v>1180816.8</v>
      </c>
      <c r="N17" s="336">
        <f t="shared" si="0"/>
        <v>5958819.353753278</v>
      </c>
      <c r="O17" s="400">
        <v>10324.950000000001</v>
      </c>
      <c r="P17" s="401">
        <v>123078.6</v>
      </c>
      <c r="Q17" s="401">
        <v>354188.05</v>
      </c>
      <c r="R17" s="402">
        <v>-114.66</v>
      </c>
      <c r="S17" s="402">
        <v>260238.1</v>
      </c>
      <c r="T17" s="337">
        <f t="shared" si="1"/>
        <v>6706534.3937532771</v>
      </c>
      <c r="U17" s="403">
        <v>76</v>
      </c>
      <c r="V17" s="406">
        <v>1446</v>
      </c>
      <c r="W17" s="409">
        <v>-46070.25</v>
      </c>
      <c r="X17" s="410"/>
      <c r="Y17" s="410">
        <v>-608.16999999999996</v>
      </c>
      <c r="Z17" s="416">
        <v>1.5</v>
      </c>
      <c r="AA17" s="409"/>
      <c r="AB17" s="409"/>
      <c r="AC17" s="409"/>
      <c r="AD17" s="409"/>
      <c r="AE17" s="409"/>
      <c r="AF17" s="409"/>
    </row>
    <row r="18" spans="1:32" x14ac:dyDescent="0.25">
      <c r="A18" s="343">
        <v>5412</v>
      </c>
      <c r="B18" s="335" t="s">
        <v>132</v>
      </c>
      <c r="C18" s="395">
        <v>1129845.82</v>
      </c>
      <c r="D18" s="395">
        <v>148140.82999999999</v>
      </c>
      <c r="E18" s="395"/>
      <c r="F18" s="395"/>
      <c r="G18" s="385">
        <v>123023.27570727143</v>
      </c>
      <c r="H18" s="385">
        <v>28236.6</v>
      </c>
      <c r="I18" s="385">
        <v>25567.826199563973</v>
      </c>
      <c r="J18" s="398">
        <v>26681.200000000001</v>
      </c>
      <c r="K18" s="398">
        <v>83177.75</v>
      </c>
      <c r="L18" s="398">
        <v>48414.7</v>
      </c>
      <c r="M18" s="398">
        <v>217898.9</v>
      </c>
      <c r="N18" s="336">
        <f t="shared" si="0"/>
        <v>1830986.9019068354</v>
      </c>
      <c r="O18" s="400">
        <v>91968.35</v>
      </c>
      <c r="P18" s="401"/>
      <c r="Q18" s="401">
        <v>581927.75</v>
      </c>
      <c r="R18" s="402">
        <v>7537.12</v>
      </c>
      <c r="S18" s="402">
        <v>242241.05</v>
      </c>
      <c r="T18" s="337">
        <f t="shared" si="1"/>
        <v>2754661.1719068354</v>
      </c>
      <c r="U18" s="403">
        <v>67.5</v>
      </c>
      <c r="V18" s="406">
        <v>826</v>
      </c>
      <c r="W18" s="409">
        <v>-51995.75</v>
      </c>
      <c r="X18" s="410"/>
      <c r="Y18" s="410">
        <v>-62.62</v>
      </c>
      <c r="Z18" s="416">
        <v>1</v>
      </c>
      <c r="AA18" s="409"/>
      <c r="AB18" s="409"/>
      <c r="AC18" s="409"/>
      <c r="AD18" s="409"/>
      <c r="AE18" s="409"/>
      <c r="AF18" s="409"/>
    </row>
    <row r="19" spans="1:32" x14ac:dyDescent="0.25">
      <c r="A19" s="343">
        <v>5413</v>
      </c>
      <c r="B19" s="335" t="s">
        <v>133</v>
      </c>
      <c r="C19" s="395">
        <v>1906394.33</v>
      </c>
      <c r="D19" s="395">
        <v>218028.58</v>
      </c>
      <c r="E19" s="395"/>
      <c r="F19" s="395"/>
      <c r="G19" s="385">
        <v>104728.65097515674</v>
      </c>
      <c r="H19" s="385">
        <v>2306.8000000000006</v>
      </c>
      <c r="I19" s="385">
        <v>18092.46368165037</v>
      </c>
      <c r="J19" s="398"/>
      <c r="K19" s="398">
        <v>101427.47</v>
      </c>
      <c r="L19" s="398">
        <v>33889.550000000003</v>
      </c>
      <c r="M19" s="398">
        <v>244739.8</v>
      </c>
      <c r="N19" s="336">
        <f t="shared" si="0"/>
        <v>2629607.6446568067</v>
      </c>
      <c r="O19" s="400">
        <v>228358.3</v>
      </c>
      <c r="P19" s="401">
        <v>26964.3</v>
      </c>
      <c r="Q19" s="401">
        <v>247564.85</v>
      </c>
      <c r="R19" s="402">
        <v>23241.56</v>
      </c>
      <c r="S19" s="402">
        <v>87070.45</v>
      </c>
      <c r="T19" s="337">
        <f t="shared" si="1"/>
        <v>3242807.1046568067</v>
      </c>
      <c r="U19" s="403">
        <v>68</v>
      </c>
      <c r="V19" s="406">
        <v>1775</v>
      </c>
      <c r="W19" s="409">
        <v>-69426.48</v>
      </c>
      <c r="X19" s="410"/>
      <c r="Y19" s="410">
        <v>-76.510000000000005</v>
      </c>
      <c r="Z19" s="416">
        <v>1</v>
      </c>
      <c r="AA19" s="409"/>
      <c r="AB19" s="409"/>
      <c r="AC19" s="409"/>
      <c r="AD19" s="409"/>
      <c r="AE19" s="409"/>
      <c r="AF19" s="409"/>
    </row>
    <row r="20" spans="1:32" x14ac:dyDescent="0.25">
      <c r="A20" s="343">
        <v>5414</v>
      </c>
      <c r="B20" s="335" t="s">
        <v>134</v>
      </c>
      <c r="C20" s="395">
        <v>7730927.29</v>
      </c>
      <c r="D20" s="395">
        <v>1277286.3700000001</v>
      </c>
      <c r="E20" s="395"/>
      <c r="F20" s="395"/>
      <c r="G20" s="385">
        <v>220980.81219093411</v>
      </c>
      <c r="H20" s="385">
        <v>333754.30000000045</v>
      </c>
      <c r="I20" s="385">
        <v>93768.230794676027</v>
      </c>
      <c r="J20" s="398">
        <v>137304.20000000001</v>
      </c>
      <c r="K20" s="398">
        <v>500025.99</v>
      </c>
      <c r="L20" s="398">
        <v>150985.95000000001</v>
      </c>
      <c r="M20" s="398">
        <v>1200106.1000000001</v>
      </c>
      <c r="N20" s="336">
        <f t="shared" si="0"/>
        <v>11645139.24298561</v>
      </c>
      <c r="O20" s="400">
        <v>1387107.6</v>
      </c>
      <c r="P20" s="401">
        <v>640549.19999999995</v>
      </c>
      <c r="Q20" s="401">
        <v>799684.8</v>
      </c>
      <c r="R20" s="402">
        <v>35069.129999999997</v>
      </c>
      <c r="S20" s="402">
        <v>227065.15</v>
      </c>
      <c r="T20" s="337">
        <f t="shared" si="1"/>
        <v>14734615.122985611</v>
      </c>
      <c r="U20" s="403">
        <v>69</v>
      </c>
      <c r="V20" s="406">
        <v>5771</v>
      </c>
      <c r="W20" s="409">
        <v>-256734.91</v>
      </c>
      <c r="X20" s="410"/>
      <c r="Y20" s="410">
        <v>-843.06</v>
      </c>
      <c r="Z20" s="416">
        <v>1</v>
      </c>
      <c r="AA20" s="409"/>
      <c r="AB20" s="409"/>
      <c r="AC20" s="409"/>
      <c r="AD20" s="409"/>
      <c r="AE20" s="409"/>
      <c r="AF20" s="409"/>
    </row>
    <row r="21" spans="1:32" x14ac:dyDescent="0.25">
      <c r="A21" s="343">
        <v>5415</v>
      </c>
      <c r="B21" s="335" t="s">
        <v>72</v>
      </c>
      <c r="C21" s="395">
        <v>1745980.2</v>
      </c>
      <c r="D21" s="395">
        <v>272376.08</v>
      </c>
      <c r="E21" s="395"/>
      <c r="F21" s="395"/>
      <c r="G21" s="385">
        <v>86620.370767868997</v>
      </c>
      <c r="H21" s="385">
        <v>2446.6</v>
      </c>
      <c r="I21" s="385">
        <v>15055.207589365</v>
      </c>
      <c r="J21" s="398">
        <v>567.5</v>
      </c>
      <c r="K21" s="398">
        <v>64534.82</v>
      </c>
      <c r="L21" s="398">
        <v>8444.25</v>
      </c>
      <c r="M21" s="398">
        <v>309611.55</v>
      </c>
      <c r="N21" s="336">
        <f t="shared" si="0"/>
        <v>2505636.5783572337</v>
      </c>
      <c r="O21" s="400">
        <v>37308.5</v>
      </c>
      <c r="P21" s="401">
        <v>1177.9000000000001</v>
      </c>
      <c r="Q21" s="401">
        <v>90705.75</v>
      </c>
      <c r="R21" s="402">
        <v>11963.97</v>
      </c>
      <c r="S21" s="402">
        <v>47979.8</v>
      </c>
      <c r="T21" s="337">
        <f t="shared" si="1"/>
        <v>2694772.4983572336</v>
      </c>
      <c r="U21" s="403">
        <v>71.5</v>
      </c>
      <c r="V21" s="406">
        <v>1066</v>
      </c>
      <c r="W21" s="409">
        <v>-28198.14</v>
      </c>
      <c r="X21" s="410"/>
      <c r="Y21" s="410">
        <v>-634.12</v>
      </c>
      <c r="Z21" s="416">
        <v>1.5</v>
      </c>
      <c r="AA21" s="409"/>
      <c r="AB21" s="409"/>
      <c r="AC21" s="409"/>
      <c r="AD21" s="409"/>
      <c r="AE21" s="409"/>
      <c r="AF21" s="409"/>
    </row>
    <row r="22" spans="1:32" x14ac:dyDescent="0.25">
      <c r="A22" s="343">
        <v>5421</v>
      </c>
      <c r="B22" s="335" t="s">
        <v>73</v>
      </c>
      <c r="C22" s="395">
        <v>3985676.47</v>
      </c>
      <c r="D22" s="395">
        <v>876468.74</v>
      </c>
      <c r="E22" s="395"/>
      <c r="F22" s="395"/>
      <c r="G22" s="385">
        <v>66265.14164926931</v>
      </c>
      <c r="H22" s="385">
        <v>89687.750000000029</v>
      </c>
      <c r="I22" s="385">
        <v>26361.098145582218</v>
      </c>
      <c r="J22" s="398">
        <v>-387052.39</v>
      </c>
      <c r="K22" s="398">
        <v>214893.62</v>
      </c>
      <c r="L22" s="398">
        <v>12675.65</v>
      </c>
      <c r="M22" s="398">
        <v>289507.84999999998</v>
      </c>
      <c r="N22" s="336">
        <f t="shared" si="0"/>
        <v>5174483.9297948517</v>
      </c>
      <c r="O22" s="400">
        <v>27569.15</v>
      </c>
      <c r="P22" s="401">
        <v>2947.5</v>
      </c>
      <c r="Q22" s="401">
        <v>109777.35</v>
      </c>
      <c r="R22" s="402">
        <v>1238.24</v>
      </c>
      <c r="S22" s="402">
        <v>70069.399999999994</v>
      </c>
      <c r="T22" s="337">
        <f t="shared" si="1"/>
        <v>5386085.5697948523</v>
      </c>
      <c r="U22" s="403">
        <v>76</v>
      </c>
      <c r="V22" s="406">
        <v>1469</v>
      </c>
      <c r="W22" s="409">
        <v>-83924.68</v>
      </c>
      <c r="X22" s="410"/>
      <c r="Y22" s="410">
        <v>-1675.87</v>
      </c>
      <c r="Z22" s="416">
        <v>1</v>
      </c>
      <c r="AA22" s="409"/>
      <c r="AB22" s="409"/>
      <c r="AC22" s="409"/>
      <c r="AD22" s="409"/>
      <c r="AE22" s="409"/>
      <c r="AF22" s="409"/>
    </row>
    <row r="23" spans="1:32" x14ac:dyDescent="0.25">
      <c r="A23" s="343">
        <v>5422</v>
      </c>
      <c r="B23" s="335" t="s">
        <v>74</v>
      </c>
      <c r="C23" s="395">
        <v>9267611.0500000007</v>
      </c>
      <c r="D23" s="395">
        <v>1672049.4</v>
      </c>
      <c r="E23" s="395"/>
      <c r="F23" s="395"/>
      <c r="G23" s="385">
        <v>1918880.1456930581</v>
      </c>
      <c r="H23" s="385">
        <v>170206.8</v>
      </c>
      <c r="I23" s="385">
        <v>353123.46842481464</v>
      </c>
      <c r="J23" s="398">
        <v>240354.05</v>
      </c>
      <c r="K23" s="398">
        <v>669107.03</v>
      </c>
      <c r="L23" s="398">
        <v>185342.2</v>
      </c>
      <c r="M23" s="398">
        <v>944512.26</v>
      </c>
      <c r="N23" s="336">
        <f t="shared" si="0"/>
        <v>15421186.404117873</v>
      </c>
      <c r="O23" s="400">
        <v>883114.1</v>
      </c>
      <c r="P23" s="401">
        <v>461684.8</v>
      </c>
      <c r="Q23" s="401">
        <v>446452.45</v>
      </c>
      <c r="R23" s="402">
        <v>4139.51</v>
      </c>
      <c r="S23" s="402">
        <v>1448074.1</v>
      </c>
      <c r="T23" s="337">
        <f t="shared" si="1"/>
        <v>18664651.364117876</v>
      </c>
      <c r="U23" s="403">
        <v>68</v>
      </c>
      <c r="V23" s="406">
        <v>3242</v>
      </c>
      <c r="W23" s="409">
        <v>-84992.53</v>
      </c>
      <c r="X23" s="410"/>
      <c r="Y23" s="410">
        <v>-1803.41</v>
      </c>
      <c r="Z23" s="416">
        <v>1</v>
      </c>
      <c r="AA23" s="409"/>
      <c r="AB23" s="409"/>
      <c r="AC23" s="409"/>
      <c r="AD23" s="409"/>
      <c r="AE23" s="409"/>
      <c r="AF23" s="409"/>
    </row>
    <row r="24" spans="1:32" x14ac:dyDescent="0.25">
      <c r="A24" s="343">
        <v>5423</v>
      </c>
      <c r="B24" s="335" t="s">
        <v>75</v>
      </c>
      <c r="C24" s="395">
        <v>886334.04</v>
      </c>
      <c r="D24" s="395">
        <v>120359.46</v>
      </c>
      <c r="E24" s="395"/>
      <c r="F24" s="395">
        <v>2730</v>
      </c>
      <c r="G24" s="385">
        <v>20339.135604252544</v>
      </c>
      <c r="H24" s="385">
        <v>2123.1499999999996</v>
      </c>
      <c r="I24" s="385">
        <v>3796.8549933621844</v>
      </c>
      <c r="J24" s="398"/>
      <c r="K24" s="398">
        <v>60665.62</v>
      </c>
      <c r="L24" s="398">
        <v>3179.05</v>
      </c>
      <c r="M24" s="398">
        <v>37255.5</v>
      </c>
      <c r="N24" s="336">
        <f t="shared" si="0"/>
        <v>1136782.8105976149</v>
      </c>
      <c r="O24" s="400">
        <v>20050.099999999999</v>
      </c>
      <c r="P24" s="401"/>
      <c r="Q24" s="401">
        <v>20222.8</v>
      </c>
      <c r="R24" s="402">
        <v>266.7</v>
      </c>
      <c r="S24" s="402">
        <v>14117.25</v>
      </c>
      <c r="T24" s="337">
        <f t="shared" si="1"/>
        <v>1191439.6605976149</v>
      </c>
      <c r="U24" s="403">
        <v>73</v>
      </c>
      <c r="V24" s="406">
        <v>536</v>
      </c>
      <c r="W24" s="409">
        <v>-185172.08</v>
      </c>
      <c r="X24" s="410"/>
      <c r="Y24" s="412">
        <v>-214.02</v>
      </c>
      <c r="Z24" s="416">
        <v>0.5</v>
      </c>
      <c r="AA24" s="409"/>
      <c r="AB24" s="409"/>
      <c r="AC24" s="409"/>
      <c r="AD24" s="409"/>
      <c r="AE24" s="409"/>
      <c r="AF24" s="409"/>
    </row>
    <row r="25" spans="1:32" x14ac:dyDescent="0.25">
      <c r="A25" s="343">
        <v>5424</v>
      </c>
      <c r="B25" s="335" t="s">
        <v>76</v>
      </c>
      <c r="C25" s="395">
        <v>621405.15</v>
      </c>
      <c r="D25" s="395">
        <v>67691.42</v>
      </c>
      <c r="E25" s="395"/>
      <c r="F25" s="395"/>
      <c r="G25" s="385">
        <v>-279.96074226804132</v>
      </c>
      <c r="H25" s="385">
        <v>716.2</v>
      </c>
      <c r="I25" s="385">
        <v>73.738587123414703</v>
      </c>
      <c r="J25" s="398">
        <v>-741.75</v>
      </c>
      <c r="K25" s="398">
        <v>-7071.08</v>
      </c>
      <c r="L25" s="398">
        <v>767.1</v>
      </c>
      <c r="M25" s="398">
        <v>49339.9</v>
      </c>
      <c r="N25" s="336">
        <f t="shared" si="0"/>
        <v>731900.71784485551</v>
      </c>
      <c r="O25" s="400"/>
      <c r="P25" s="401"/>
      <c r="Q25" s="401">
        <v>4002.35</v>
      </c>
      <c r="R25" s="402"/>
      <c r="S25" s="402">
        <v>4550</v>
      </c>
      <c r="T25" s="337">
        <f t="shared" si="1"/>
        <v>740453.06784485548</v>
      </c>
      <c r="U25" s="403">
        <v>77</v>
      </c>
      <c r="V25" s="406">
        <v>307</v>
      </c>
      <c r="W25" s="409">
        <v>-15019.7</v>
      </c>
      <c r="X25" s="410"/>
      <c r="Y25" s="410">
        <v>-196.35</v>
      </c>
      <c r="Z25" s="416">
        <v>1</v>
      </c>
      <c r="AA25" s="409"/>
      <c r="AB25" s="409"/>
      <c r="AC25" s="409"/>
      <c r="AD25" s="409"/>
      <c r="AE25" s="409"/>
      <c r="AF25" s="409"/>
    </row>
    <row r="26" spans="1:32" x14ac:dyDescent="0.25">
      <c r="A26" s="343">
        <v>5425</v>
      </c>
      <c r="B26" s="335" t="s">
        <v>77</v>
      </c>
      <c r="C26" s="395">
        <v>2102078.29</v>
      </c>
      <c r="D26" s="395">
        <v>243700.09</v>
      </c>
      <c r="E26" s="395"/>
      <c r="F26" s="395"/>
      <c r="G26" s="385">
        <v>63217.717028003644</v>
      </c>
      <c r="H26" s="385">
        <v>1524.0499999999997</v>
      </c>
      <c r="I26" s="385">
        <v>10943.45899389817</v>
      </c>
      <c r="J26" s="398"/>
      <c r="K26" s="398">
        <v>143065.01999999999</v>
      </c>
      <c r="L26" s="398">
        <v>16082.9</v>
      </c>
      <c r="M26" s="398">
        <v>114347.15</v>
      </c>
      <c r="N26" s="336">
        <f t="shared" si="0"/>
        <v>2694958.6760219014</v>
      </c>
      <c r="O26" s="400">
        <v>57880.65</v>
      </c>
      <c r="P26" s="401">
        <v>45543.5</v>
      </c>
      <c r="Q26" s="401">
        <v>65086.1</v>
      </c>
      <c r="R26" s="402">
        <v>16103.51</v>
      </c>
      <c r="S26" s="402">
        <v>42665.15</v>
      </c>
      <c r="T26" s="337">
        <f t="shared" si="1"/>
        <v>2922237.5860219011</v>
      </c>
      <c r="U26" s="403">
        <v>70</v>
      </c>
      <c r="V26" s="406">
        <v>1595</v>
      </c>
      <c r="W26" s="409">
        <v>-98388.38</v>
      </c>
      <c r="X26" s="410"/>
      <c r="Y26" s="410">
        <v>-2.61</v>
      </c>
      <c r="Z26" s="416">
        <v>0.57999999999999996</v>
      </c>
      <c r="AA26" s="409"/>
      <c r="AB26" s="409"/>
      <c r="AC26" s="409"/>
      <c r="AD26" s="409"/>
      <c r="AE26" s="409"/>
      <c r="AF26" s="409"/>
    </row>
    <row r="27" spans="1:32" x14ac:dyDescent="0.25">
      <c r="A27" s="343">
        <v>5426</v>
      </c>
      <c r="B27" s="335" t="s">
        <v>71</v>
      </c>
      <c r="C27" s="395">
        <v>1573511.9</v>
      </c>
      <c r="D27" s="395">
        <v>852528.68</v>
      </c>
      <c r="E27" s="395"/>
      <c r="F27" s="395"/>
      <c r="G27" s="385">
        <v>8630.0612995699976</v>
      </c>
      <c r="H27" s="385">
        <v>2712.75</v>
      </c>
      <c r="I27" s="385">
        <v>1917.3030955222089</v>
      </c>
      <c r="J27" s="398">
        <v>645105.65</v>
      </c>
      <c r="K27" s="398">
        <v>22792.9</v>
      </c>
      <c r="L27" s="398">
        <v>6577.3</v>
      </c>
      <c r="M27" s="398">
        <v>291952.55</v>
      </c>
      <c r="N27" s="336">
        <f t="shared" si="0"/>
        <v>3405729.0943950918</v>
      </c>
      <c r="O27" s="400">
        <v>16551.05</v>
      </c>
      <c r="P27" s="401">
        <v>2170859.9</v>
      </c>
      <c r="Q27" s="401">
        <v>103518.8</v>
      </c>
      <c r="R27" s="402">
        <v>-6543.37</v>
      </c>
      <c r="S27" s="402">
        <v>2479.15</v>
      </c>
      <c r="T27" s="337">
        <f t="shared" si="1"/>
        <v>5692594.6243950911</v>
      </c>
      <c r="U27" s="403">
        <v>66</v>
      </c>
      <c r="V27" s="406">
        <v>490</v>
      </c>
      <c r="W27" s="409">
        <v>-5555.45</v>
      </c>
      <c r="X27" s="410"/>
      <c r="Y27" s="410">
        <v>-1636.76</v>
      </c>
      <c r="Z27" s="416">
        <v>1.2</v>
      </c>
      <c r="AA27" s="409"/>
      <c r="AB27" s="409"/>
      <c r="AC27" s="409"/>
      <c r="AD27" s="409"/>
      <c r="AE27" s="409"/>
      <c r="AF27" s="409"/>
    </row>
    <row r="28" spans="1:32" x14ac:dyDescent="0.25">
      <c r="A28" s="343">
        <v>5427</v>
      </c>
      <c r="B28" s="335" t="s">
        <v>342</v>
      </c>
      <c r="C28" s="395">
        <v>2990325.98</v>
      </c>
      <c r="D28" s="395">
        <v>938313.55</v>
      </c>
      <c r="E28" s="395"/>
      <c r="F28" s="395"/>
      <c r="G28" s="385">
        <v>14814.321259842523</v>
      </c>
      <c r="H28" s="385">
        <v>26.700000000000955</v>
      </c>
      <c r="I28" s="385">
        <v>2508.6140684792749</v>
      </c>
      <c r="J28" s="398">
        <v>395011.25</v>
      </c>
      <c r="K28" s="398">
        <v>49438.61</v>
      </c>
      <c r="L28" s="398">
        <v>4090.2</v>
      </c>
      <c r="M28" s="398">
        <v>447774.05</v>
      </c>
      <c r="N28" s="336">
        <f t="shared" si="0"/>
        <v>4842303.2753283223</v>
      </c>
      <c r="O28" s="400">
        <v>11374.1</v>
      </c>
      <c r="P28" s="401">
        <v>37690.199999999997</v>
      </c>
      <c r="Q28" s="401">
        <v>252488.85</v>
      </c>
      <c r="R28" s="402"/>
      <c r="S28" s="402">
        <v>134378.15</v>
      </c>
      <c r="T28" s="337">
        <f t="shared" si="1"/>
        <v>5278234.5753283221</v>
      </c>
      <c r="U28" s="403">
        <v>64</v>
      </c>
      <c r="V28" s="406">
        <v>860</v>
      </c>
      <c r="W28" s="409">
        <v>-80706.03</v>
      </c>
      <c r="X28" s="410"/>
      <c r="Y28" s="410">
        <v>0</v>
      </c>
      <c r="Z28" s="416">
        <v>1.3</v>
      </c>
      <c r="AA28" s="409"/>
      <c r="AB28" s="409"/>
      <c r="AC28" s="409"/>
      <c r="AD28" s="409"/>
      <c r="AE28" s="409"/>
      <c r="AF28" s="409"/>
    </row>
    <row r="29" spans="1:32" x14ac:dyDescent="0.25">
      <c r="A29" s="343">
        <v>5428</v>
      </c>
      <c r="B29" s="335" t="s">
        <v>343</v>
      </c>
      <c r="C29" s="395">
        <v>3232223.54</v>
      </c>
      <c r="D29" s="395">
        <v>389732.7</v>
      </c>
      <c r="E29" s="395"/>
      <c r="F29" s="395"/>
      <c r="G29" s="385">
        <v>73542.222327948635</v>
      </c>
      <c r="H29" s="385">
        <v>16382.900000000005</v>
      </c>
      <c r="I29" s="385">
        <v>15200.263043353756</v>
      </c>
      <c r="J29" s="398">
        <v>42710.15</v>
      </c>
      <c r="K29" s="398">
        <v>162212.21</v>
      </c>
      <c r="L29" s="398">
        <v>15766.45</v>
      </c>
      <c r="M29" s="398">
        <v>397909.5</v>
      </c>
      <c r="N29" s="336">
        <f t="shared" si="0"/>
        <v>4345679.9353713021</v>
      </c>
      <c r="O29" s="400">
        <v>228410.25</v>
      </c>
      <c r="P29" s="401">
        <v>124279.5</v>
      </c>
      <c r="Q29" s="401">
        <v>386124.45</v>
      </c>
      <c r="R29" s="402">
        <v>8198.9500000000007</v>
      </c>
      <c r="S29" s="402">
        <v>194064.55</v>
      </c>
      <c r="T29" s="337">
        <f t="shared" si="1"/>
        <v>5286757.6353713023</v>
      </c>
      <c r="U29" s="403">
        <v>71.5</v>
      </c>
      <c r="V29" s="406">
        <v>2186</v>
      </c>
      <c r="W29" s="409">
        <v>-75426.34</v>
      </c>
      <c r="X29" s="410"/>
      <c r="Y29" s="410">
        <v>-59.63</v>
      </c>
      <c r="Z29" s="416">
        <v>1.2</v>
      </c>
      <c r="AA29" s="409"/>
      <c r="AB29" s="409"/>
      <c r="AC29" s="409"/>
      <c r="AD29" s="409"/>
      <c r="AE29" s="409"/>
      <c r="AF29" s="409"/>
    </row>
    <row r="30" spans="1:32" x14ac:dyDescent="0.25">
      <c r="A30" s="343">
        <v>5429</v>
      </c>
      <c r="B30" s="335" t="s">
        <v>363</v>
      </c>
      <c r="C30" s="395">
        <v>864096.02</v>
      </c>
      <c r="D30" s="395">
        <v>131721.31</v>
      </c>
      <c r="E30" s="395"/>
      <c r="F30" s="395"/>
      <c r="G30" s="385">
        <v>2290.9145215169974</v>
      </c>
      <c r="H30" s="385">
        <v>288</v>
      </c>
      <c r="I30" s="385">
        <v>435.92021982937882</v>
      </c>
      <c r="J30" s="398"/>
      <c r="K30" s="398">
        <v>24882.77</v>
      </c>
      <c r="L30" s="398">
        <v>1589.4</v>
      </c>
      <c r="M30" s="398">
        <v>95963.8</v>
      </c>
      <c r="N30" s="336">
        <f t="shared" si="0"/>
        <v>1121268.1347413466</v>
      </c>
      <c r="O30" s="400"/>
      <c r="P30" s="401"/>
      <c r="Q30" s="401">
        <v>44047.7</v>
      </c>
      <c r="R30" s="402">
        <v>1131.28</v>
      </c>
      <c r="S30" s="402">
        <v>28737.7</v>
      </c>
      <c r="T30" s="337">
        <f t="shared" si="1"/>
        <v>1195184.8147413465</v>
      </c>
      <c r="U30" s="403">
        <v>81</v>
      </c>
      <c r="V30" s="406">
        <v>478</v>
      </c>
      <c r="W30" s="409">
        <v>-7247.67</v>
      </c>
      <c r="X30" s="410"/>
      <c r="Y30" s="410">
        <v>-42.22</v>
      </c>
      <c r="Z30" s="416">
        <v>1</v>
      </c>
      <c r="AA30" s="409"/>
      <c r="AB30" s="409"/>
      <c r="AC30" s="409"/>
      <c r="AD30" s="409"/>
      <c r="AE30" s="409"/>
      <c r="AF30" s="409"/>
    </row>
    <row r="31" spans="1:32" x14ac:dyDescent="0.25">
      <c r="A31" s="343">
        <v>5430</v>
      </c>
      <c r="B31" s="335" t="s">
        <v>364</v>
      </c>
      <c r="C31" s="395">
        <v>836623.88</v>
      </c>
      <c r="D31" s="395">
        <v>103511.62</v>
      </c>
      <c r="E31" s="395"/>
      <c r="F31" s="395"/>
      <c r="G31" s="385">
        <v>38016.570406520426</v>
      </c>
      <c r="H31" s="385">
        <v>1025.0999999999999</v>
      </c>
      <c r="I31" s="385">
        <v>6599.3088968708435</v>
      </c>
      <c r="J31" s="398"/>
      <c r="K31" s="398">
        <v>12134.07</v>
      </c>
      <c r="L31" s="398">
        <v>433.1</v>
      </c>
      <c r="M31" s="398">
        <v>85449.7</v>
      </c>
      <c r="N31" s="336">
        <f t="shared" si="0"/>
        <v>1083793.3493033911</v>
      </c>
      <c r="O31" s="400">
        <v>6788.55</v>
      </c>
      <c r="P31" s="401">
        <v>8961.7999999999993</v>
      </c>
      <c r="Q31" s="401">
        <v>48220.15</v>
      </c>
      <c r="R31" s="402">
        <v>10756.33</v>
      </c>
      <c r="S31" s="402">
        <v>12398.85</v>
      </c>
      <c r="T31" s="337">
        <f t="shared" si="1"/>
        <v>1170919.0293033912</v>
      </c>
      <c r="U31" s="403">
        <v>79</v>
      </c>
      <c r="V31" s="406">
        <v>463</v>
      </c>
      <c r="W31" s="409">
        <v>-13287.86</v>
      </c>
      <c r="X31" s="410"/>
      <c r="Y31" s="410">
        <v>-72.08</v>
      </c>
      <c r="Z31" s="416">
        <v>1</v>
      </c>
      <c r="AA31" s="409"/>
      <c r="AB31" s="409"/>
      <c r="AC31" s="409"/>
      <c r="AD31" s="409"/>
      <c r="AE31" s="409"/>
      <c r="AF31" s="409"/>
    </row>
    <row r="32" spans="1:32" x14ac:dyDescent="0.25">
      <c r="A32" s="343">
        <v>5431</v>
      </c>
      <c r="B32" s="335" t="s">
        <v>365</v>
      </c>
      <c r="C32" s="395">
        <v>514597.83</v>
      </c>
      <c r="D32" s="395">
        <v>68282.990000000005</v>
      </c>
      <c r="E32" s="395"/>
      <c r="F32" s="395"/>
      <c r="G32" s="385">
        <v>-75.8408993576017</v>
      </c>
      <c r="H32" s="385">
        <v>164.59999999999997</v>
      </c>
      <c r="I32" s="385">
        <v>15.003167550172405</v>
      </c>
      <c r="J32" s="398"/>
      <c r="K32" s="398">
        <v>7809.53</v>
      </c>
      <c r="L32" s="398">
        <v>300.85000000000002</v>
      </c>
      <c r="M32" s="398">
        <v>48212.800000000003</v>
      </c>
      <c r="N32" s="336">
        <f t="shared" si="0"/>
        <v>639307.76226819272</v>
      </c>
      <c r="O32" s="400">
        <v>275.7</v>
      </c>
      <c r="P32" s="401">
        <v>51520</v>
      </c>
      <c r="Q32" s="401">
        <v>42447.1</v>
      </c>
      <c r="R32" s="402">
        <v>277.45</v>
      </c>
      <c r="S32" s="402">
        <v>1102.5</v>
      </c>
      <c r="T32" s="337">
        <f t="shared" si="1"/>
        <v>734930.5122681926</v>
      </c>
      <c r="U32" s="403">
        <v>74</v>
      </c>
      <c r="V32" s="406">
        <v>283</v>
      </c>
      <c r="W32" s="409">
        <v>-357.13</v>
      </c>
      <c r="X32" s="410"/>
      <c r="Y32" s="410">
        <v>-531.15</v>
      </c>
      <c r="Z32" s="416">
        <v>1</v>
      </c>
      <c r="AA32" s="409"/>
      <c r="AB32" s="409"/>
      <c r="AC32" s="409"/>
      <c r="AD32" s="409"/>
      <c r="AE32" s="409"/>
      <c r="AF32" s="409"/>
    </row>
    <row r="33" spans="1:32" x14ac:dyDescent="0.25">
      <c r="A33" s="343">
        <v>5432</v>
      </c>
      <c r="B33" s="335" t="s">
        <v>366</v>
      </c>
      <c r="C33" s="395">
        <v>1156707.3400000001</v>
      </c>
      <c r="D33" s="395">
        <v>106300.44</v>
      </c>
      <c r="E33" s="395"/>
      <c r="F33" s="395"/>
      <c r="G33" s="385">
        <v>12353.558452138494</v>
      </c>
      <c r="H33" s="385">
        <v>2290.1000000000004</v>
      </c>
      <c r="I33" s="385">
        <v>2475.2533510911403</v>
      </c>
      <c r="J33" s="398"/>
      <c r="K33" s="398">
        <v>49648.160000000003</v>
      </c>
      <c r="L33" s="398">
        <v>5014.3</v>
      </c>
      <c r="M33" s="398">
        <v>94546.1</v>
      </c>
      <c r="N33" s="336">
        <f t="shared" si="0"/>
        <v>1429335.2518032298</v>
      </c>
      <c r="O33" s="400">
        <v>16499.2</v>
      </c>
      <c r="P33" s="401"/>
      <c r="Q33" s="401">
        <v>24744.5</v>
      </c>
      <c r="R33" s="402">
        <v>8483.11</v>
      </c>
      <c r="S33" s="402">
        <v>20579.05</v>
      </c>
      <c r="T33" s="337">
        <f t="shared" si="1"/>
        <v>1499641.1118032299</v>
      </c>
      <c r="U33" s="403">
        <v>78</v>
      </c>
      <c r="V33" s="406">
        <v>536</v>
      </c>
      <c r="W33" s="409">
        <v>-12190.48</v>
      </c>
      <c r="X33" s="410">
        <v>-12258.4</v>
      </c>
      <c r="Y33" s="410">
        <v>-26.32</v>
      </c>
      <c r="Z33" s="416">
        <v>1</v>
      </c>
      <c r="AA33" s="409"/>
      <c r="AB33" s="409"/>
      <c r="AC33" s="409"/>
      <c r="AD33" s="409"/>
      <c r="AE33" s="409"/>
      <c r="AF33" s="409"/>
    </row>
    <row r="34" spans="1:32" x14ac:dyDescent="0.25">
      <c r="A34" s="343">
        <v>5434</v>
      </c>
      <c r="B34" s="335" t="s">
        <v>367</v>
      </c>
      <c r="C34" s="395">
        <v>2348283.33</v>
      </c>
      <c r="D34" s="395"/>
      <c r="E34" s="395"/>
      <c r="F34" s="395"/>
      <c r="G34" s="385">
        <v>8997.5179327244387</v>
      </c>
      <c r="H34" s="385">
        <v>1852.6</v>
      </c>
      <c r="I34" s="385">
        <v>1834.0219324623895</v>
      </c>
      <c r="J34" s="398"/>
      <c r="K34" s="398">
        <v>31754.76</v>
      </c>
      <c r="L34" s="398">
        <v>3299.7</v>
      </c>
      <c r="M34" s="398">
        <v>222583.8</v>
      </c>
      <c r="N34" s="336">
        <f t="shared" si="0"/>
        <v>2618605.7298651864</v>
      </c>
      <c r="O34" s="400">
        <v>35998.949999999997</v>
      </c>
      <c r="P34" s="401">
        <v>49856.9</v>
      </c>
      <c r="Q34" s="401">
        <v>190495.25</v>
      </c>
      <c r="R34" s="402">
        <v>940.55</v>
      </c>
      <c r="S34" s="402">
        <v>85786.5</v>
      </c>
      <c r="T34" s="337">
        <f t="shared" si="1"/>
        <v>2981683.8798651863</v>
      </c>
      <c r="U34" s="403">
        <v>71</v>
      </c>
      <c r="V34" s="406">
        <v>1031</v>
      </c>
      <c r="W34" s="409">
        <v>-15696.46</v>
      </c>
      <c r="X34" s="410"/>
      <c r="Y34" s="410">
        <v>0</v>
      </c>
      <c r="Z34" s="416">
        <v>1</v>
      </c>
      <c r="AA34" s="409"/>
      <c r="AB34" s="409"/>
      <c r="AC34" s="409"/>
      <c r="AD34" s="409"/>
      <c r="AE34" s="409"/>
      <c r="AF34" s="409"/>
    </row>
    <row r="35" spans="1:32" x14ac:dyDescent="0.25">
      <c r="A35" s="343">
        <v>5435</v>
      </c>
      <c r="B35" s="335" t="s">
        <v>344</v>
      </c>
      <c r="C35" s="395">
        <v>1453756.71</v>
      </c>
      <c r="D35" s="395">
        <v>177545.11</v>
      </c>
      <c r="E35" s="395"/>
      <c r="F35" s="395"/>
      <c r="G35" s="385">
        <v>865.67846840659354</v>
      </c>
      <c r="H35" s="385">
        <v>207.80000000000004</v>
      </c>
      <c r="I35" s="385">
        <v>181.45268717733376</v>
      </c>
      <c r="J35" s="398"/>
      <c r="K35" s="398">
        <v>-64499.29</v>
      </c>
      <c r="L35" s="398"/>
      <c r="M35" s="398">
        <v>122559</v>
      </c>
      <c r="N35" s="336">
        <f t="shared" si="0"/>
        <v>1690616.4611555838</v>
      </c>
      <c r="O35" s="400">
        <v>1718.3</v>
      </c>
      <c r="P35" s="401"/>
      <c r="Q35" s="401">
        <v>45574.15</v>
      </c>
      <c r="R35" s="402">
        <v>2844.54</v>
      </c>
      <c r="S35" s="402">
        <v>42020.45</v>
      </c>
      <c r="T35" s="337">
        <f t="shared" si="1"/>
        <v>1782773.9011555838</v>
      </c>
      <c r="U35" s="403">
        <v>69</v>
      </c>
      <c r="V35" s="406">
        <v>690</v>
      </c>
      <c r="W35" s="409">
        <v>-28183.34</v>
      </c>
      <c r="X35" s="410"/>
      <c r="Y35" s="410">
        <v>-9.75</v>
      </c>
      <c r="Z35" s="416">
        <v>1</v>
      </c>
      <c r="AA35" s="409"/>
      <c r="AB35" s="409"/>
      <c r="AC35" s="409"/>
      <c r="AD35" s="409"/>
      <c r="AE35" s="409"/>
      <c r="AF35" s="409"/>
    </row>
    <row r="36" spans="1:32" x14ac:dyDescent="0.25">
      <c r="A36" s="343">
        <v>5436</v>
      </c>
      <c r="B36" s="335" t="s">
        <v>345</v>
      </c>
      <c r="C36" s="395">
        <v>1118145.95</v>
      </c>
      <c r="D36" s="395">
        <v>70300.06</v>
      </c>
      <c r="E36" s="395"/>
      <c r="F36" s="395"/>
      <c r="G36" s="385">
        <v>472.22872863037918</v>
      </c>
      <c r="H36" s="385">
        <v>1206.4000000000001</v>
      </c>
      <c r="I36" s="385">
        <v>283.74271356850892</v>
      </c>
      <c r="J36" s="398"/>
      <c r="K36" s="398">
        <v>3099.33</v>
      </c>
      <c r="L36" s="398"/>
      <c r="M36" s="398">
        <v>54391.05</v>
      </c>
      <c r="N36" s="336">
        <f t="shared" si="0"/>
        <v>1247898.7614421989</v>
      </c>
      <c r="O36" s="400"/>
      <c r="P36" s="401"/>
      <c r="Q36" s="401">
        <v>77523.7</v>
      </c>
      <c r="R36" s="402"/>
      <c r="S36" s="402">
        <v>36951.15</v>
      </c>
      <c r="T36" s="337">
        <f t="shared" si="1"/>
        <v>1362373.6114421987</v>
      </c>
      <c r="U36" s="403">
        <v>81</v>
      </c>
      <c r="V36" s="406">
        <v>448</v>
      </c>
      <c r="W36" s="409">
        <v>-39468.68</v>
      </c>
      <c r="X36" s="410"/>
      <c r="Y36" s="410">
        <v>-441.14</v>
      </c>
      <c r="Z36" s="416">
        <v>0.8</v>
      </c>
      <c r="AA36" s="409"/>
      <c r="AB36" s="409"/>
      <c r="AC36" s="409"/>
      <c r="AD36" s="409"/>
      <c r="AE36" s="409"/>
      <c r="AF36" s="409"/>
    </row>
    <row r="37" spans="1:32" x14ac:dyDescent="0.25">
      <c r="A37" s="343">
        <v>5437</v>
      </c>
      <c r="B37" s="335" t="s">
        <v>346</v>
      </c>
      <c r="C37" s="395">
        <v>720054.3</v>
      </c>
      <c r="D37" s="395">
        <v>63539.37</v>
      </c>
      <c r="E37" s="395"/>
      <c r="F37" s="395"/>
      <c r="G37" s="385">
        <v>4427.6299065420562</v>
      </c>
      <c r="H37" s="385">
        <v>243.4</v>
      </c>
      <c r="I37" s="385">
        <v>789.55559275057396</v>
      </c>
      <c r="J37" s="398"/>
      <c r="K37" s="398">
        <v>51048.36</v>
      </c>
      <c r="L37" s="398">
        <v>746.35</v>
      </c>
      <c r="M37" s="398">
        <v>64529.25</v>
      </c>
      <c r="N37" s="336">
        <f t="shared" si="0"/>
        <v>905378.21549929259</v>
      </c>
      <c r="O37" s="400"/>
      <c r="P37" s="401">
        <v>34735.599999999999</v>
      </c>
      <c r="Q37" s="401">
        <v>29260</v>
      </c>
      <c r="R37" s="402">
        <v>12233.07</v>
      </c>
      <c r="S37" s="402">
        <v>17928.349999999999</v>
      </c>
      <c r="T37" s="337">
        <f t="shared" si="1"/>
        <v>999535.2354992925</v>
      </c>
      <c r="U37" s="403">
        <v>80</v>
      </c>
      <c r="V37" s="406">
        <v>418</v>
      </c>
      <c r="W37" s="409">
        <v>-8158.17</v>
      </c>
      <c r="X37" s="410"/>
      <c r="Y37" s="410">
        <v>-49.96</v>
      </c>
      <c r="Z37" s="416">
        <v>1</v>
      </c>
      <c r="AA37" s="409"/>
      <c r="AB37" s="409"/>
      <c r="AC37" s="409"/>
      <c r="AD37" s="409"/>
      <c r="AE37" s="409"/>
      <c r="AF37" s="409"/>
    </row>
    <row r="38" spans="1:32" x14ac:dyDescent="0.25">
      <c r="A38" s="343">
        <v>5451</v>
      </c>
      <c r="B38" s="335" t="s">
        <v>347</v>
      </c>
      <c r="C38" s="395">
        <v>5341058.51</v>
      </c>
      <c r="D38" s="395">
        <v>548898.56999999995</v>
      </c>
      <c r="E38" s="395"/>
      <c r="F38" s="395"/>
      <c r="G38" s="385">
        <v>1451345.9506036681</v>
      </c>
      <c r="H38" s="385">
        <v>79564.849999999962</v>
      </c>
      <c r="I38" s="385">
        <v>258773.591435579</v>
      </c>
      <c r="J38" s="398"/>
      <c r="K38" s="398">
        <v>336376.17</v>
      </c>
      <c r="L38" s="398">
        <v>132495.65</v>
      </c>
      <c r="M38" s="398">
        <v>1345236.4</v>
      </c>
      <c r="N38" s="336">
        <f t="shared" si="0"/>
        <v>9493749.6920392457</v>
      </c>
      <c r="O38" s="400">
        <v>582876.80000000005</v>
      </c>
      <c r="P38" s="401">
        <v>87250.7</v>
      </c>
      <c r="Q38" s="401">
        <v>604917.30000000005</v>
      </c>
      <c r="R38" s="402">
        <v>60112.98</v>
      </c>
      <c r="S38" s="402">
        <v>342241.9</v>
      </c>
      <c r="T38" s="337">
        <f t="shared" si="1"/>
        <v>11171149.372039247</v>
      </c>
      <c r="U38" s="403">
        <v>68</v>
      </c>
      <c r="V38" s="406">
        <v>4282</v>
      </c>
      <c r="W38" s="409">
        <v>-301396.52</v>
      </c>
      <c r="X38" s="410"/>
      <c r="Y38" s="410">
        <v>-90.14</v>
      </c>
      <c r="Z38" s="416">
        <v>1.5</v>
      </c>
      <c r="AA38" s="409"/>
      <c r="AB38" s="409"/>
      <c r="AC38" s="409"/>
      <c r="AD38" s="409"/>
      <c r="AE38" s="409"/>
      <c r="AF38" s="409"/>
    </row>
    <row r="39" spans="1:32" x14ac:dyDescent="0.25">
      <c r="A39" s="343">
        <v>5456</v>
      </c>
      <c r="B39" s="335" t="s">
        <v>348</v>
      </c>
      <c r="C39" s="395">
        <v>2703953.18</v>
      </c>
      <c r="D39" s="395">
        <v>284217.96000000002</v>
      </c>
      <c r="E39" s="395"/>
      <c r="F39" s="395"/>
      <c r="G39" s="385">
        <v>92929.580446927372</v>
      </c>
      <c r="H39" s="385">
        <v>3339.2000000000007</v>
      </c>
      <c r="I39" s="385">
        <v>16272.547067766081</v>
      </c>
      <c r="J39" s="398"/>
      <c r="K39" s="398">
        <v>36756.33</v>
      </c>
      <c r="L39" s="398">
        <v>9478.5499999999993</v>
      </c>
      <c r="M39" s="398">
        <v>463541.25</v>
      </c>
      <c r="N39" s="336">
        <f t="shared" si="0"/>
        <v>3610488.5975146936</v>
      </c>
      <c r="O39" s="400">
        <v>10293.4</v>
      </c>
      <c r="P39" s="401">
        <v>29432.400000000001</v>
      </c>
      <c r="Q39" s="401">
        <v>319251.34999999998</v>
      </c>
      <c r="R39" s="402">
        <v>6794.66</v>
      </c>
      <c r="S39" s="402">
        <v>160243.54999999999</v>
      </c>
      <c r="T39" s="337">
        <f t="shared" si="1"/>
        <v>4136503.9575146935</v>
      </c>
      <c r="U39" s="403">
        <v>59</v>
      </c>
      <c r="V39" s="406">
        <v>1633</v>
      </c>
      <c r="W39" s="409">
        <v>-54012.65</v>
      </c>
      <c r="X39" s="410"/>
      <c r="Y39" s="410">
        <v>-7.67</v>
      </c>
      <c r="Z39" s="416">
        <v>1.5</v>
      </c>
      <c r="AA39" s="409"/>
      <c r="AB39" s="409"/>
      <c r="AC39" s="409"/>
      <c r="AD39" s="409"/>
      <c r="AE39" s="409"/>
      <c r="AF39" s="409"/>
    </row>
    <row r="40" spans="1:32" x14ac:dyDescent="0.25">
      <c r="A40" s="343">
        <v>5458</v>
      </c>
      <c r="B40" s="335" t="s">
        <v>349</v>
      </c>
      <c r="C40" s="395">
        <v>1463088.16</v>
      </c>
      <c r="D40" s="395">
        <v>237972.58</v>
      </c>
      <c r="E40" s="395"/>
      <c r="F40" s="395"/>
      <c r="G40" s="385">
        <v>31496.45499507874</v>
      </c>
      <c r="H40" s="385">
        <v>744.89999999999986</v>
      </c>
      <c r="I40" s="385">
        <v>5449.8349750593434</v>
      </c>
      <c r="J40" s="398"/>
      <c r="K40" s="398">
        <v>51963.93</v>
      </c>
      <c r="L40" s="398">
        <v>9656.9500000000007</v>
      </c>
      <c r="M40" s="398">
        <v>170789.35</v>
      </c>
      <c r="N40" s="336">
        <f t="shared" si="0"/>
        <v>1971162.159970138</v>
      </c>
      <c r="O40" s="400"/>
      <c r="P40" s="401">
        <v>2516.8000000000002</v>
      </c>
      <c r="Q40" s="401">
        <v>125399.1</v>
      </c>
      <c r="R40" s="402">
        <v>14468.67</v>
      </c>
      <c r="S40" s="402">
        <v>122359.35</v>
      </c>
      <c r="T40" s="337">
        <f t="shared" si="1"/>
        <v>2235906.0799701381</v>
      </c>
      <c r="U40" s="403">
        <v>64</v>
      </c>
      <c r="V40" s="406">
        <v>904</v>
      </c>
      <c r="W40" s="409">
        <v>-63758.67</v>
      </c>
      <c r="X40" s="410"/>
      <c r="Y40" s="410">
        <v>-141.69999999999999</v>
      </c>
      <c r="Z40" s="416">
        <v>1</v>
      </c>
      <c r="AA40" s="409"/>
      <c r="AB40" s="409"/>
      <c r="AC40" s="409"/>
      <c r="AD40" s="409"/>
      <c r="AE40" s="409"/>
      <c r="AF40" s="409"/>
    </row>
    <row r="41" spans="1:32" x14ac:dyDescent="0.25">
      <c r="A41" s="343">
        <v>5464</v>
      </c>
      <c r="B41" s="335" t="s">
        <v>430</v>
      </c>
      <c r="C41" s="395">
        <v>5310604.6100000003</v>
      </c>
      <c r="D41" s="395">
        <v>935785.63</v>
      </c>
      <c r="E41" s="395"/>
      <c r="F41" s="395"/>
      <c r="G41" s="385">
        <v>21766.433717918524</v>
      </c>
      <c r="H41" s="385">
        <v>7065.3999999999978</v>
      </c>
      <c r="I41" s="385">
        <v>4873.5152668053643</v>
      </c>
      <c r="J41" s="398"/>
      <c r="K41" s="398">
        <v>115915.85</v>
      </c>
      <c r="L41" s="398">
        <v>26287.95</v>
      </c>
      <c r="M41" s="398">
        <v>934606.05</v>
      </c>
      <c r="N41" s="336">
        <f t="shared" si="0"/>
        <v>7356905.4389847238</v>
      </c>
      <c r="O41" s="400"/>
      <c r="P41" s="401">
        <v>289968.3</v>
      </c>
      <c r="Q41" s="401">
        <v>320190.15000000002</v>
      </c>
      <c r="R41" s="402">
        <v>24475.95</v>
      </c>
      <c r="S41" s="402">
        <v>169581.8</v>
      </c>
      <c r="T41" s="337">
        <f t="shared" si="1"/>
        <v>8161121.6389847239</v>
      </c>
      <c r="U41" s="403">
        <v>67</v>
      </c>
      <c r="V41" s="406">
        <v>3163</v>
      </c>
      <c r="W41" s="409">
        <v>-121626.08</v>
      </c>
      <c r="X41" s="410"/>
      <c r="Y41" s="410">
        <v>-499.04</v>
      </c>
      <c r="Z41" s="416">
        <v>1.5</v>
      </c>
      <c r="AA41" s="409"/>
      <c r="AB41" s="409"/>
      <c r="AC41" s="409"/>
      <c r="AD41" s="409"/>
      <c r="AE41" s="409"/>
      <c r="AF41" s="409"/>
    </row>
    <row r="42" spans="1:32" x14ac:dyDescent="0.25">
      <c r="A42" s="343">
        <v>5471</v>
      </c>
      <c r="B42" s="335" t="s">
        <v>350</v>
      </c>
      <c r="C42" s="395">
        <v>1025129.68</v>
      </c>
      <c r="D42" s="395">
        <v>88482.96</v>
      </c>
      <c r="E42" s="395"/>
      <c r="F42" s="395"/>
      <c r="G42" s="385">
        <v>24417.037669376696</v>
      </c>
      <c r="H42" s="385">
        <v>3306.4</v>
      </c>
      <c r="I42" s="385">
        <v>4686.160375781621</v>
      </c>
      <c r="J42" s="398"/>
      <c r="K42" s="398">
        <v>16630.55</v>
      </c>
      <c r="L42" s="398">
        <v>6092</v>
      </c>
      <c r="M42" s="398">
        <v>103319.35</v>
      </c>
      <c r="N42" s="336">
        <f t="shared" si="0"/>
        <v>1272064.1380451585</v>
      </c>
      <c r="O42" s="400">
        <v>17517.349999999999</v>
      </c>
      <c r="P42" s="401"/>
      <c r="Q42" s="401">
        <v>61981.05</v>
      </c>
      <c r="R42" s="402">
        <v>2829.85</v>
      </c>
      <c r="S42" s="402">
        <v>429.85</v>
      </c>
      <c r="T42" s="337">
        <f t="shared" si="1"/>
        <v>1354822.2380451588</v>
      </c>
      <c r="U42" s="403">
        <v>70</v>
      </c>
      <c r="V42" s="406">
        <v>592</v>
      </c>
      <c r="W42" s="409">
        <v>-7715.8</v>
      </c>
      <c r="X42" s="410"/>
      <c r="Y42" s="410">
        <v>-682.53</v>
      </c>
      <c r="Z42" s="416">
        <v>0.9</v>
      </c>
      <c r="AA42" s="409"/>
      <c r="AB42" s="409"/>
      <c r="AC42" s="409"/>
      <c r="AD42" s="409"/>
      <c r="AE42" s="409"/>
      <c r="AF42" s="409"/>
    </row>
    <row r="43" spans="1:32" x14ac:dyDescent="0.25">
      <c r="A43" s="343">
        <v>5472</v>
      </c>
      <c r="B43" s="335" t="s">
        <v>351</v>
      </c>
      <c r="C43" s="395">
        <v>991613.25</v>
      </c>
      <c r="D43" s="395">
        <v>142227.71</v>
      </c>
      <c r="E43" s="395"/>
      <c r="F43" s="395"/>
      <c r="G43" s="385">
        <v>7105.6167014613775</v>
      </c>
      <c r="H43" s="385">
        <v>-53.199999999999982</v>
      </c>
      <c r="I43" s="385">
        <v>1192.0872185484586</v>
      </c>
      <c r="J43" s="398"/>
      <c r="K43" s="398">
        <v>25919.01</v>
      </c>
      <c r="L43" s="398">
        <v>1389</v>
      </c>
      <c r="M43" s="398">
        <v>88402.15</v>
      </c>
      <c r="N43" s="336">
        <f t="shared" si="0"/>
        <v>1257795.6239200097</v>
      </c>
      <c r="O43" s="400"/>
      <c r="P43" s="401"/>
      <c r="Q43" s="401">
        <v>32083.85</v>
      </c>
      <c r="R43" s="402"/>
      <c r="S43" s="402">
        <v>9733.2999999999993</v>
      </c>
      <c r="T43" s="337">
        <f t="shared" si="1"/>
        <v>1299612.7739200098</v>
      </c>
      <c r="U43" s="403">
        <v>76</v>
      </c>
      <c r="V43" s="406">
        <v>404</v>
      </c>
      <c r="W43" s="409">
        <v>-7805.18</v>
      </c>
      <c r="X43" s="410"/>
      <c r="Y43" s="410">
        <v>-90.07</v>
      </c>
      <c r="Z43" s="416">
        <v>1</v>
      </c>
      <c r="AA43" s="409"/>
      <c r="AB43" s="409"/>
      <c r="AC43" s="409"/>
      <c r="AD43" s="409"/>
      <c r="AE43" s="409"/>
      <c r="AF43" s="409"/>
    </row>
    <row r="44" spans="1:32" x14ac:dyDescent="0.25">
      <c r="A44" s="343">
        <v>5473</v>
      </c>
      <c r="B44" s="335" t="s">
        <v>209</v>
      </c>
      <c r="C44" s="395">
        <v>2062736.46</v>
      </c>
      <c r="D44" s="395">
        <v>167621.69</v>
      </c>
      <c r="E44" s="395"/>
      <c r="F44" s="395"/>
      <c r="G44" s="385">
        <v>59165.310989010992</v>
      </c>
      <c r="H44" s="385">
        <v>341.2</v>
      </c>
      <c r="I44" s="385">
        <v>10058.53088001934</v>
      </c>
      <c r="J44" s="398"/>
      <c r="K44" s="398">
        <v>14930.43</v>
      </c>
      <c r="L44" s="398">
        <v>4488.2</v>
      </c>
      <c r="M44" s="398">
        <v>175827.1</v>
      </c>
      <c r="N44" s="336">
        <f t="shared" si="0"/>
        <v>2495168.9218690312</v>
      </c>
      <c r="O44" s="400"/>
      <c r="P44" s="401"/>
      <c r="Q44" s="401">
        <v>59371.35</v>
      </c>
      <c r="R44" s="402">
        <v>7069.78</v>
      </c>
      <c r="S44" s="402">
        <v>21331.5</v>
      </c>
      <c r="T44" s="337">
        <f t="shared" si="1"/>
        <v>2582941.551869031</v>
      </c>
      <c r="U44" s="403">
        <v>69</v>
      </c>
      <c r="V44" s="406">
        <v>968</v>
      </c>
      <c r="W44" s="409">
        <v>-34359.550000000003</v>
      </c>
      <c r="X44" s="410"/>
      <c r="Y44" s="410">
        <v>-42.26</v>
      </c>
      <c r="Z44" s="416">
        <v>1</v>
      </c>
      <c r="AA44" s="409"/>
      <c r="AB44" s="409"/>
      <c r="AC44" s="409"/>
      <c r="AD44" s="409"/>
      <c r="AE44" s="409"/>
      <c r="AF44" s="409"/>
    </row>
    <row r="45" spans="1:32" x14ac:dyDescent="0.25">
      <c r="A45" s="343">
        <v>5474</v>
      </c>
      <c r="B45" s="335" t="s">
        <v>210</v>
      </c>
      <c r="C45" s="395">
        <v>786794.46</v>
      </c>
      <c r="D45" s="395">
        <v>97568.639999999999</v>
      </c>
      <c r="E45" s="395"/>
      <c r="F45" s="395"/>
      <c r="G45" s="385">
        <v>1100.5855670103097</v>
      </c>
      <c r="H45" s="385">
        <v>181.59999999999997</v>
      </c>
      <c r="I45" s="385">
        <v>216.73095776141139</v>
      </c>
      <c r="J45" s="398">
        <v>37946</v>
      </c>
      <c r="K45" s="398">
        <v>4262.05</v>
      </c>
      <c r="L45" s="398">
        <v>845</v>
      </c>
      <c r="M45" s="398">
        <v>84888.1</v>
      </c>
      <c r="N45" s="336">
        <f t="shared" si="0"/>
        <v>1013803.1665247717</v>
      </c>
      <c r="O45" s="400">
        <v>2867.05</v>
      </c>
      <c r="P45" s="401">
        <v>676.4</v>
      </c>
      <c r="Q45" s="401">
        <v>9627.6</v>
      </c>
      <c r="R45" s="402"/>
      <c r="S45" s="402">
        <v>-15881.8</v>
      </c>
      <c r="T45" s="337">
        <f t="shared" si="1"/>
        <v>1011092.4165247717</v>
      </c>
      <c r="U45" s="403">
        <v>77</v>
      </c>
      <c r="V45" s="406">
        <v>410</v>
      </c>
      <c r="W45" s="409">
        <v>-774.91</v>
      </c>
      <c r="X45" s="410"/>
      <c r="Y45" s="410">
        <v>-14.32</v>
      </c>
      <c r="Z45" s="416">
        <v>1.2</v>
      </c>
      <c r="AA45" s="409"/>
      <c r="AB45" s="409"/>
      <c r="AC45" s="409"/>
      <c r="AD45" s="409"/>
      <c r="AE45" s="409"/>
      <c r="AF45" s="409"/>
    </row>
    <row r="46" spans="1:32" x14ac:dyDescent="0.25">
      <c r="A46" s="343">
        <v>5475</v>
      </c>
      <c r="B46" s="335" t="s">
        <v>373</v>
      </c>
      <c r="C46" s="395">
        <v>314272.68</v>
      </c>
      <c r="D46" s="395">
        <v>32342.07</v>
      </c>
      <c r="E46" s="395"/>
      <c r="F46" s="395"/>
      <c r="G46" s="385">
        <v>4283.8386804123711</v>
      </c>
      <c r="H46" s="385">
        <v>336.1</v>
      </c>
      <c r="I46" s="385">
        <v>780.91951802224071</v>
      </c>
      <c r="J46" s="398"/>
      <c r="K46" s="398">
        <v>7198.35</v>
      </c>
      <c r="L46" s="398"/>
      <c r="M46" s="398">
        <v>22237.3</v>
      </c>
      <c r="N46" s="336">
        <f t="shared" si="0"/>
        <v>381451.25819843455</v>
      </c>
      <c r="O46" s="400"/>
      <c r="P46" s="401"/>
      <c r="Q46" s="401">
        <v>12280.9</v>
      </c>
      <c r="R46" s="402"/>
      <c r="S46" s="402">
        <v>52362.2</v>
      </c>
      <c r="T46" s="337">
        <f t="shared" si="1"/>
        <v>446094.35819843458</v>
      </c>
      <c r="U46" s="403">
        <v>77</v>
      </c>
      <c r="V46" s="406">
        <v>142</v>
      </c>
      <c r="W46" s="409">
        <v>-3985.25</v>
      </c>
      <c r="X46" s="410"/>
      <c r="Y46" s="410">
        <v>0</v>
      </c>
      <c r="Z46" s="416">
        <v>1</v>
      </c>
      <c r="AA46" s="409"/>
      <c r="AB46" s="409"/>
      <c r="AC46" s="409"/>
      <c r="AD46" s="409"/>
      <c r="AE46" s="409"/>
      <c r="AF46" s="409"/>
    </row>
    <row r="47" spans="1:32" x14ac:dyDescent="0.25">
      <c r="A47" s="343">
        <v>5476</v>
      </c>
      <c r="B47" s="335" t="s">
        <v>374</v>
      </c>
      <c r="C47" s="395">
        <v>585613.56999999995</v>
      </c>
      <c r="D47" s="395">
        <v>146936.43</v>
      </c>
      <c r="E47" s="395"/>
      <c r="F47" s="395"/>
      <c r="G47" s="385">
        <v>2084.2261670235544</v>
      </c>
      <c r="H47" s="385">
        <v>9444</v>
      </c>
      <c r="I47" s="385">
        <v>1948.6442233903961</v>
      </c>
      <c r="J47" s="398"/>
      <c r="K47" s="398">
        <v>1323.02</v>
      </c>
      <c r="L47" s="398"/>
      <c r="M47" s="398">
        <v>56402.85</v>
      </c>
      <c r="N47" s="336">
        <f t="shared" si="0"/>
        <v>803752.74039041391</v>
      </c>
      <c r="O47" s="400"/>
      <c r="P47" s="401">
        <v>-4347.2</v>
      </c>
      <c r="Q47" s="401">
        <v>4015</v>
      </c>
      <c r="R47" s="402"/>
      <c r="S47" s="402"/>
      <c r="T47" s="337">
        <f t="shared" si="1"/>
        <v>803420.54039041395</v>
      </c>
      <c r="U47" s="403">
        <v>74</v>
      </c>
      <c r="V47" s="406">
        <v>314</v>
      </c>
      <c r="W47" s="409">
        <v>-12733.74</v>
      </c>
      <c r="X47" s="410"/>
      <c r="Y47" s="410">
        <v>-178.72</v>
      </c>
      <c r="Z47" s="416">
        <v>1</v>
      </c>
      <c r="AA47" s="409"/>
      <c r="AB47" s="409"/>
      <c r="AC47" s="409"/>
      <c r="AD47" s="409"/>
      <c r="AE47" s="409"/>
      <c r="AF47" s="409"/>
    </row>
    <row r="48" spans="1:32" x14ac:dyDescent="0.25">
      <c r="A48" s="343">
        <v>5477</v>
      </c>
      <c r="B48" s="335" t="s">
        <v>375</v>
      </c>
      <c r="C48" s="395">
        <v>6519496.2400000002</v>
      </c>
      <c r="D48" s="395">
        <v>1471235.22</v>
      </c>
      <c r="E48" s="395"/>
      <c r="F48" s="395"/>
      <c r="G48" s="385">
        <v>378407.65526843397</v>
      </c>
      <c r="H48" s="385">
        <v>-10477.099999999991</v>
      </c>
      <c r="I48" s="385">
        <v>62192.200321635988</v>
      </c>
      <c r="J48" s="398"/>
      <c r="K48" s="398">
        <v>198477.57</v>
      </c>
      <c r="L48" s="398">
        <v>13406.45</v>
      </c>
      <c r="M48" s="398">
        <v>624557.55000000005</v>
      </c>
      <c r="N48" s="336">
        <f t="shared" si="0"/>
        <v>9257295.7855900694</v>
      </c>
      <c r="O48" s="400">
        <v>65546.75</v>
      </c>
      <c r="P48" s="401">
        <v>70488.800000000003</v>
      </c>
      <c r="Q48" s="401">
        <v>354112.25</v>
      </c>
      <c r="R48" s="402">
        <v>10978.08</v>
      </c>
      <c r="S48" s="402">
        <v>355594.6</v>
      </c>
      <c r="T48" s="337">
        <f t="shared" si="1"/>
        <v>10114016.26559007</v>
      </c>
      <c r="U48" s="403">
        <v>71</v>
      </c>
      <c r="V48" s="406">
        <v>3871</v>
      </c>
      <c r="W48" s="409">
        <v>-66864.08</v>
      </c>
      <c r="X48" s="410"/>
      <c r="Y48" s="410">
        <v>-666.97</v>
      </c>
      <c r="Z48" s="416">
        <v>1</v>
      </c>
      <c r="AA48" s="409"/>
      <c r="AB48" s="409"/>
      <c r="AC48" s="409"/>
      <c r="AD48" s="409"/>
      <c r="AE48" s="409"/>
      <c r="AF48" s="409"/>
    </row>
    <row r="49" spans="1:32" x14ac:dyDescent="0.25">
      <c r="A49" s="343">
        <v>5478</v>
      </c>
      <c r="B49" s="335" t="s">
        <v>241</v>
      </c>
      <c r="C49" s="395">
        <v>882267.41</v>
      </c>
      <c r="D49" s="395">
        <v>113770.53</v>
      </c>
      <c r="E49" s="395"/>
      <c r="F49" s="395"/>
      <c r="G49" s="385">
        <v>12274.491391862959</v>
      </c>
      <c r="H49" s="385">
        <v>230.2</v>
      </c>
      <c r="I49" s="385">
        <v>2113.6985250806092</v>
      </c>
      <c r="J49" s="398"/>
      <c r="K49" s="398">
        <v>10959.46</v>
      </c>
      <c r="L49" s="398">
        <v>250</v>
      </c>
      <c r="M49" s="398">
        <v>79154.25</v>
      </c>
      <c r="N49" s="336">
        <f t="shared" si="0"/>
        <v>1101020.0399169435</v>
      </c>
      <c r="O49" s="400"/>
      <c r="P49" s="401"/>
      <c r="Q49" s="401">
        <v>27335</v>
      </c>
      <c r="R49" s="402"/>
      <c r="S49" s="402">
        <v>19134.400000000001</v>
      </c>
      <c r="T49" s="337">
        <f t="shared" si="1"/>
        <v>1147489.4399169434</v>
      </c>
      <c r="U49" s="403">
        <v>74</v>
      </c>
      <c r="V49" s="406">
        <v>486</v>
      </c>
      <c r="W49" s="409">
        <v>-49575.49</v>
      </c>
      <c r="X49" s="410"/>
      <c r="Y49" s="410">
        <v>0</v>
      </c>
      <c r="Z49" s="416">
        <v>1</v>
      </c>
      <c r="AA49" s="409"/>
      <c r="AB49" s="409"/>
      <c r="AC49" s="409"/>
      <c r="AD49" s="409"/>
      <c r="AE49" s="409"/>
      <c r="AF49" s="409"/>
    </row>
    <row r="50" spans="1:32" x14ac:dyDescent="0.25">
      <c r="A50" s="343">
        <v>5479</v>
      </c>
      <c r="B50" s="335" t="s">
        <v>242</v>
      </c>
      <c r="C50" s="395">
        <v>822288.28</v>
      </c>
      <c r="D50" s="395">
        <v>88227.62</v>
      </c>
      <c r="E50" s="395"/>
      <c r="F50" s="395"/>
      <c r="G50" s="385">
        <v>3289.7378969072165</v>
      </c>
      <c r="H50" s="385">
        <v>1122.8999999999999</v>
      </c>
      <c r="I50" s="385">
        <v>745.8789603137933</v>
      </c>
      <c r="J50" s="398">
        <v>283065</v>
      </c>
      <c r="K50" s="398">
        <v>1102.83</v>
      </c>
      <c r="L50" s="398">
        <v>-2375.5</v>
      </c>
      <c r="M50" s="398">
        <v>81774.25</v>
      </c>
      <c r="N50" s="336">
        <f t="shared" si="0"/>
        <v>1279240.9968572212</v>
      </c>
      <c r="O50" s="400">
        <v>5626.3</v>
      </c>
      <c r="P50" s="401">
        <v>7729.5</v>
      </c>
      <c r="Q50" s="401">
        <v>46533.599999999999</v>
      </c>
      <c r="R50" s="402"/>
      <c r="S50" s="402">
        <v>28585.5</v>
      </c>
      <c r="T50" s="337">
        <f t="shared" si="1"/>
        <v>1367715.8968572214</v>
      </c>
      <c r="U50" s="403">
        <v>77</v>
      </c>
      <c r="V50" s="406">
        <v>479</v>
      </c>
      <c r="W50" s="409">
        <v>-14806.32</v>
      </c>
      <c r="X50" s="410"/>
      <c r="Y50" s="410">
        <v>-0.06</v>
      </c>
      <c r="Z50" s="416">
        <v>1</v>
      </c>
      <c r="AA50" s="409"/>
      <c r="AB50" s="409"/>
      <c r="AC50" s="409"/>
      <c r="AD50" s="409"/>
      <c r="AE50" s="409"/>
      <c r="AF50" s="409"/>
    </row>
    <row r="51" spans="1:32" x14ac:dyDescent="0.25">
      <c r="A51" s="343">
        <v>5480</v>
      </c>
      <c r="B51" s="335" t="s">
        <v>243</v>
      </c>
      <c r="C51" s="395">
        <v>2276909.65</v>
      </c>
      <c r="D51" s="395">
        <v>293113.13</v>
      </c>
      <c r="E51" s="395"/>
      <c r="F51" s="395"/>
      <c r="G51" s="385">
        <v>25668.212519492092</v>
      </c>
      <c r="H51" s="385">
        <v>17446.95</v>
      </c>
      <c r="I51" s="385">
        <v>7287.8612170599272</v>
      </c>
      <c r="J51" s="398"/>
      <c r="K51" s="398">
        <v>29320.560000000001</v>
      </c>
      <c r="L51" s="398">
        <v>13797.65</v>
      </c>
      <c r="M51" s="398">
        <v>298301.3</v>
      </c>
      <c r="N51" s="336">
        <f t="shared" si="0"/>
        <v>2961845.3137365519</v>
      </c>
      <c r="O51" s="400">
        <v>135149.35</v>
      </c>
      <c r="P51" s="401"/>
      <c r="Q51" s="401">
        <v>220790.5</v>
      </c>
      <c r="R51" s="402">
        <v>-1265.32</v>
      </c>
      <c r="S51" s="402">
        <v>52275.25</v>
      </c>
      <c r="T51" s="337">
        <f t="shared" si="1"/>
        <v>3368795.0937365522</v>
      </c>
      <c r="U51" s="403">
        <v>71</v>
      </c>
      <c r="V51" s="406">
        <v>1027</v>
      </c>
      <c r="W51" s="409">
        <v>-30702.32</v>
      </c>
      <c r="X51" s="410"/>
      <c r="Y51" s="410">
        <v>-181.59</v>
      </c>
      <c r="Z51" s="416">
        <v>1</v>
      </c>
      <c r="AA51" s="409"/>
      <c r="AB51" s="409"/>
      <c r="AC51" s="409"/>
      <c r="AD51" s="409"/>
      <c r="AE51" s="409"/>
      <c r="AF51" s="409"/>
    </row>
    <row r="52" spans="1:32" x14ac:dyDescent="0.25">
      <c r="A52" s="343">
        <v>5481</v>
      </c>
      <c r="B52" s="335" t="s">
        <v>244</v>
      </c>
      <c r="C52" s="395">
        <v>617595.96</v>
      </c>
      <c r="D52" s="395">
        <v>188615.29</v>
      </c>
      <c r="E52" s="395"/>
      <c r="F52" s="395"/>
      <c r="G52" s="385">
        <v>15074.781807204668</v>
      </c>
      <c r="H52" s="385">
        <v>60.300000000000011</v>
      </c>
      <c r="I52" s="385">
        <v>2558.3198409582519</v>
      </c>
      <c r="J52" s="398"/>
      <c r="K52" s="398">
        <v>4626.97</v>
      </c>
      <c r="L52" s="398"/>
      <c r="M52" s="398">
        <v>37590.6</v>
      </c>
      <c r="N52" s="336">
        <f t="shared" si="0"/>
        <v>866122.22164816293</v>
      </c>
      <c r="O52" s="400"/>
      <c r="P52" s="401"/>
      <c r="Q52" s="401">
        <v>16212.2</v>
      </c>
      <c r="R52" s="402"/>
      <c r="S52" s="402">
        <v>17433.5</v>
      </c>
      <c r="T52" s="337">
        <f t="shared" si="1"/>
        <v>899767.92164816288</v>
      </c>
      <c r="U52" s="403">
        <v>79</v>
      </c>
      <c r="V52" s="406">
        <v>223</v>
      </c>
      <c r="W52" s="409">
        <v>-5632.54</v>
      </c>
      <c r="X52" s="410"/>
      <c r="Y52" s="410">
        <v>-17.829999999999998</v>
      </c>
      <c r="Z52" s="416">
        <v>1</v>
      </c>
      <c r="AA52" s="409"/>
      <c r="AB52" s="409"/>
      <c r="AC52" s="409"/>
      <c r="AD52" s="409"/>
      <c r="AE52" s="409"/>
      <c r="AF52" s="409"/>
    </row>
    <row r="53" spans="1:32" x14ac:dyDescent="0.25">
      <c r="A53" s="343">
        <v>5482</v>
      </c>
      <c r="B53" s="335" t="s">
        <v>245</v>
      </c>
      <c r="C53" s="395">
        <v>1363942.42</v>
      </c>
      <c r="D53" s="395">
        <v>170679.89</v>
      </c>
      <c r="E53" s="395"/>
      <c r="F53" s="395"/>
      <c r="G53" s="385">
        <v>105766.57499153972</v>
      </c>
      <c r="H53" s="385">
        <v>17701.099999999999</v>
      </c>
      <c r="I53" s="385">
        <v>20870.042638122988</v>
      </c>
      <c r="J53" s="398"/>
      <c r="K53" s="398">
        <v>68551.86</v>
      </c>
      <c r="L53" s="398">
        <v>39174.5</v>
      </c>
      <c r="M53" s="398">
        <v>391720.3</v>
      </c>
      <c r="N53" s="336">
        <f t="shared" si="0"/>
        <v>2178406.6876296629</v>
      </c>
      <c r="O53" s="400">
        <v>301337.95</v>
      </c>
      <c r="P53" s="401">
        <v>50743.9</v>
      </c>
      <c r="Q53" s="401">
        <v>30799.05</v>
      </c>
      <c r="R53" s="402">
        <v>95.01</v>
      </c>
      <c r="S53" s="402">
        <v>3500</v>
      </c>
      <c r="T53" s="337">
        <f t="shared" si="1"/>
        <v>2564882.5976296626</v>
      </c>
      <c r="U53" s="403">
        <v>46</v>
      </c>
      <c r="V53" s="406">
        <v>1211</v>
      </c>
      <c r="W53" s="409">
        <v>-25897.72</v>
      </c>
      <c r="X53" s="410"/>
      <c r="Y53" s="410">
        <v>-110.81</v>
      </c>
      <c r="Z53" s="416">
        <v>1</v>
      </c>
      <c r="AA53" s="409"/>
      <c r="AB53" s="409"/>
      <c r="AC53" s="409"/>
      <c r="AD53" s="409"/>
      <c r="AE53" s="409"/>
      <c r="AF53" s="409"/>
    </row>
    <row r="54" spans="1:32" x14ac:dyDescent="0.25">
      <c r="A54" s="343">
        <v>5483</v>
      </c>
      <c r="B54" s="335" t="s">
        <v>140</v>
      </c>
      <c r="C54" s="395">
        <v>556062.41</v>
      </c>
      <c r="D54" s="395">
        <v>62195.27</v>
      </c>
      <c r="E54" s="395"/>
      <c r="F54" s="395"/>
      <c r="G54" s="385">
        <v>-1285.5400835073067</v>
      </c>
      <c r="H54" s="385">
        <v>225.29999999999998</v>
      </c>
      <c r="I54" s="385">
        <v>0</v>
      </c>
      <c r="J54" s="398"/>
      <c r="K54" s="398">
        <v>9050.8700000000008</v>
      </c>
      <c r="L54" s="398"/>
      <c r="M54" s="398">
        <v>52049.65</v>
      </c>
      <c r="N54" s="336">
        <f t="shared" si="0"/>
        <v>678297.95991649281</v>
      </c>
      <c r="O54" s="400"/>
      <c r="P54" s="401"/>
      <c r="Q54" s="401">
        <v>39116</v>
      </c>
      <c r="R54" s="402"/>
      <c r="S54" s="402">
        <v>6115.25</v>
      </c>
      <c r="T54" s="337">
        <f t="shared" si="1"/>
        <v>723529.20991649281</v>
      </c>
      <c r="U54" s="403">
        <v>76</v>
      </c>
      <c r="V54" s="406">
        <v>310</v>
      </c>
      <c r="W54" s="409">
        <v>-3208.2</v>
      </c>
      <c r="X54" s="410"/>
      <c r="Y54" s="410">
        <v>-214.65</v>
      </c>
      <c r="Z54" s="416">
        <v>1</v>
      </c>
      <c r="AA54" s="409"/>
      <c r="AB54" s="409"/>
      <c r="AC54" s="409"/>
      <c r="AD54" s="409"/>
      <c r="AE54" s="409"/>
      <c r="AF54" s="409"/>
    </row>
    <row r="55" spans="1:32" x14ac:dyDescent="0.25">
      <c r="A55" s="343">
        <v>5484</v>
      </c>
      <c r="B55" s="335" t="s">
        <v>141</v>
      </c>
      <c r="C55" s="395">
        <v>1970696.54</v>
      </c>
      <c r="D55" s="395">
        <v>229988.81</v>
      </c>
      <c r="E55" s="395"/>
      <c r="F55" s="395"/>
      <c r="G55" s="385">
        <v>30052.075760171301</v>
      </c>
      <c r="H55" s="385">
        <v>1995.1000000000004</v>
      </c>
      <c r="I55" s="385">
        <v>5417.0123847559789</v>
      </c>
      <c r="J55" s="398"/>
      <c r="K55" s="398">
        <v>6633.45</v>
      </c>
      <c r="L55" s="398">
        <v>6925.65</v>
      </c>
      <c r="M55" s="398">
        <v>169611</v>
      </c>
      <c r="N55" s="336">
        <f t="shared" si="0"/>
        <v>2421319.6381449276</v>
      </c>
      <c r="O55" s="400">
        <v>24458.2</v>
      </c>
      <c r="P55" s="401">
        <v>11025.8</v>
      </c>
      <c r="Q55" s="401">
        <v>200538.45</v>
      </c>
      <c r="R55" s="402">
        <v>1776.89</v>
      </c>
      <c r="S55" s="402">
        <v>61962.7</v>
      </c>
      <c r="T55" s="337">
        <f t="shared" si="1"/>
        <v>2721081.6781449281</v>
      </c>
      <c r="U55" s="403">
        <v>74</v>
      </c>
      <c r="V55" s="406">
        <v>939</v>
      </c>
      <c r="W55" s="409">
        <v>-70320.44</v>
      </c>
      <c r="X55" s="410"/>
      <c r="Y55" s="410">
        <v>-0.2</v>
      </c>
      <c r="Z55" s="416">
        <v>1</v>
      </c>
      <c r="AA55" s="409"/>
      <c r="AB55" s="409"/>
      <c r="AC55" s="409"/>
      <c r="AD55" s="409"/>
      <c r="AE55" s="409"/>
      <c r="AF55" s="409"/>
    </row>
    <row r="56" spans="1:32" x14ac:dyDescent="0.25">
      <c r="A56" s="343">
        <v>5485</v>
      </c>
      <c r="B56" s="335" t="s">
        <v>142</v>
      </c>
      <c r="C56" s="395">
        <v>1079460.8899999999</v>
      </c>
      <c r="D56" s="395">
        <v>123470.17</v>
      </c>
      <c r="E56" s="395"/>
      <c r="F56" s="395"/>
      <c r="G56" s="385">
        <v>9896.1728545618789</v>
      </c>
      <c r="H56" s="385">
        <v>160.69999999999999</v>
      </c>
      <c r="I56" s="385">
        <v>1699.9377796275021</v>
      </c>
      <c r="J56" s="398"/>
      <c r="K56" s="398">
        <v>19619.8</v>
      </c>
      <c r="L56" s="398"/>
      <c r="M56" s="398">
        <v>73812.55</v>
      </c>
      <c r="N56" s="336">
        <f t="shared" si="0"/>
        <v>1308120.2206341892</v>
      </c>
      <c r="O56" s="400">
        <v>10325.549999999999</v>
      </c>
      <c r="P56" s="401"/>
      <c r="Q56" s="401">
        <v>19250</v>
      </c>
      <c r="R56" s="402"/>
      <c r="S56" s="402">
        <v>6984.2</v>
      </c>
      <c r="T56" s="337">
        <f t="shared" si="1"/>
        <v>1344679.9706341892</v>
      </c>
      <c r="U56" s="403">
        <v>70</v>
      </c>
      <c r="V56" s="406">
        <v>398</v>
      </c>
      <c r="W56" s="409">
        <v>-9380.48</v>
      </c>
      <c r="X56" s="410"/>
      <c r="Y56" s="410">
        <v>-35.04</v>
      </c>
      <c r="Z56" s="416">
        <v>1</v>
      </c>
      <c r="AA56" s="409"/>
      <c r="AB56" s="409"/>
      <c r="AC56" s="409"/>
      <c r="AD56" s="409"/>
      <c r="AE56" s="409"/>
      <c r="AF56" s="409"/>
    </row>
    <row r="57" spans="1:32" x14ac:dyDescent="0.25">
      <c r="A57" s="343">
        <v>5486</v>
      </c>
      <c r="B57" s="335" t="s">
        <v>1</v>
      </c>
      <c r="C57" s="395">
        <v>1776975.85</v>
      </c>
      <c r="D57" s="395">
        <v>247150.1</v>
      </c>
      <c r="E57" s="395"/>
      <c r="F57" s="395"/>
      <c r="G57" s="385">
        <v>53767.674739039656</v>
      </c>
      <c r="H57" s="385">
        <v>2208.5</v>
      </c>
      <c r="I57" s="385">
        <v>9461.7895218552567</v>
      </c>
      <c r="J57" s="398">
        <v>34494.85</v>
      </c>
      <c r="K57" s="398">
        <v>19875</v>
      </c>
      <c r="L57" s="398">
        <v>7200.3</v>
      </c>
      <c r="M57" s="398">
        <v>183957.05</v>
      </c>
      <c r="N57" s="336">
        <f t="shared" si="0"/>
        <v>2335091.1142608947</v>
      </c>
      <c r="O57" s="400">
        <v>81096.3</v>
      </c>
      <c r="P57" s="401">
        <v>9054.4</v>
      </c>
      <c r="Q57" s="401">
        <v>83916.5</v>
      </c>
      <c r="R57" s="402">
        <v>392.51</v>
      </c>
      <c r="S57" s="402">
        <v>41166.800000000003</v>
      </c>
      <c r="T57" s="337">
        <f t="shared" si="1"/>
        <v>2550717.624260894</v>
      </c>
      <c r="U57" s="403">
        <v>76</v>
      </c>
      <c r="V57" s="406">
        <v>1005</v>
      </c>
      <c r="W57" s="409">
        <v>-13954.85</v>
      </c>
      <c r="X57" s="410"/>
      <c r="Y57" s="410">
        <v>0</v>
      </c>
      <c r="Z57" s="416">
        <v>1</v>
      </c>
      <c r="AA57" s="409"/>
      <c r="AB57" s="409"/>
      <c r="AC57" s="409"/>
      <c r="AD57" s="409"/>
      <c r="AE57" s="409"/>
      <c r="AF57" s="409"/>
    </row>
    <row r="58" spans="1:32" x14ac:dyDescent="0.25">
      <c r="A58" s="343">
        <v>5487</v>
      </c>
      <c r="B58" s="335" t="s">
        <v>2</v>
      </c>
      <c r="C58" s="395">
        <v>939694.8</v>
      </c>
      <c r="D58" s="395">
        <v>106464.48</v>
      </c>
      <c r="E58" s="395"/>
      <c r="F58" s="395"/>
      <c r="G58" s="385">
        <v>12901.831458773782</v>
      </c>
      <c r="H58" s="385">
        <v>108</v>
      </c>
      <c r="I58" s="385">
        <v>2199.0835842499469</v>
      </c>
      <c r="J58" s="398"/>
      <c r="K58" s="398">
        <v>-2561.21</v>
      </c>
      <c r="L58" s="398">
        <v>-677.75</v>
      </c>
      <c r="M58" s="398">
        <v>72940.3</v>
      </c>
      <c r="N58" s="336">
        <f t="shared" si="0"/>
        <v>1131069.5350430238</v>
      </c>
      <c r="O58" s="400"/>
      <c r="P58" s="401"/>
      <c r="Q58" s="401">
        <v>19862.400000000001</v>
      </c>
      <c r="R58" s="402"/>
      <c r="S58" s="402"/>
      <c r="T58" s="337">
        <f t="shared" si="1"/>
        <v>1150931.9350430237</v>
      </c>
      <c r="U58" s="403">
        <v>75</v>
      </c>
      <c r="V58" s="406">
        <v>462</v>
      </c>
      <c r="W58" s="409">
        <v>-34918.93</v>
      </c>
      <c r="X58" s="410"/>
      <c r="Y58" s="410">
        <v>-8.48</v>
      </c>
      <c r="Z58" s="416">
        <v>1</v>
      </c>
      <c r="AA58" s="409"/>
      <c r="AB58" s="409"/>
      <c r="AC58" s="409"/>
      <c r="AD58" s="409"/>
      <c r="AE58" s="409"/>
      <c r="AF58" s="409"/>
    </row>
    <row r="59" spans="1:32" x14ac:dyDescent="0.25">
      <c r="A59" s="343">
        <v>5488</v>
      </c>
      <c r="B59" s="335" t="s">
        <v>3</v>
      </c>
      <c r="C59" s="395">
        <v>134108.35999999999</v>
      </c>
      <c r="D59" s="395">
        <v>9531.4599999999991</v>
      </c>
      <c r="E59" s="395"/>
      <c r="F59" s="395"/>
      <c r="G59" s="385">
        <v>250.74167006109982</v>
      </c>
      <c r="H59" s="385">
        <v>239.9</v>
      </c>
      <c r="I59" s="385">
        <v>82.934359741662547</v>
      </c>
      <c r="J59" s="398"/>
      <c r="K59" s="398"/>
      <c r="L59" s="398"/>
      <c r="M59" s="398">
        <v>8474</v>
      </c>
      <c r="N59" s="336">
        <f t="shared" si="0"/>
        <v>152687.39602980274</v>
      </c>
      <c r="O59" s="400"/>
      <c r="P59" s="401">
        <v>12610.7</v>
      </c>
      <c r="Q59" s="401"/>
      <c r="R59" s="402"/>
      <c r="S59" s="402"/>
      <c r="T59" s="337">
        <f t="shared" si="1"/>
        <v>165298.09602980275</v>
      </c>
      <c r="U59" s="403">
        <v>78</v>
      </c>
      <c r="V59" s="406">
        <v>59</v>
      </c>
      <c r="W59" s="409">
        <v>-3887.44</v>
      </c>
      <c r="X59" s="410"/>
      <c r="Y59" s="410">
        <v>0</v>
      </c>
      <c r="Z59" s="416">
        <v>1</v>
      </c>
      <c r="AA59" s="409"/>
      <c r="AB59" s="409"/>
      <c r="AC59" s="409"/>
      <c r="AD59" s="409"/>
      <c r="AE59" s="409"/>
      <c r="AF59" s="409"/>
    </row>
    <row r="60" spans="1:32" x14ac:dyDescent="0.25">
      <c r="A60" s="343">
        <v>5489</v>
      </c>
      <c r="B60" s="335" t="s">
        <v>4</v>
      </c>
      <c r="C60" s="395">
        <v>1634842.82</v>
      </c>
      <c r="D60" s="395">
        <v>994535.31</v>
      </c>
      <c r="E60" s="395"/>
      <c r="F60" s="395"/>
      <c r="G60" s="385">
        <v>679595.53195052815</v>
      </c>
      <c r="H60" s="385">
        <v>-55745.299999999996</v>
      </c>
      <c r="I60" s="385">
        <v>105450.92828145168</v>
      </c>
      <c r="J60" s="398"/>
      <c r="K60" s="398">
        <v>11636.77</v>
      </c>
      <c r="L60" s="398">
        <v>7126.5</v>
      </c>
      <c r="M60" s="398">
        <v>289877.84999999998</v>
      </c>
      <c r="N60" s="336">
        <f t="shared" si="0"/>
        <v>3667320.41023198</v>
      </c>
      <c r="O60" s="400">
        <v>156536.9</v>
      </c>
      <c r="P60" s="401"/>
      <c r="Q60" s="401">
        <v>54458.15</v>
      </c>
      <c r="R60" s="402"/>
      <c r="S60" s="402">
        <v>30454.1</v>
      </c>
      <c r="T60" s="337">
        <f t="shared" si="1"/>
        <v>3908769.5602319799</v>
      </c>
      <c r="U60" s="403">
        <v>61</v>
      </c>
      <c r="V60" s="406">
        <v>725</v>
      </c>
      <c r="W60" s="409">
        <v>-13355.03</v>
      </c>
      <c r="X60" s="410"/>
      <c r="Y60" s="410">
        <v>-51898.65</v>
      </c>
      <c r="Z60" s="416">
        <v>1</v>
      </c>
      <c r="AA60" s="409"/>
      <c r="AB60" s="409"/>
      <c r="AC60" s="409"/>
      <c r="AD60" s="409"/>
      <c r="AE60" s="409"/>
      <c r="AF60" s="409"/>
    </row>
    <row r="61" spans="1:32" x14ac:dyDescent="0.25">
      <c r="A61" s="343">
        <v>5490</v>
      </c>
      <c r="B61" s="335" t="s">
        <v>5</v>
      </c>
      <c r="C61" s="395">
        <v>602269.71</v>
      </c>
      <c r="D61" s="395">
        <v>101769.24</v>
      </c>
      <c r="E61" s="395"/>
      <c r="F61" s="395"/>
      <c r="G61" s="385">
        <v>-2617.4557963809903</v>
      </c>
      <c r="H61" s="385">
        <v>447.5</v>
      </c>
      <c r="I61" s="385">
        <v>0</v>
      </c>
      <c r="J61" s="398"/>
      <c r="K61" s="398">
        <v>4328.7299999999996</v>
      </c>
      <c r="L61" s="398"/>
      <c r="M61" s="398">
        <v>44867.75</v>
      </c>
      <c r="N61" s="336">
        <f t="shared" si="0"/>
        <v>751065.47420361894</v>
      </c>
      <c r="O61" s="400"/>
      <c r="P61" s="401">
        <v>17805.5</v>
      </c>
      <c r="Q61" s="401">
        <v>4202</v>
      </c>
      <c r="R61" s="402">
        <v>4055.75</v>
      </c>
      <c r="S61" s="402">
        <v>10133</v>
      </c>
      <c r="T61" s="337">
        <f t="shared" si="1"/>
        <v>787261.72420361894</v>
      </c>
      <c r="U61" s="403">
        <v>80</v>
      </c>
      <c r="V61" s="406">
        <v>310</v>
      </c>
      <c r="W61" s="409">
        <v>-8039.76</v>
      </c>
      <c r="X61" s="410"/>
      <c r="Y61" s="410">
        <v>-19.43</v>
      </c>
      <c r="Z61" s="416">
        <v>1</v>
      </c>
      <c r="AA61" s="409"/>
      <c r="AB61" s="409"/>
      <c r="AC61" s="409"/>
      <c r="AD61" s="409"/>
      <c r="AE61" s="409"/>
      <c r="AF61" s="409"/>
    </row>
    <row r="62" spans="1:32" x14ac:dyDescent="0.25">
      <c r="A62" s="343">
        <v>5491</v>
      </c>
      <c r="B62" s="335" t="s">
        <v>164</v>
      </c>
      <c r="C62" s="395">
        <v>736946.4</v>
      </c>
      <c r="D62" s="395">
        <v>103493.59</v>
      </c>
      <c r="E62" s="395"/>
      <c r="F62" s="395"/>
      <c r="G62" s="385">
        <v>314.21127348643</v>
      </c>
      <c r="H62" s="385">
        <v>2482.2999999999997</v>
      </c>
      <c r="I62" s="385">
        <v>472.70113023228629</v>
      </c>
      <c r="J62" s="398"/>
      <c r="K62" s="398">
        <v>14190.31</v>
      </c>
      <c r="L62" s="398">
        <v>477.75</v>
      </c>
      <c r="M62" s="398">
        <v>75218.100000000006</v>
      </c>
      <c r="N62" s="336">
        <f t="shared" si="0"/>
        <v>933595.36240371875</v>
      </c>
      <c r="O62" s="400">
        <v>2093</v>
      </c>
      <c r="P62" s="401"/>
      <c r="Q62" s="401">
        <v>70049.5</v>
      </c>
      <c r="R62" s="402">
        <v>5071.63</v>
      </c>
      <c r="S62" s="402">
        <v>20485.25</v>
      </c>
      <c r="T62" s="337">
        <f t="shared" si="1"/>
        <v>1031294.7424037188</v>
      </c>
      <c r="U62" s="403">
        <v>76</v>
      </c>
      <c r="V62" s="406">
        <v>466</v>
      </c>
      <c r="W62" s="409">
        <v>-663.64</v>
      </c>
      <c r="X62" s="410"/>
      <c r="Y62" s="410">
        <v>0</v>
      </c>
      <c r="Z62" s="416">
        <v>1</v>
      </c>
      <c r="AA62" s="409"/>
      <c r="AB62" s="409"/>
      <c r="AC62" s="409"/>
      <c r="AD62" s="409"/>
      <c r="AE62" s="409"/>
      <c r="AF62" s="409"/>
    </row>
    <row r="63" spans="1:32" x14ac:dyDescent="0.25">
      <c r="A63" s="343">
        <v>5492</v>
      </c>
      <c r="B63" s="335" t="s">
        <v>165</v>
      </c>
      <c r="C63" s="395">
        <v>7280281.4699999997</v>
      </c>
      <c r="D63" s="395">
        <v>7445503.2999999998</v>
      </c>
      <c r="E63" s="395"/>
      <c r="F63" s="395"/>
      <c r="G63" s="385">
        <v>66295.796382874047</v>
      </c>
      <c r="H63" s="385">
        <v>4087.4000000000005</v>
      </c>
      <c r="I63" s="385">
        <v>11897.043575321375</v>
      </c>
      <c r="J63" s="398"/>
      <c r="K63" s="398">
        <v>41983.06</v>
      </c>
      <c r="L63" s="398">
        <v>3058.95</v>
      </c>
      <c r="M63" s="398">
        <v>71211.899999999994</v>
      </c>
      <c r="N63" s="336">
        <f t="shared" si="0"/>
        <v>14924318.919958197</v>
      </c>
      <c r="O63" s="400">
        <v>3572.45</v>
      </c>
      <c r="P63" s="401">
        <v>542124.1</v>
      </c>
      <c r="Q63" s="401">
        <v>82548.5</v>
      </c>
      <c r="R63" s="402">
        <v>2484.86</v>
      </c>
      <c r="S63" s="402">
        <v>6164.65</v>
      </c>
      <c r="T63" s="337">
        <f t="shared" si="1"/>
        <v>15561213.479958195</v>
      </c>
      <c r="U63" s="403">
        <v>64</v>
      </c>
      <c r="V63" s="406">
        <v>940</v>
      </c>
      <c r="W63" s="409">
        <v>-24714.86</v>
      </c>
      <c r="X63" s="410"/>
      <c r="Y63" s="410">
        <v>-4065.12</v>
      </c>
      <c r="Z63" s="416">
        <v>0.3</v>
      </c>
      <c r="AA63" s="409"/>
      <c r="AB63" s="409"/>
      <c r="AC63" s="409"/>
      <c r="AD63" s="409"/>
      <c r="AE63" s="409"/>
      <c r="AF63" s="409"/>
    </row>
    <row r="64" spans="1:32" x14ac:dyDescent="0.25">
      <c r="A64" s="343">
        <v>5493</v>
      </c>
      <c r="B64" s="335" t="s">
        <v>166</v>
      </c>
      <c r="C64" s="395">
        <v>633746.98</v>
      </c>
      <c r="D64" s="395">
        <v>76697.5</v>
      </c>
      <c r="E64" s="395"/>
      <c r="F64" s="395"/>
      <c r="G64" s="385">
        <v>-915.68687350835376</v>
      </c>
      <c r="H64" s="385">
        <v>1291.9999999999995</v>
      </c>
      <c r="I64" s="385">
        <v>63.609126807515977</v>
      </c>
      <c r="J64" s="398"/>
      <c r="K64" s="398">
        <v>34295.050000000003</v>
      </c>
      <c r="L64" s="398">
        <v>696.75</v>
      </c>
      <c r="M64" s="398">
        <v>34920.65</v>
      </c>
      <c r="N64" s="336">
        <f t="shared" si="0"/>
        <v>780796.85225329921</v>
      </c>
      <c r="O64" s="400">
        <v>62873.3</v>
      </c>
      <c r="P64" s="401"/>
      <c r="Q64" s="401">
        <v>68406.899999999994</v>
      </c>
      <c r="R64" s="402">
        <v>1214.99</v>
      </c>
      <c r="S64" s="402">
        <v>2076.65</v>
      </c>
      <c r="T64" s="337">
        <f t="shared" si="1"/>
        <v>915368.69225329929</v>
      </c>
      <c r="U64" s="403">
        <v>73</v>
      </c>
      <c r="V64" s="406">
        <v>368</v>
      </c>
      <c r="W64" s="409">
        <v>-16612.169999999998</v>
      </c>
      <c r="X64" s="410"/>
      <c r="Y64" s="410"/>
      <c r="Z64" s="416">
        <v>0.65</v>
      </c>
      <c r="AA64" s="409"/>
      <c r="AB64" s="409"/>
      <c r="AC64" s="409"/>
      <c r="AD64" s="409"/>
      <c r="AE64" s="409"/>
      <c r="AF64" s="409"/>
    </row>
    <row r="65" spans="1:32" x14ac:dyDescent="0.25">
      <c r="A65" s="343">
        <v>5494</v>
      </c>
      <c r="B65" s="335" t="s">
        <v>167</v>
      </c>
      <c r="C65" s="395">
        <v>2373890.44</v>
      </c>
      <c r="D65" s="395">
        <v>241781.78</v>
      </c>
      <c r="E65" s="395"/>
      <c r="F65" s="395"/>
      <c r="G65" s="385">
        <v>27490.412346723042</v>
      </c>
      <c r="H65" s="385">
        <v>3096.6</v>
      </c>
      <c r="I65" s="385">
        <v>5170.1973969514329</v>
      </c>
      <c r="J65" s="398"/>
      <c r="K65" s="398">
        <v>75730.929999999993</v>
      </c>
      <c r="L65" s="398">
        <v>3677.6</v>
      </c>
      <c r="M65" s="398">
        <v>222248.35</v>
      </c>
      <c r="N65" s="336">
        <f t="shared" si="0"/>
        <v>2953086.3097436745</v>
      </c>
      <c r="O65" s="400">
        <v>46174.9</v>
      </c>
      <c r="P65" s="401">
        <v>5.2</v>
      </c>
      <c r="Q65" s="401">
        <v>134559.15</v>
      </c>
      <c r="R65" s="402">
        <v>8819.15</v>
      </c>
      <c r="S65" s="402">
        <v>143427.4</v>
      </c>
      <c r="T65" s="337">
        <f t="shared" si="1"/>
        <v>3286072.1097436743</v>
      </c>
      <c r="U65" s="403">
        <v>75</v>
      </c>
      <c r="V65" s="406">
        <v>1113</v>
      </c>
      <c r="W65" s="409">
        <v>-141295.32999999999</v>
      </c>
      <c r="X65" s="410"/>
      <c r="Y65" s="410">
        <v>-241.55</v>
      </c>
      <c r="Z65" s="416">
        <v>1.05</v>
      </c>
      <c r="AA65" s="409"/>
      <c r="AB65" s="409"/>
      <c r="AC65" s="409"/>
      <c r="AD65" s="409"/>
      <c r="AE65" s="409"/>
      <c r="AF65" s="409"/>
    </row>
    <row r="66" spans="1:32" x14ac:dyDescent="0.25">
      <c r="A66" s="343">
        <v>5495</v>
      </c>
      <c r="B66" s="335" t="s">
        <v>168</v>
      </c>
      <c r="C66" s="395">
        <v>5440810.8099999996</v>
      </c>
      <c r="D66" s="395">
        <v>522355.34</v>
      </c>
      <c r="E66" s="395"/>
      <c r="F66" s="395"/>
      <c r="G66" s="385">
        <v>103090.56860813709</v>
      </c>
      <c r="H66" s="385">
        <v>2244.949999999993</v>
      </c>
      <c r="I66" s="385">
        <v>17805.11996205691</v>
      </c>
      <c r="J66" s="398">
        <v>76611.75</v>
      </c>
      <c r="K66" s="398">
        <v>187073.09</v>
      </c>
      <c r="L66" s="398">
        <v>62860.45</v>
      </c>
      <c r="M66" s="398">
        <v>472932.2</v>
      </c>
      <c r="N66" s="336">
        <f t="shared" si="0"/>
        <v>6885784.2785701938</v>
      </c>
      <c r="O66" s="400">
        <v>216511.1</v>
      </c>
      <c r="P66" s="401">
        <v>44765.4</v>
      </c>
      <c r="Q66" s="401">
        <v>108744.3</v>
      </c>
      <c r="R66" s="402">
        <v>51967.79</v>
      </c>
      <c r="S66" s="402">
        <v>213370.9</v>
      </c>
      <c r="T66" s="337">
        <f t="shared" si="1"/>
        <v>7521143.768570194</v>
      </c>
      <c r="U66" s="403">
        <v>74</v>
      </c>
      <c r="V66" s="406">
        <v>3283</v>
      </c>
      <c r="W66" s="409">
        <v>-166296</v>
      </c>
      <c r="X66" s="410"/>
      <c r="Y66" s="410">
        <v>-355.36</v>
      </c>
      <c r="Z66" s="416">
        <v>1</v>
      </c>
      <c r="AA66" s="409"/>
      <c r="AB66" s="409"/>
      <c r="AC66" s="409"/>
      <c r="AD66" s="409"/>
      <c r="AE66" s="409"/>
      <c r="AF66" s="409"/>
    </row>
    <row r="67" spans="1:32" x14ac:dyDescent="0.25">
      <c r="A67" s="343">
        <v>5496</v>
      </c>
      <c r="B67" s="335" t="s">
        <v>169</v>
      </c>
      <c r="C67" s="395">
        <v>3291271.68</v>
      </c>
      <c r="D67" s="395">
        <v>301872.84000000003</v>
      </c>
      <c r="E67" s="395"/>
      <c r="F67" s="395"/>
      <c r="G67" s="385">
        <v>58545.250612608594</v>
      </c>
      <c r="H67" s="385">
        <v>15211.6</v>
      </c>
      <c r="I67" s="385">
        <v>12467.300588954042</v>
      </c>
      <c r="J67" s="398"/>
      <c r="K67" s="398">
        <v>77055.75</v>
      </c>
      <c r="L67" s="398">
        <v>20261.25</v>
      </c>
      <c r="M67" s="398">
        <v>303790</v>
      </c>
      <c r="N67" s="336">
        <f t="shared" si="0"/>
        <v>4080475.671201563</v>
      </c>
      <c r="O67" s="400">
        <v>94624.3</v>
      </c>
      <c r="P67" s="401">
        <v>119411.7</v>
      </c>
      <c r="Q67" s="401">
        <v>206536.25</v>
      </c>
      <c r="R67" s="402">
        <v>1411.91</v>
      </c>
      <c r="S67" s="402">
        <v>124274.85</v>
      </c>
      <c r="T67" s="337">
        <f t="shared" si="1"/>
        <v>4626734.6812015623</v>
      </c>
      <c r="U67" s="403">
        <v>71</v>
      </c>
      <c r="V67" s="406">
        <v>1747</v>
      </c>
      <c r="W67" s="409">
        <v>-53644.959999999999</v>
      </c>
      <c r="X67" s="410"/>
      <c r="Y67" s="410">
        <v>-60.89</v>
      </c>
      <c r="Z67" s="416">
        <v>1</v>
      </c>
      <c r="AA67" s="409"/>
      <c r="AB67" s="409"/>
      <c r="AC67" s="409"/>
      <c r="AD67" s="409"/>
      <c r="AE67" s="409"/>
      <c r="AF67" s="409"/>
    </row>
    <row r="68" spans="1:32" x14ac:dyDescent="0.25">
      <c r="A68" s="343">
        <v>5497</v>
      </c>
      <c r="B68" s="335" t="s">
        <v>170</v>
      </c>
      <c r="C68" s="395">
        <v>1155298.76</v>
      </c>
      <c r="D68" s="395">
        <v>105910.47</v>
      </c>
      <c r="E68" s="395"/>
      <c r="F68" s="395"/>
      <c r="G68" s="385">
        <v>22399.104216435739</v>
      </c>
      <c r="H68" s="385">
        <v>-383.40000000000003</v>
      </c>
      <c r="I68" s="385">
        <v>3721.3682507328476</v>
      </c>
      <c r="J68" s="398"/>
      <c r="K68" s="398">
        <v>47235.39</v>
      </c>
      <c r="L68" s="398">
        <v>6244.75</v>
      </c>
      <c r="M68" s="398">
        <v>124855.5</v>
      </c>
      <c r="N68" s="336">
        <f t="shared" si="0"/>
        <v>1465281.9424671684</v>
      </c>
      <c r="O68" s="400">
        <v>240433.1</v>
      </c>
      <c r="P68" s="401">
        <v>19077.2</v>
      </c>
      <c r="Q68" s="401">
        <v>71866.7</v>
      </c>
      <c r="R68" s="402">
        <v>6481.45</v>
      </c>
      <c r="S68" s="402">
        <v>36937.35</v>
      </c>
      <c r="T68" s="337">
        <f t="shared" si="1"/>
        <v>1840077.7424671685</v>
      </c>
      <c r="U68" s="403">
        <v>66</v>
      </c>
      <c r="V68" s="406">
        <v>847</v>
      </c>
      <c r="W68" s="409">
        <v>-9114.9500000000007</v>
      </c>
      <c r="X68" s="410"/>
      <c r="Y68" s="410">
        <v>0</v>
      </c>
      <c r="Z68" s="416">
        <v>1</v>
      </c>
      <c r="AA68" s="409"/>
      <c r="AB68" s="409"/>
      <c r="AC68" s="409"/>
      <c r="AD68" s="409"/>
      <c r="AE68" s="409"/>
      <c r="AF68" s="409"/>
    </row>
    <row r="69" spans="1:32" x14ac:dyDescent="0.25">
      <c r="A69" s="343">
        <v>5498</v>
      </c>
      <c r="B69" s="335" t="s">
        <v>171</v>
      </c>
      <c r="C69" s="395">
        <v>4262568.01</v>
      </c>
      <c r="D69" s="395">
        <v>383260.3</v>
      </c>
      <c r="E69" s="395"/>
      <c r="F69" s="395"/>
      <c r="G69" s="385">
        <v>53387.236634018154</v>
      </c>
      <c r="H69" s="385">
        <v>2067.6000000000004</v>
      </c>
      <c r="I69" s="385">
        <v>9373.6664687450175</v>
      </c>
      <c r="J69" s="398"/>
      <c r="K69" s="398">
        <v>108706.32</v>
      </c>
      <c r="L69" s="398">
        <v>9328.65</v>
      </c>
      <c r="M69" s="398">
        <v>389029.45</v>
      </c>
      <c r="N69" s="336">
        <f t="shared" si="0"/>
        <v>5217721.2331027631</v>
      </c>
      <c r="O69" s="400">
        <v>83661.399999999994</v>
      </c>
      <c r="P69" s="401">
        <v>109211.2</v>
      </c>
      <c r="Q69" s="401">
        <v>137932.85</v>
      </c>
      <c r="R69" s="402">
        <v>5800.36</v>
      </c>
      <c r="S69" s="402">
        <v>92568.35</v>
      </c>
      <c r="T69" s="337">
        <f t="shared" si="1"/>
        <v>5646895.3931027632</v>
      </c>
      <c r="U69" s="403">
        <v>66</v>
      </c>
      <c r="V69" s="406">
        <v>2596</v>
      </c>
      <c r="W69" s="409">
        <v>-116051.35</v>
      </c>
      <c r="X69" s="410"/>
      <c r="Y69" s="410">
        <v>-31.47</v>
      </c>
      <c r="Z69" s="416">
        <v>1</v>
      </c>
      <c r="AA69" s="409"/>
      <c r="AB69" s="409"/>
      <c r="AC69" s="409"/>
      <c r="AD69" s="409"/>
      <c r="AE69" s="409"/>
      <c r="AF69" s="409"/>
    </row>
    <row r="70" spans="1:32" x14ac:dyDescent="0.25">
      <c r="A70" s="343">
        <v>5499</v>
      </c>
      <c r="B70" s="335" t="s">
        <v>172</v>
      </c>
      <c r="C70" s="395">
        <v>1244733.01</v>
      </c>
      <c r="D70" s="395">
        <v>254549.1</v>
      </c>
      <c r="E70" s="395"/>
      <c r="F70" s="395"/>
      <c r="G70" s="385">
        <v>16791.126360073766</v>
      </c>
      <c r="H70" s="385">
        <v>1116.8000000000002</v>
      </c>
      <c r="I70" s="385">
        <v>3027.0205276054285</v>
      </c>
      <c r="J70" s="398"/>
      <c r="K70" s="398">
        <v>6464.4</v>
      </c>
      <c r="L70" s="398"/>
      <c r="M70" s="398">
        <v>93195.3</v>
      </c>
      <c r="N70" s="336">
        <f t="shared" si="0"/>
        <v>1619876.7568876792</v>
      </c>
      <c r="O70" s="400">
        <v>13140.25</v>
      </c>
      <c r="P70" s="401">
        <v>14250.8</v>
      </c>
      <c r="Q70" s="401">
        <v>37180</v>
      </c>
      <c r="R70" s="402"/>
      <c r="S70" s="402">
        <v>33174.5</v>
      </c>
      <c r="T70" s="337">
        <f t="shared" si="1"/>
        <v>1717622.3068876793</v>
      </c>
      <c r="U70" s="403">
        <v>68.5</v>
      </c>
      <c r="V70" s="406">
        <v>488</v>
      </c>
      <c r="W70" s="409">
        <v>-345.58</v>
      </c>
      <c r="X70" s="410"/>
      <c r="Y70" s="410">
        <v>-125.97</v>
      </c>
      <c r="Z70" s="416">
        <v>1</v>
      </c>
      <c r="AA70" s="409"/>
      <c r="AB70" s="409"/>
      <c r="AC70" s="409"/>
      <c r="AD70" s="409"/>
      <c r="AE70" s="409"/>
      <c r="AF70" s="409"/>
    </row>
    <row r="71" spans="1:32" x14ac:dyDescent="0.25">
      <c r="A71" s="343">
        <v>5500</v>
      </c>
      <c r="B71" s="335" t="s">
        <v>173</v>
      </c>
      <c r="C71" s="395">
        <v>385139.76</v>
      </c>
      <c r="D71" s="395">
        <v>50943.38</v>
      </c>
      <c r="E71" s="395"/>
      <c r="F71" s="395"/>
      <c r="G71" s="385">
        <v>2547.2991966173358</v>
      </c>
      <c r="H71" s="385">
        <v>551.19999999999993</v>
      </c>
      <c r="I71" s="385">
        <v>523.74688639779333</v>
      </c>
      <c r="J71" s="398"/>
      <c r="K71" s="398">
        <v>-2334.81</v>
      </c>
      <c r="L71" s="398">
        <v>153.94999999999999</v>
      </c>
      <c r="M71" s="398">
        <v>50377.7</v>
      </c>
      <c r="N71" s="336">
        <f t="shared" ref="N71:N134" si="2">SUM(C71:M71)</f>
        <v>487902.22608301515</v>
      </c>
      <c r="O71" s="400">
        <v>1747.6</v>
      </c>
      <c r="P71" s="401">
        <v>47500</v>
      </c>
      <c r="Q71" s="401">
        <v>15655.8</v>
      </c>
      <c r="R71" s="402">
        <v>-2089.33</v>
      </c>
      <c r="S71" s="402"/>
      <c r="T71" s="337">
        <f t="shared" ref="T71:T134" si="3">SUM(N71:S71)</f>
        <v>550716.29608301527</v>
      </c>
      <c r="U71" s="403">
        <v>75</v>
      </c>
      <c r="V71" s="406">
        <v>225</v>
      </c>
      <c r="W71" s="409">
        <v>-4200.3900000000003</v>
      </c>
      <c r="X71" s="410"/>
      <c r="Y71" s="410">
        <v>-603.44000000000005</v>
      </c>
      <c r="Z71" s="416">
        <v>1.2</v>
      </c>
      <c r="AA71" s="409"/>
      <c r="AB71" s="409"/>
      <c r="AC71" s="409"/>
      <c r="AD71" s="409"/>
      <c r="AE71" s="409"/>
      <c r="AF71" s="409"/>
    </row>
    <row r="72" spans="1:32" x14ac:dyDescent="0.25">
      <c r="A72" s="343">
        <v>5501</v>
      </c>
      <c r="B72" s="335" t="s">
        <v>174</v>
      </c>
      <c r="C72" s="395">
        <v>1881688.92</v>
      </c>
      <c r="D72" s="395">
        <v>403216.75</v>
      </c>
      <c r="E72" s="395"/>
      <c r="F72" s="395"/>
      <c r="G72" s="385">
        <v>21551.641598915987</v>
      </c>
      <c r="H72" s="385">
        <v>2010.4</v>
      </c>
      <c r="I72" s="385">
        <v>3982.7494349780172</v>
      </c>
      <c r="J72" s="398">
        <v>38474.65</v>
      </c>
      <c r="K72" s="398">
        <v>73651.55</v>
      </c>
      <c r="L72" s="398"/>
      <c r="M72" s="398">
        <v>215245.75</v>
      </c>
      <c r="N72" s="336">
        <f t="shared" si="2"/>
        <v>2639822.4110338939</v>
      </c>
      <c r="O72" s="400">
        <v>356.45</v>
      </c>
      <c r="P72" s="401">
        <v>13667.9</v>
      </c>
      <c r="Q72" s="401">
        <v>122065.15</v>
      </c>
      <c r="R72" s="402"/>
      <c r="S72" s="402">
        <v>43428.65</v>
      </c>
      <c r="T72" s="337">
        <f t="shared" si="3"/>
        <v>2819340.5610338938</v>
      </c>
      <c r="U72" s="403">
        <v>70</v>
      </c>
      <c r="V72" s="406">
        <v>1036</v>
      </c>
      <c r="W72" s="409">
        <v>-13779.9</v>
      </c>
      <c r="X72" s="410"/>
      <c r="Y72" s="410">
        <v>-69.930000000000007</v>
      </c>
      <c r="Z72" s="416">
        <v>1</v>
      </c>
      <c r="AA72" s="409"/>
      <c r="AB72" s="409"/>
      <c r="AC72" s="409"/>
      <c r="AD72" s="409"/>
      <c r="AE72" s="409"/>
      <c r="AF72" s="409"/>
    </row>
    <row r="73" spans="1:32" x14ac:dyDescent="0.25">
      <c r="A73" s="343">
        <v>5503</v>
      </c>
      <c r="B73" s="335" t="s">
        <v>175</v>
      </c>
      <c r="C73" s="395">
        <v>3399837.56</v>
      </c>
      <c r="D73" s="395">
        <v>490758.86</v>
      </c>
      <c r="E73" s="395"/>
      <c r="F73" s="395"/>
      <c r="G73" s="385">
        <v>430939.38397692487</v>
      </c>
      <c r="H73" s="385">
        <v>47720.95</v>
      </c>
      <c r="I73" s="385">
        <v>80909.125242385329</v>
      </c>
      <c r="J73" s="398"/>
      <c r="K73" s="398">
        <v>31290.84</v>
      </c>
      <c r="L73" s="398">
        <v>28596</v>
      </c>
      <c r="M73" s="398">
        <v>413922.7</v>
      </c>
      <c r="N73" s="336">
        <f t="shared" si="2"/>
        <v>4923975.4192193104</v>
      </c>
      <c r="O73" s="400">
        <v>83801.5</v>
      </c>
      <c r="P73" s="401">
        <v>169027.3</v>
      </c>
      <c r="Q73" s="401">
        <v>398557</v>
      </c>
      <c r="R73" s="402">
        <v>6027.65</v>
      </c>
      <c r="S73" s="402">
        <v>184137.35</v>
      </c>
      <c r="T73" s="337">
        <f t="shared" si="3"/>
        <v>5765526.2192193102</v>
      </c>
      <c r="U73" s="403">
        <v>67</v>
      </c>
      <c r="V73" s="406">
        <v>1298</v>
      </c>
      <c r="W73" s="409">
        <v>-42647.08</v>
      </c>
      <c r="X73" s="410"/>
      <c r="Y73" s="410">
        <v>-25920.93</v>
      </c>
      <c r="Z73" s="416">
        <v>1.2</v>
      </c>
      <c r="AA73" s="409"/>
      <c r="AB73" s="409"/>
      <c r="AC73" s="409"/>
      <c r="AD73" s="409"/>
      <c r="AE73" s="409"/>
      <c r="AF73" s="409"/>
    </row>
    <row r="74" spans="1:32" x14ac:dyDescent="0.25">
      <c r="A74" s="343">
        <v>5511</v>
      </c>
      <c r="B74" s="335" t="s">
        <v>176</v>
      </c>
      <c r="C74" s="395">
        <v>2263538.13</v>
      </c>
      <c r="D74" s="395">
        <v>275937.7</v>
      </c>
      <c r="E74" s="395"/>
      <c r="F74" s="395"/>
      <c r="G74" s="385">
        <v>186412.07262872628</v>
      </c>
      <c r="H74" s="385">
        <v>3762.0000000000009</v>
      </c>
      <c r="I74" s="385">
        <v>32145.587941936839</v>
      </c>
      <c r="J74" s="398"/>
      <c r="K74" s="398">
        <v>44041.599999999999</v>
      </c>
      <c r="L74" s="398">
        <v>914.5</v>
      </c>
      <c r="M74" s="398">
        <v>227656.05</v>
      </c>
      <c r="N74" s="336">
        <f t="shared" si="2"/>
        <v>3034407.6405706629</v>
      </c>
      <c r="O74" s="400">
        <v>11690.75</v>
      </c>
      <c r="P74" s="401"/>
      <c r="Q74" s="401">
        <v>65936.05</v>
      </c>
      <c r="R74" s="402"/>
      <c r="S74" s="402">
        <v>58549.65</v>
      </c>
      <c r="T74" s="337">
        <f t="shared" si="3"/>
        <v>3170584.0905706626</v>
      </c>
      <c r="U74" s="403">
        <v>70</v>
      </c>
      <c r="V74" s="406">
        <v>1077</v>
      </c>
      <c r="W74" s="409">
        <v>-30651.52</v>
      </c>
      <c r="X74" s="410"/>
      <c r="Y74" s="410">
        <v>976.85</v>
      </c>
      <c r="Z74" s="416">
        <v>1</v>
      </c>
      <c r="AA74" s="409"/>
      <c r="AB74" s="409"/>
      <c r="AC74" s="409"/>
      <c r="AD74" s="409"/>
      <c r="AE74" s="409"/>
      <c r="AF74" s="409"/>
    </row>
    <row r="75" spans="1:32" x14ac:dyDescent="0.25">
      <c r="A75" s="343">
        <v>5512</v>
      </c>
      <c r="B75" s="335" t="s">
        <v>177</v>
      </c>
      <c r="C75" s="395">
        <v>2195592.9900000002</v>
      </c>
      <c r="D75" s="395">
        <v>394261.9</v>
      </c>
      <c r="E75" s="395"/>
      <c r="F75" s="395"/>
      <c r="G75" s="385">
        <v>58081.37315355202</v>
      </c>
      <c r="H75" s="385">
        <v>1733.4</v>
      </c>
      <c r="I75" s="385">
        <v>10110.637186533431</v>
      </c>
      <c r="J75" s="398"/>
      <c r="K75" s="398">
        <v>46382.11</v>
      </c>
      <c r="L75" s="398">
        <v>6899.7</v>
      </c>
      <c r="M75" s="398">
        <v>231503.7</v>
      </c>
      <c r="N75" s="336">
        <f t="shared" si="2"/>
        <v>2944565.8103400855</v>
      </c>
      <c r="O75" s="400">
        <v>26032.65</v>
      </c>
      <c r="P75" s="401">
        <v>5039.1000000000004</v>
      </c>
      <c r="Q75" s="401">
        <v>120506.75</v>
      </c>
      <c r="R75" s="402">
        <v>12834.81</v>
      </c>
      <c r="S75" s="402">
        <v>83998</v>
      </c>
      <c r="T75" s="337">
        <f t="shared" si="3"/>
        <v>3192977.1203400856</v>
      </c>
      <c r="U75" s="403">
        <v>79</v>
      </c>
      <c r="V75" s="406">
        <v>1239</v>
      </c>
      <c r="W75" s="409">
        <v>-30925.29</v>
      </c>
      <c r="X75" s="410"/>
      <c r="Y75" s="410">
        <v>11.12</v>
      </c>
      <c r="Z75" s="416">
        <v>1</v>
      </c>
      <c r="AA75" s="409"/>
      <c r="AB75" s="409"/>
      <c r="AC75" s="409"/>
      <c r="AD75" s="409"/>
      <c r="AE75" s="409"/>
      <c r="AF75" s="409"/>
    </row>
    <row r="76" spans="1:32" x14ac:dyDescent="0.25">
      <c r="A76" s="343">
        <v>5513</v>
      </c>
      <c r="B76" s="335" t="s">
        <v>178</v>
      </c>
      <c r="C76" s="395">
        <v>914669.16</v>
      </c>
      <c r="D76" s="395">
        <v>82272.58</v>
      </c>
      <c r="E76" s="395"/>
      <c r="F76" s="395"/>
      <c r="G76" s="385">
        <v>163674.03436266544</v>
      </c>
      <c r="H76" s="385">
        <v>57232.7</v>
      </c>
      <c r="I76" s="385">
        <v>37340.404810516178</v>
      </c>
      <c r="J76" s="398"/>
      <c r="K76" s="398">
        <v>62663.54</v>
      </c>
      <c r="L76" s="398">
        <v>10562</v>
      </c>
      <c r="M76" s="398">
        <v>56335.199999999997</v>
      </c>
      <c r="N76" s="336">
        <f t="shared" si="2"/>
        <v>1384749.6191731815</v>
      </c>
      <c r="O76" s="400">
        <v>158106.54999999999</v>
      </c>
      <c r="P76" s="401"/>
      <c r="Q76" s="401">
        <v>59089.3</v>
      </c>
      <c r="R76" s="402"/>
      <c r="S76" s="402">
        <v>9593.5499999999993</v>
      </c>
      <c r="T76" s="337">
        <f t="shared" si="3"/>
        <v>1611539.0191731816</v>
      </c>
      <c r="U76" s="403">
        <v>68</v>
      </c>
      <c r="V76" s="406">
        <v>516</v>
      </c>
      <c r="W76" s="409">
        <v>-713.56</v>
      </c>
      <c r="X76" s="410"/>
      <c r="Y76" s="410">
        <v>0</v>
      </c>
      <c r="Z76" s="416">
        <v>0.5</v>
      </c>
      <c r="AA76" s="409"/>
      <c r="AB76" s="409"/>
      <c r="AC76" s="409"/>
      <c r="AD76" s="409"/>
      <c r="AE76" s="409"/>
      <c r="AF76" s="409"/>
    </row>
    <row r="77" spans="1:32" x14ac:dyDescent="0.25">
      <c r="A77" s="343">
        <v>5514</v>
      </c>
      <c r="B77" s="335" t="s">
        <v>179</v>
      </c>
      <c r="C77" s="395">
        <v>2420758.0299999998</v>
      </c>
      <c r="D77" s="395">
        <v>348900.74</v>
      </c>
      <c r="E77" s="395"/>
      <c r="F77" s="395"/>
      <c r="G77" s="385">
        <v>13303.010885989008</v>
      </c>
      <c r="H77" s="385">
        <v>11547.500000000002</v>
      </c>
      <c r="I77" s="385">
        <v>4200.5425452878089</v>
      </c>
      <c r="J77" s="398">
        <v>33969.65</v>
      </c>
      <c r="K77" s="398">
        <v>38285.629999999997</v>
      </c>
      <c r="L77" s="398">
        <v>4883</v>
      </c>
      <c r="M77" s="398">
        <v>210677.85</v>
      </c>
      <c r="N77" s="336">
        <f t="shared" si="2"/>
        <v>3086525.9534312761</v>
      </c>
      <c r="O77" s="400">
        <v>5404.9</v>
      </c>
      <c r="P77" s="401">
        <v>25144.2</v>
      </c>
      <c r="Q77" s="401">
        <v>35961.199999999997</v>
      </c>
      <c r="R77" s="402">
        <v>360.38</v>
      </c>
      <c r="S77" s="402">
        <v>44987.5</v>
      </c>
      <c r="T77" s="337">
        <f t="shared" si="3"/>
        <v>3198384.1334312763</v>
      </c>
      <c r="U77" s="403">
        <v>69</v>
      </c>
      <c r="V77" s="406">
        <v>1298</v>
      </c>
      <c r="W77" s="409">
        <v>-6816.55</v>
      </c>
      <c r="X77" s="410"/>
      <c r="Y77" s="410">
        <v>-13.81</v>
      </c>
      <c r="Z77" s="416">
        <v>1</v>
      </c>
      <c r="AA77" s="409"/>
      <c r="AB77" s="409"/>
      <c r="AC77" s="409"/>
      <c r="AD77" s="409"/>
      <c r="AE77" s="409"/>
      <c r="AF77" s="409"/>
    </row>
    <row r="78" spans="1:32" x14ac:dyDescent="0.25">
      <c r="A78" s="343">
        <v>5515</v>
      </c>
      <c r="B78" s="335" t="s">
        <v>180</v>
      </c>
      <c r="C78" s="395">
        <v>1922556.55</v>
      </c>
      <c r="D78" s="395">
        <v>220605.8</v>
      </c>
      <c r="E78" s="395"/>
      <c r="F78" s="395"/>
      <c r="G78" s="385">
        <v>6163.95598349381</v>
      </c>
      <c r="H78" s="385">
        <v>795.40000000000009</v>
      </c>
      <c r="I78" s="385">
        <v>1176.3569381163491</v>
      </c>
      <c r="J78" s="398"/>
      <c r="K78" s="398">
        <v>45806.43</v>
      </c>
      <c r="L78" s="398">
        <v>4906.05</v>
      </c>
      <c r="M78" s="398">
        <v>158209.1</v>
      </c>
      <c r="N78" s="336">
        <f t="shared" si="2"/>
        <v>2360219.6429216103</v>
      </c>
      <c r="O78" s="400">
        <v>6260.8</v>
      </c>
      <c r="P78" s="401"/>
      <c r="Q78" s="401">
        <v>106043.3</v>
      </c>
      <c r="R78" s="402">
        <v>16241.2</v>
      </c>
      <c r="S78" s="402">
        <v>98244.7</v>
      </c>
      <c r="T78" s="337">
        <f t="shared" si="3"/>
        <v>2587009.6429216103</v>
      </c>
      <c r="U78" s="403">
        <v>81</v>
      </c>
      <c r="V78" s="406">
        <v>843</v>
      </c>
      <c r="W78" s="409">
        <v>-31250.78</v>
      </c>
      <c r="X78" s="410">
        <v>-9871.0499999999993</v>
      </c>
      <c r="Y78" s="410">
        <v>-15.14</v>
      </c>
      <c r="Z78" s="416">
        <v>1</v>
      </c>
      <c r="AA78" s="409"/>
      <c r="AB78" s="409"/>
      <c r="AC78" s="409"/>
      <c r="AD78" s="409"/>
      <c r="AE78" s="409"/>
      <c r="AF78" s="409"/>
    </row>
    <row r="79" spans="1:32" x14ac:dyDescent="0.25">
      <c r="A79" s="343">
        <v>5516</v>
      </c>
      <c r="B79" s="335" t="s">
        <v>181</v>
      </c>
      <c r="C79" s="395">
        <v>6890643.96</v>
      </c>
      <c r="D79" s="395">
        <v>1004623.96</v>
      </c>
      <c r="E79" s="395"/>
      <c r="F79" s="395"/>
      <c r="G79" s="385">
        <v>55532.836048879893</v>
      </c>
      <c r="H79" s="385">
        <v>14050.199999999999</v>
      </c>
      <c r="I79" s="385">
        <v>11761.790519904749</v>
      </c>
      <c r="J79" s="398"/>
      <c r="K79" s="398">
        <v>139190.34</v>
      </c>
      <c r="L79" s="398">
        <v>50364.55</v>
      </c>
      <c r="M79" s="398">
        <v>677488.8</v>
      </c>
      <c r="N79" s="336">
        <f t="shared" si="2"/>
        <v>8843656.4365687836</v>
      </c>
      <c r="O79" s="400">
        <v>96390</v>
      </c>
      <c r="P79" s="401">
        <v>730</v>
      </c>
      <c r="Q79" s="401">
        <v>226670.85</v>
      </c>
      <c r="R79" s="402">
        <v>5117</v>
      </c>
      <c r="S79" s="402">
        <v>213237.7</v>
      </c>
      <c r="T79" s="337">
        <f t="shared" si="3"/>
        <v>9385801.9865687825</v>
      </c>
      <c r="U79" s="403">
        <v>78</v>
      </c>
      <c r="V79" s="406">
        <v>2742</v>
      </c>
      <c r="W79" s="409">
        <v>-58074.95</v>
      </c>
      <c r="X79" s="410"/>
      <c r="Y79" s="410">
        <v>-801.17</v>
      </c>
      <c r="Z79" s="416">
        <v>1.2</v>
      </c>
      <c r="AA79" s="409"/>
      <c r="AB79" s="409"/>
      <c r="AC79" s="409"/>
      <c r="AD79" s="409"/>
      <c r="AE79" s="409"/>
      <c r="AF79" s="409"/>
    </row>
    <row r="80" spans="1:32" x14ac:dyDescent="0.25">
      <c r="A80" s="343">
        <v>5518</v>
      </c>
      <c r="B80" s="335" t="s">
        <v>182</v>
      </c>
      <c r="C80" s="395">
        <v>10213378.539999999</v>
      </c>
      <c r="D80" s="395">
        <v>1225169.8799999999</v>
      </c>
      <c r="E80" s="395"/>
      <c r="F80" s="395"/>
      <c r="G80" s="385">
        <v>566480.3739186296</v>
      </c>
      <c r="H80" s="385">
        <v>54112.149999999732</v>
      </c>
      <c r="I80" s="385">
        <v>104900.26993680447</v>
      </c>
      <c r="J80" s="398"/>
      <c r="K80" s="398">
        <v>236604.68</v>
      </c>
      <c r="L80" s="398">
        <v>110256.05</v>
      </c>
      <c r="M80" s="398">
        <v>1041274.05</v>
      </c>
      <c r="N80" s="336">
        <f t="shared" si="2"/>
        <v>13552175.993855434</v>
      </c>
      <c r="O80" s="400">
        <v>190763.25</v>
      </c>
      <c r="P80" s="401">
        <v>-15166.2</v>
      </c>
      <c r="Q80" s="401">
        <v>331738.55</v>
      </c>
      <c r="R80" s="402">
        <v>180315.06</v>
      </c>
      <c r="S80" s="402">
        <v>209401</v>
      </c>
      <c r="T80" s="337">
        <f t="shared" si="3"/>
        <v>14449227.653855436</v>
      </c>
      <c r="U80" s="403">
        <v>74</v>
      </c>
      <c r="V80" s="406">
        <v>5742</v>
      </c>
      <c r="W80" s="409">
        <v>-341090.29</v>
      </c>
      <c r="X80" s="410"/>
      <c r="Y80" s="410">
        <v>-399.47</v>
      </c>
      <c r="Z80" s="416">
        <v>1</v>
      </c>
      <c r="AA80" s="409"/>
      <c r="AB80" s="409"/>
      <c r="AC80" s="409"/>
      <c r="AD80" s="409"/>
      <c r="AE80" s="409"/>
      <c r="AF80" s="409"/>
    </row>
    <row r="81" spans="1:32" x14ac:dyDescent="0.25">
      <c r="A81" s="343">
        <v>5520</v>
      </c>
      <c r="B81" s="335" t="s">
        <v>183</v>
      </c>
      <c r="C81" s="395">
        <v>1907135.91</v>
      </c>
      <c r="D81" s="395">
        <v>211764.26</v>
      </c>
      <c r="E81" s="395"/>
      <c r="F81" s="395"/>
      <c r="G81" s="385">
        <v>7217.0114124538959</v>
      </c>
      <c r="H81" s="385">
        <v>3065.4000000000005</v>
      </c>
      <c r="I81" s="385">
        <v>1738.0611128810822</v>
      </c>
      <c r="J81" s="398"/>
      <c r="K81" s="398">
        <v>19387.86</v>
      </c>
      <c r="L81" s="398">
        <v>1895.25</v>
      </c>
      <c r="M81" s="398">
        <v>173750.65</v>
      </c>
      <c r="N81" s="336">
        <f t="shared" si="2"/>
        <v>2325954.4025253346</v>
      </c>
      <c r="O81" s="400">
        <v>6976.6</v>
      </c>
      <c r="P81" s="401">
        <v>44088</v>
      </c>
      <c r="Q81" s="401">
        <v>102119.4</v>
      </c>
      <c r="R81" s="402">
        <v>11748.26</v>
      </c>
      <c r="S81" s="402">
        <v>73413.899999999994</v>
      </c>
      <c r="T81" s="337">
        <f t="shared" si="3"/>
        <v>2564300.5625253343</v>
      </c>
      <c r="U81" s="403">
        <v>73</v>
      </c>
      <c r="V81" s="406">
        <v>1024</v>
      </c>
      <c r="W81" s="409">
        <v>-16786.490000000002</v>
      </c>
      <c r="X81" s="410"/>
      <c r="Y81" s="410">
        <v>-31.01</v>
      </c>
      <c r="Z81" s="416">
        <v>1</v>
      </c>
      <c r="AA81" s="409"/>
      <c r="AB81" s="409"/>
      <c r="AC81" s="409"/>
      <c r="AD81" s="409"/>
      <c r="AE81" s="409"/>
      <c r="AF81" s="409"/>
    </row>
    <row r="82" spans="1:32" x14ac:dyDescent="0.25">
      <c r="A82" s="343">
        <v>5521</v>
      </c>
      <c r="B82" s="335" t="s">
        <v>184</v>
      </c>
      <c r="C82" s="395">
        <v>2430698.8199999998</v>
      </c>
      <c r="D82" s="395">
        <v>249888.91</v>
      </c>
      <c r="E82" s="395"/>
      <c r="F82" s="395"/>
      <c r="G82" s="385">
        <v>81476.599696246471</v>
      </c>
      <c r="H82" s="385">
        <v>2993.3999999999996</v>
      </c>
      <c r="I82" s="385">
        <v>14278.170342348289</v>
      </c>
      <c r="J82" s="398"/>
      <c r="K82" s="398">
        <v>39857.69</v>
      </c>
      <c r="L82" s="398">
        <v>14596.25</v>
      </c>
      <c r="M82" s="398">
        <v>244089.7</v>
      </c>
      <c r="N82" s="336">
        <f t="shared" si="2"/>
        <v>3077879.540038595</v>
      </c>
      <c r="O82" s="400">
        <v>55180.35</v>
      </c>
      <c r="P82" s="401">
        <v>11582.8</v>
      </c>
      <c r="Q82" s="401">
        <v>123693.3</v>
      </c>
      <c r="R82" s="402">
        <v>13962.1</v>
      </c>
      <c r="S82" s="402">
        <v>23177.200000000001</v>
      </c>
      <c r="T82" s="337">
        <f t="shared" si="3"/>
        <v>3305475.290038595</v>
      </c>
      <c r="U82" s="403">
        <v>73</v>
      </c>
      <c r="V82" s="406">
        <v>1118</v>
      </c>
      <c r="W82" s="409">
        <v>-35773.68</v>
      </c>
      <c r="X82" s="410"/>
      <c r="Y82" s="410">
        <v>-35.909999999999997</v>
      </c>
      <c r="Z82" s="416">
        <v>1</v>
      </c>
      <c r="AA82" s="409"/>
      <c r="AB82" s="409"/>
      <c r="AC82" s="409"/>
      <c r="AD82" s="409"/>
      <c r="AE82" s="409"/>
      <c r="AF82" s="409"/>
    </row>
    <row r="83" spans="1:32" x14ac:dyDescent="0.25">
      <c r="A83" s="343">
        <v>5522</v>
      </c>
      <c r="B83" s="335" t="s">
        <v>185</v>
      </c>
      <c r="C83" s="395">
        <v>1277627.98</v>
      </c>
      <c r="D83" s="395">
        <v>169238.39999999999</v>
      </c>
      <c r="E83" s="395"/>
      <c r="F83" s="395"/>
      <c r="G83" s="385">
        <v>28829.179281183937</v>
      </c>
      <c r="H83" s="385">
        <v>1412.2</v>
      </c>
      <c r="I83" s="385">
        <v>5111.7741957739554</v>
      </c>
      <c r="J83" s="398"/>
      <c r="K83" s="398">
        <v>25943.21</v>
      </c>
      <c r="L83" s="398">
        <v>2192.9</v>
      </c>
      <c r="M83" s="398">
        <v>121092.4</v>
      </c>
      <c r="N83" s="336">
        <f t="shared" si="2"/>
        <v>1631448.0434769576</v>
      </c>
      <c r="O83" s="400">
        <v>16661.849999999999</v>
      </c>
      <c r="P83" s="401">
        <v>18267.2</v>
      </c>
      <c r="Q83" s="401">
        <v>49332.35</v>
      </c>
      <c r="R83" s="402"/>
      <c r="S83" s="402">
        <v>44424.9</v>
      </c>
      <c r="T83" s="337">
        <f t="shared" si="3"/>
        <v>1760134.3434769576</v>
      </c>
      <c r="U83" s="403">
        <v>75</v>
      </c>
      <c r="V83" s="406">
        <v>734</v>
      </c>
      <c r="W83" s="409">
        <v>-16654.57</v>
      </c>
      <c r="X83" s="410"/>
      <c r="Y83" s="410">
        <v>-0.08</v>
      </c>
      <c r="Z83" s="416">
        <v>1</v>
      </c>
      <c r="AA83" s="409"/>
      <c r="AB83" s="409"/>
      <c r="AC83" s="409"/>
      <c r="AD83" s="409"/>
      <c r="AE83" s="409"/>
      <c r="AF83" s="409"/>
    </row>
    <row r="84" spans="1:32" x14ac:dyDescent="0.25">
      <c r="A84" s="343">
        <v>5523</v>
      </c>
      <c r="B84" s="335" t="s">
        <v>186</v>
      </c>
      <c r="C84" s="395">
        <v>5046138.18</v>
      </c>
      <c r="D84" s="395">
        <v>604455.87</v>
      </c>
      <c r="E84" s="395"/>
      <c r="F84" s="395">
        <v>14310</v>
      </c>
      <c r="G84" s="385">
        <v>22665.241544885175</v>
      </c>
      <c r="H84" s="385">
        <v>5552.4000000000024</v>
      </c>
      <c r="I84" s="385">
        <v>4769.6968638097169</v>
      </c>
      <c r="J84" s="398">
        <v>29419.200000000001</v>
      </c>
      <c r="K84" s="398">
        <v>96703.59</v>
      </c>
      <c r="L84" s="398">
        <v>17888.5</v>
      </c>
      <c r="M84" s="398">
        <v>610481.05000000005</v>
      </c>
      <c r="N84" s="336">
        <f t="shared" si="2"/>
        <v>6452383.7284086952</v>
      </c>
      <c r="O84" s="400">
        <v>4694.8999999999996</v>
      </c>
      <c r="P84" s="401">
        <v>7359.8</v>
      </c>
      <c r="Q84" s="401">
        <v>186943.35</v>
      </c>
      <c r="R84" s="402">
        <v>40536.46</v>
      </c>
      <c r="S84" s="402">
        <v>124010.55</v>
      </c>
      <c r="T84" s="337">
        <f t="shared" si="3"/>
        <v>6815928.7884086948</v>
      </c>
      <c r="U84" s="403">
        <v>76</v>
      </c>
      <c r="V84" s="406">
        <v>2576</v>
      </c>
      <c r="W84" s="409">
        <v>-67792.990000000005</v>
      </c>
      <c r="X84" s="410"/>
      <c r="Y84" s="410">
        <v>-71.8</v>
      </c>
      <c r="Z84" s="416">
        <v>1.25</v>
      </c>
      <c r="AA84" s="409"/>
      <c r="AB84" s="409"/>
      <c r="AC84" s="409"/>
      <c r="AD84" s="409"/>
      <c r="AE84" s="409"/>
      <c r="AF84" s="409"/>
    </row>
    <row r="85" spans="1:32" x14ac:dyDescent="0.25">
      <c r="A85" s="343">
        <v>5527</v>
      </c>
      <c r="B85" s="335" t="s">
        <v>187</v>
      </c>
      <c r="C85" s="395">
        <v>2212690.04</v>
      </c>
      <c r="D85" s="395">
        <v>360108.16</v>
      </c>
      <c r="E85" s="395"/>
      <c r="F85" s="395"/>
      <c r="G85" s="385">
        <v>-749.67648822269859</v>
      </c>
      <c r="H85" s="385">
        <v>231.09999999999991</v>
      </c>
      <c r="I85" s="385">
        <v>0</v>
      </c>
      <c r="J85" s="398"/>
      <c r="K85" s="398">
        <v>36379.5</v>
      </c>
      <c r="L85" s="398">
        <v>2709.25</v>
      </c>
      <c r="M85" s="398">
        <v>217631.95</v>
      </c>
      <c r="N85" s="336">
        <f t="shared" si="2"/>
        <v>2829000.3235117779</v>
      </c>
      <c r="O85" s="400">
        <v>9200.9500000000007</v>
      </c>
      <c r="P85" s="401">
        <v>346.2</v>
      </c>
      <c r="Q85" s="401">
        <v>152170.65</v>
      </c>
      <c r="R85" s="402">
        <v>7544.42</v>
      </c>
      <c r="S85" s="402">
        <v>111776.65</v>
      </c>
      <c r="T85" s="337">
        <f t="shared" si="3"/>
        <v>3110039.193511778</v>
      </c>
      <c r="U85" s="403">
        <v>74</v>
      </c>
      <c r="V85" s="406">
        <v>1077</v>
      </c>
      <c r="W85" s="409">
        <v>-35052.620000000003</v>
      </c>
      <c r="X85" s="410">
        <v>-853.3</v>
      </c>
      <c r="Y85" s="410">
        <v>-12.04</v>
      </c>
      <c r="Z85" s="416">
        <v>1</v>
      </c>
      <c r="AA85" s="409"/>
      <c r="AB85" s="409"/>
      <c r="AC85" s="409"/>
      <c r="AD85" s="409"/>
      <c r="AE85" s="409"/>
      <c r="AF85" s="409"/>
    </row>
    <row r="86" spans="1:32" x14ac:dyDescent="0.25">
      <c r="A86" s="343">
        <v>5529</v>
      </c>
      <c r="B86" s="335" t="s">
        <v>188</v>
      </c>
      <c r="C86" s="395">
        <v>1254600.81</v>
      </c>
      <c r="D86" s="395">
        <v>129569.94</v>
      </c>
      <c r="E86" s="395"/>
      <c r="F86" s="395"/>
      <c r="G86" s="385">
        <v>9406.1541546001336</v>
      </c>
      <c r="H86" s="385">
        <v>1133.8</v>
      </c>
      <c r="I86" s="385">
        <v>1781.5941915601725</v>
      </c>
      <c r="J86" s="398"/>
      <c r="K86" s="398">
        <v>12599.56</v>
      </c>
      <c r="L86" s="398">
        <v>2516.75</v>
      </c>
      <c r="M86" s="398">
        <v>106236.7</v>
      </c>
      <c r="N86" s="336">
        <f t="shared" si="2"/>
        <v>1517845.3083461605</v>
      </c>
      <c r="O86" s="400">
        <v>490.85</v>
      </c>
      <c r="P86" s="401"/>
      <c r="Q86" s="401">
        <v>27451.9</v>
      </c>
      <c r="R86" s="402"/>
      <c r="S86" s="402">
        <v>33140.5</v>
      </c>
      <c r="T86" s="337">
        <f t="shared" si="3"/>
        <v>1578928.5583461605</v>
      </c>
      <c r="U86" s="403">
        <v>71</v>
      </c>
      <c r="V86" s="406">
        <v>611</v>
      </c>
      <c r="W86" s="409">
        <v>-10309.91</v>
      </c>
      <c r="X86" s="410"/>
      <c r="Y86" s="410">
        <v>-14.79</v>
      </c>
      <c r="Z86" s="416">
        <v>1</v>
      </c>
      <c r="AA86" s="409"/>
      <c r="AB86" s="409"/>
      <c r="AC86" s="409"/>
      <c r="AD86" s="409"/>
      <c r="AE86" s="409"/>
      <c r="AF86" s="409"/>
    </row>
    <row r="87" spans="1:32" x14ac:dyDescent="0.25">
      <c r="A87" s="343">
        <v>5530</v>
      </c>
      <c r="B87" s="335" t="s">
        <v>189</v>
      </c>
      <c r="C87" s="395">
        <v>1033020.23</v>
      </c>
      <c r="D87" s="395">
        <v>149415.29</v>
      </c>
      <c r="E87" s="395"/>
      <c r="F87" s="395"/>
      <c r="G87" s="385">
        <v>29771.885901639344</v>
      </c>
      <c r="H87" s="385">
        <v>208.69999999999982</v>
      </c>
      <c r="I87" s="385">
        <v>5067.6916539166732</v>
      </c>
      <c r="J87" s="398"/>
      <c r="K87" s="398">
        <v>19037.53</v>
      </c>
      <c r="L87" s="398">
        <v>762.5</v>
      </c>
      <c r="M87" s="398">
        <v>99443.3</v>
      </c>
      <c r="N87" s="336">
        <f t="shared" si="2"/>
        <v>1336727.1275555559</v>
      </c>
      <c r="O87" s="400">
        <v>12684.65</v>
      </c>
      <c r="P87" s="401">
        <v>39778</v>
      </c>
      <c r="Q87" s="401">
        <v>73217.149999999994</v>
      </c>
      <c r="R87" s="402"/>
      <c r="S87" s="402">
        <v>67452.3</v>
      </c>
      <c r="T87" s="337">
        <f t="shared" si="3"/>
        <v>1529859.2275555558</v>
      </c>
      <c r="U87" s="403">
        <v>77.5</v>
      </c>
      <c r="V87" s="406">
        <v>561</v>
      </c>
      <c r="W87" s="409">
        <v>-14238.15</v>
      </c>
      <c r="X87" s="410">
        <v>-2145.3000000000002</v>
      </c>
      <c r="Y87" s="410">
        <v>0</v>
      </c>
      <c r="Z87" s="416">
        <v>1.2</v>
      </c>
      <c r="AA87" s="409"/>
      <c r="AB87" s="409"/>
      <c r="AC87" s="409"/>
      <c r="AD87" s="409"/>
      <c r="AE87" s="409"/>
      <c r="AF87" s="409"/>
    </row>
    <row r="88" spans="1:32" x14ac:dyDescent="0.25">
      <c r="A88" s="343">
        <v>5531</v>
      </c>
      <c r="B88" s="335" t="s">
        <v>190</v>
      </c>
      <c r="C88" s="395">
        <v>936912.32</v>
      </c>
      <c r="D88" s="395">
        <v>141483.68</v>
      </c>
      <c r="E88" s="395"/>
      <c r="F88" s="395"/>
      <c r="G88" s="385">
        <v>-141.33250509164967</v>
      </c>
      <c r="H88" s="385">
        <v>519.9</v>
      </c>
      <c r="I88" s="385">
        <v>63.990188206638344</v>
      </c>
      <c r="J88" s="398"/>
      <c r="K88" s="398">
        <v>9121.49</v>
      </c>
      <c r="L88" s="398">
        <v>910</v>
      </c>
      <c r="M88" s="398">
        <v>74978</v>
      </c>
      <c r="N88" s="336">
        <f t="shared" si="2"/>
        <v>1163848.0476831149</v>
      </c>
      <c r="O88" s="400">
        <v>11272.95</v>
      </c>
      <c r="P88" s="401"/>
      <c r="Q88" s="401">
        <v>29757</v>
      </c>
      <c r="R88" s="402">
        <v>12666.82</v>
      </c>
      <c r="S88" s="402">
        <v>28799.45</v>
      </c>
      <c r="T88" s="337">
        <f t="shared" si="3"/>
        <v>1246344.2676831149</v>
      </c>
      <c r="U88" s="403">
        <v>78</v>
      </c>
      <c r="V88" s="406">
        <v>421</v>
      </c>
      <c r="W88" s="409">
        <v>-7338.33</v>
      </c>
      <c r="X88" s="410"/>
      <c r="Y88" s="410">
        <v>-1.38</v>
      </c>
      <c r="Z88" s="416">
        <v>1</v>
      </c>
      <c r="AA88" s="409"/>
      <c r="AB88" s="409"/>
      <c r="AC88" s="409"/>
      <c r="AD88" s="409"/>
      <c r="AE88" s="409"/>
      <c r="AF88" s="409"/>
    </row>
    <row r="89" spans="1:32" x14ac:dyDescent="0.25">
      <c r="A89" s="343">
        <v>5533</v>
      </c>
      <c r="B89" s="335" t="s">
        <v>191</v>
      </c>
      <c r="C89" s="395">
        <v>1414863.62</v>
      </c>
      <c r="D89" s="395">
        <v>142283.60999999999</v>
      </c>
      <c r="E89" s="395"/>
      <c r="F89" s="395"/>
      <c r="G89" s="385">
        <v>33730.257072844724</v>
      </c>
      <c r="H89" s="385">
        <v>1763.9</v>
      </c>
      <c r="I89" s="385">
        <v>5999.6640542981231</v>
      </c>
      <c r="J89" s="398"/>
      <c r="K89" s="398">
        <v>41219.5</v>
      </c>
      <c r="L89" s="398">
        <v>8665</v>
      </c>
      <c r="M89" s="398">
        <v>82794.45</v>
      </c>
      <c r="N89" s="336">
        <f t="shared" si="2"/>
        <v>1731320.0011271427</v>
      </c>
      <c r="O89" s="400">
        <v>4052.5</v>
      </c>
      <c r="P89" s="401"/>
      <c r="Q89" s="401">
        <v>54071.55</v>
      </c>
      <c r="R89" s="402">
        <v>37490.17</v>
      </c>
      <c r="S89" s="402">
        <v>13021.5</v>
      </c>
      <c r="T89" s="337">
        <f t="shared" si="3"/>
        <v>1839955.7211271427</v>
      </c>
      <c r="U89" s="403">
        <v>71</v>
      </c>
      <c r="V89" s="406">
        <v>846</v>
      </c>
      <c r="W89" s="409">
        <v>-29375.439999999999</v>
      </c>
      <c r="X89" s="410"/>
      <c r="Y89" s="410">
        <v>-47.6</v>
      </c>
      <c r="Z89" s="416">
        <v>0.6</v>
      </c>
      <c r="AA89" s="409"/>
      <c r="AB89" s="409"/>
      <c r="AC89" s="409"/>
      <c r="AD89" s="409"/>
      <c r="AE89" s="409"/>
      <c r="AF89" s="409"/>
    </row>
    <row r="90" spans="1:32" x14ac:dyDescent="0.25">
      <c r="A90" s="343">
        <v>5534</v>
      </c>
      <c r="B90" s="335" t="s">
        <v>192</v>
      </c>
      <c r="C90" s="395">
        <v>390810.7</v>
      </c>
      <c r="D90" s="395">
        <v>81517.850000000006</v>
      </c>
      <c r="E90" s="395"/>
      <c r="F90" s="395"/>
      <c r="G90" s="385">
        <v>53292.630418745925</v>
      </c>
      <c r="H90" s="385">
        <v>380.60000000000014</v>
      </c>
      <c r="I90" s="385">
        <v>9072.5172191165293</v>
      </c>
      <c r="J90" s="398"/>
      <c r="K90" s="398">
        <v>1450.5</v>
      </c>
      <c r="L90" s="398">
        <v>861</v>
      </c>
      <c r="M90" s="398">
        <v>72387.75</v>
      </c>
      <c r="N90" s="336">
        <f t="shared" si="2"/>
        <v>609773.5476378625</v>
      </c>
      <c r="O90" s="400">
        <v>24343.4</v>
      </c>
      <c r="P90" s="401">
        <v>25.5</v>
      </c>
      <c r="Q90" s="401">
        <v>5991.7</v>
      </c>
      <c r="R90" s="402"/>
      <c r="S90" s="402">
        <v>4317.3999999999996</v>
      </c>
      <c r="T90" s="337">
        <f t="shared" si="3"/>
        <v>644451.5476378625</v>
      </c>
      <c r="U90" s="403">
        <v>73</v>
      </c>
      <c r="V90" s="406">
        <v>255</v>
      </c>
      <c r="W90" s="409">
        <v>-2914.9</v>
      </c>
      <c r="X90" s="410"/>
      <c r="Y90" s="410">
        <v>0</v>
      </c>
      <c r="Z90" s="416">
        <v>1</v>
      </c>
      <c r="AA90" s="409"/>
      <c r="AB90" s="409"/>
      <c r="AC90" s="409"/>
      <c r="AD90" s="409"/>
      <c r="AE90" s="409"/>
      <c r="AF90" s="409"/>
    </row>
    <row r="91" spans="1:32" x14ac:dyDescent="0.25">
      <c r="A91" s="343">
        <v>5535</v>
      </c>
      <c r="B91" s="335" t="s">
        <v>30</v>
      </c>
      <c r="C91" s="395">
        <v>1411088.21</v>
      </c>
      <c r="D91" s="395">
        <v>121309.41</v>
      </c>
      <c r="E91" s="395"/>
      <c r="F91" s="395"/>
      <c r="G91" s="385">
        <v>15686.451463917527</v>
      </c>
      <c r="H91" s="385">
        <v>7987.45</v>
      </c>
      <c r="I91" s="385">
        <v>4001.6573811447911</v>
      </c>
      <c r="J91" s="398"/>
      <c r="K91" s="398">
        <v>7812.17</v>
      </c>
      <c r="L91" s="398">
        <v>-5870.7</v>
      </c>
      <c r="M91" s="398">
        <v>139537.29999999999</v>
      </c>
      <c r="N91" s="336">
        <f t="shared" si="2"/>
        <v>1701551.9488450622</v>
      </c>
      <c r="O91" s="400">
        <v>37117.599999999999</v>
      </c>
      <c r="P91" s="401" t="s">
        <v>563</v>
      </c>
      <c r="Q91" s="401">
        <v>96756</v>
      </c>
      <c r="R91" s="402">
        <v>1590.36</v>
      </c>
      <c r="S91" s="402">
        <v>54993.55</v>
      </c>
      <c r="T91" s="337">
        <f t="shared" si="3"/>
        <v>1892009.4588450624</v>
      </c>
      <c r="U91" s="403">
        <v>77</v>
      </c>
      <c r="V91" s="406">
        <v>778</v>
      </c>
      <c r="W91" s="409">
        <v>-24352.83</v>
      </c>
      <c r="X91" s="410"/>
      <c r="Y91" s="410">
        <v>-2.46</v>
      </c>
      <c r="Z91" s="416">
        <v>1</v>
      </c>
      <c r="AA91" s="409"/>
      <c r="AB91" s="409"/>
      <c r="AC91" s="409"/>
      <c r="AD91" s="409"/>
      <c r="AE91" s="409"/>
      <c r="AF91" s="409"/>
    </row>
    <row r="92" spans="1:32" x14ac:dyDescent="0.25">
      <c r="A92" s="343">
        <v>5537</v>
      </c>
      <c r="B92" s="335" t="s">
        <v>31</v>
      </c>
      <c r="C92" s="395">
        <v>2254489.0299999998</v>
      </c>
      <c r="D92" s="395">
        <v>238408.52</v>
      </c>
      <c r="E92" s="395"/>
      <c r="F92" s="395">
        <v>6505.35</v>
      </c>
      <c r="G92" s="385">
        <v>9137.5185940551073</v>
      </c>
      <c r="H92" s="385">
        <v>1676.5</v>
      </c>
      <c r="I92" s="385">
        <v>1827.9199730848554</v>
      </c>
      <c r="J92" s="398"/>
      <c r="K92" s="398">
        <v>25861.759999999998</v>
      </c>
      <c r="L92" s="398">
        <v>2788.75</v>
      </c>
      <c r="M92" s="398">
        <v>161631.29999999999</v>
      </c>
      <c r="N92" s="336">
        <f t="shared" si="2"/>
        <v>2702326.6485671392</v>
      </c>
      <c r="O92" s="400"/>
      <c r="P92" s="401">
        <v>1449.5</v>
      </c>
      <c r="Q92" s="401">
        <v>80137.100000000006</v>
      </c>
      <c r="R92" s="402"/>
      <c r="S92" s="402">
        <v>38680.85</v>
      </c>
      <c r="T92" s="337">
        <f t="shared" si="3"/>
        <v>2822594.0985671394</v>
      </c>
      <c r="U92" s="403">
        <v>73</v>
      </c>
      <c r="V92" s="406">
        <v>1213</v>
      </c>
      <c r="W92" s="409">
        <v>-18916.48</v>
      </c>
      <c r="X92" s="410"/>
      <c r="Y92" s="410">
        <v>-19.940000000000001</v>
      </c>
      <c r="Z92" s="416">
        <v>0.8</v>
      </c>
      <c r="AA92" s="409"/>
      <c r="AB92" s="409"/>
      <c r="AC92" s="409"/>
      <c r="AD92" s="409"/>
      <c r="AE92" s="409"/>
      <c r="AF92" s="409"/>
    </row>
    <row r="93" spans="1:32" x14ac:dyDescent="0.25">
      <c r="A93" s="343">
        <v>5539</v>
      </c>
      <c r="B93" s="335" t="s">
        <v>32</v>
      </c>
      <c r="C93" s="395">
        <v>1787228.45</v>
      </c>
      <c r="D93" s="395">
        <v>182428.27</v>
      </c>
      <c r="E93" s="395"/>
      <c r="F93" s="395"/>
      <c r="G93" s="385">
        <v>3423.8865961945025</v>
      </c>
      <c r="H93" s="385">
        <v>1699.1999999999998</v>
      </c>
      <c r="I93" s="385">
        <v>865.96783902103914</v>
      </c>
      <c r="J93" s="398"/>
      <c r="K93" s="398">
        <v>25205.23</v>
      </c>
      <c r="L93" s="398">
        <v>5776.2</v>
      </c>
      <c r="M93" s="398">
        <v>138557.9</v>
      </c>
      <c r="N93" s="336">
        <f t="shared" si="2"/>
        <v>2145185.1044352152</v>
      </c>
      <c r="O93" s="400">
        <v>14221.75</v>
      </c>
      <c r="P93" s="401">
        <v>39766.800000000003</v>
      </c>
      <c r="Q93" s="401">
        <v>85795.199999999997</v>
      </c>
      <c r="R93" s="402">
        <v>3313.53</v>
      </c>
      <c r="S93" s="402">
        <v>37040.949999999997</v>
      </c>
      <c r="T93" s="337">
        <f t="shared" si="3"/>
        <v>2325323.3344352152</v>
      </c>
      <c r="U93" s="403">
        <v>75</v>
      </c>
      <c r="V93" s="406">
        <v>1001</v>
      </c>
      <c r="W93" s="409">
        <v>-18348.13</v>
      </c>
      <c r="X93" s="410"/>
      <c r="Y93" s="410">
        <v>-38.14</v>
      </c>
      <c r="Z93" s="416">
        <v>0.8</v>
      </c>
      <c r="AA93" s="409"/>
      <c r="AB93" s="409"/>
      <c r="AC93" s="409"/>
      <c r="AD93" s="409"/>
      <c r="AE93" s="409"/>
      <c r="AF93" s="409"/>
    </row>
    <row r="94" spans="1:32" x14ac:dyDescent="0.25">
      <c r="A94" s="343">
        <v>5540</v>
      </c>
      <c r="B94" s="335" t="s">
        <v>432</v>
      </c>
      <c r="C94" s="395">
        <v>3586668.5</v>
      </c>
      <c r="D94" s="395">
        <v>474332.65</v>
      </c>
      <c r="E94" s="395"/>
      <c r="F94" s="395"/>
      <c r="G94" s="385">
        <v>38492.678929336173</v>
      </c>
      <c r="H94" s="385">
        <v>5763.25</v>
      </c>
      <c r="I94" s="385">
        <v>7480.6877493098937</v>
      </c>
      <c r="J94" s="398"/>
      <c r="K94" s="398">
        <v>26160.77</v>
      </c>
      <c r="L94" s="398">
        <v>6820.35</v>
      </c>
      <c r="M94" s="398">
        <v>249759.8</v>
      </c>
      <c r="N94" s="336">
        <f t="shared" si="2"/>
        <v>4395478.6866786461</v>
      </c>
      <c r="O94" s="400">
        <v>6897.65</v>
      </c>
      <c r="P94" s="401">
        <v>292.60000000000002</v>
      </c>
      <c r="Q94" s="401">
        <v>108615.3</v>
      </c>
      <c r="R94" s="402">
        <v>1104.07</v>
      </c>
      <c r="S94" s="402">
        <v>87178.55</v>
      </c>
      <c r="T94" s="337">
        <f t="shared" si="3"/>
        <v>4599566.8566786461</v>
      </c>
      <c r="U94" s="403">
        <v>74</v>
      </c>
      <c r="V94" s="406">
        <v>1781</v>
      </c>
      <c r="W94" s="409">
        <v>-83150.39</v>
      </c>
      <c r="X94" s="410">
        <v>-2937.25</v>
      </c>
      <c r="Y94" s="410">
        <v>-146.27000000000001</v>
      </c>
      <c r="Z94" s="416">
        <v>0.8</v>
      </c>
      <c r="AA94" s="409"/>
      <c r="AB94" s="409"/>
      <c r="AC94" s="409"/>
      <c r="AD94" s="409"/>
      <c r="AE94" s="409"/>
      <c r="AF94" s="409"/>
    </row>
    <row r="95" spans="1:32" x14ac:dyDescent="0.25">
      <c r="A95" s="343">
        <v>5541</v>
      </c>
      <c r="B95" s="412" t="s">
        <v>431</v>
      </c>
      <c r="C95" s="395">
        <v>2158101.84</v>
      </c>
      <c r="D95" s="395">
        <v>260111.87</v>
      </c>
      <c r="E95" s="395"/>
      <c r="F95" s="395"/>
      <c r="G95" s="385">
        <v>60677.22148453608</v>
      </c>
      <c r="H95" s="385">
        <v>2298.2999999999997</v>
      </c>
      <c r="I95" s="385">
        <v>10644.906196138847</v>
      </c>
      <c r="J95" s="398"/>
      <c r="K95" s="398">
        <v>42479.32</v>
      </c>
      <c r="L95" s="398">
        <v>1945.15</v>
      </c>
      <c r="M95" s="398">
        <v>203505.85</v>
      </c>
      <c r="N95" s="336">
        <f t="shared" si="2"/>
        <v>2739764.4576806747</v>
      </c>
      <c r="O95" s="400">
        <v>12741.2</v>
      </c>
      <c r="P95" s="402">
        <f>565663.6-525000</f>
        <v>40663.599999999977</v>
      </c>
      <c r="Q95" s="401">
        <v>48114</v>
      </c>
      <c r="R95" s="402">
        <v>2092.63</v>
      </c>
      <c r="S95" s="402">
        <v>37861.4</v>
      </c>
      <c r="T95" s="337">
        <f t="shared" si="3"/>
        <v>2881237.2876806748</v>
      </c>
      <c r="U95" s="403">
        <v>77</v>
      </c>
      <c r="V95" s="406">
        <v>1119</v>
      </c>
      <c r="W95" s="409">
        <v>-22250.33</v>
      </c>
      <c r="X95" s="410">
        <v>-6819.85</v>
      </c>
      <c r="Y95" s="410">
        <v>-2.44</v>
      </c>
      <c r="Z95" s="416">
        <v>1</v>
      </c>
      <c r="AA95" s="409"/>
      <c r="AB95" s="409"/>
      <c r="AC95" s="409"/>
      <c r="AD95" s="409"/>
      <c r="AE95" s="409"/>
      <c r="AF95" s="409"/>
    </row>
    <row r="96" spans="1:32" x14ac:dyDescent="0.25">
      <c r="A96" s="343">
        <v>5551</v>
      </c>
      <c r="B96" s="335" t="s">
        <v>33</v>
      </c>
      <c r="C96" s="395">
        <v>821543.02</v>
      </c>
      <c r="D96" s="395">
        <v>120473.71</v>
      </c>
      <c r="E96" s="395"/>
      <c r="F96" s="395"/>
      <c r="G96" s="385">
        <v>94016.016780529477</v>
      </c>
      <c r="H96" s="385">
        <v>478.59999999999997</v>
      </c>
      <c r="I96" s="385">
        <v>15972.655850350107</v>
      </c>
      <c r="J96" s="398"/>
      <c r="K96" s="398">
        <v>3867.89</v>
      </c>
      <c r="L96" s="398">
        <v>15490.8</v>
      </c>
      <c r="M96" s="398">
        <v>108679.2</v>
      </c>
      <c r="N96" s="336">
        <f t="shared" si="2"/>
        <v>1180521.8926308795</v>
      </c>
      <c r="O96" s="400">
        <v>10084.65</v>
      </c>
      <c r="P96" s="401">
        <v>4786.3</v>
      </c>
      <c r="Q96" s="401">
        <v>53064.45</v>
      </c>
      <c r="R96" s="402">
        <v>743.96</v>
      </c>
      <c r="S96" s="402">
        <v>22048.9</v>
      </c>
      <c r="T96" s="337">
        <f t="shared" si="3"/>
        <v>1271250.1526308793</v>
      </c>
      <c r="U96" s="403">
        <v>55</v>
      </c>
      <c r="V96" s="406">
        <v>505</v>
      </c>
      <c r="W96" s="409">
        <v>-3185.72</v>
      </c>
      <c r="X96" s="410"/>
      <c r="Y96" s="410">
        <v>-238.35</v>
      </c>
      <c r="Z96" s="416">
        <v>1</v>
      </c>
      <c r="AA96" s="409"/>
      <c r="AB96" s="409"/>
      <c r="AC96" s="409"/>
      <c r="AD96" s="409"/>
      <c r="AE96" s="409"/>
      <c r="AF96" s="409"/>
    </row>
    <row r="97" spans="1:32" x14ac:dyDescent="0.25">
      <c r="A97" s="343">
        <v>5552</v>
      </c>
      <c r="B97" s="335" t="s">
        <v>34</v>
      </c>
      <c r="C97" s="395">
        <v>1010590.07</v>
      </c>
      <c r="D97" s="395">
        <v>216412.91</v>
      </c>
      <c r="E97" s="395"/>
      <c r="F97" s="395"/>
      <c r="G97" s="385">
        <v>5755.132132783684</v>
      </c>
      <c r="H97" s="385">
        <v>2654.6999999999989</v>
      </c>
      <c r="I97" s="385">
        <v>1421.5344640018438</v>
      </c>
      <c r="J97" s="398">
        <v>-36302.129999999997</v>
      </c>
      <c r="K97" s="398">
        <v>15125.72</v>
      </c>
      <c r="L97" s="398">
        <v>1632.2</v>
      </c>
      <c r="M97" s="398">
        <v>111202.65</v>
      </c>
      <c r="N97" s="336">
        <f t="shared" si="2"/>
        <v>1328492.7865967855</v>
      </c>
      <c r="O97" s="400">
        <v>40389.949999999997</v>
      </c>
      <c r="P97" s="401"/>
      <c r="Q97" s="401">
        <v>49792.3</v>
      </c>
      <c r="R97" s="402"/>
      <c r="S97" s="402">
        <v>26199.55</v>
      </c>
      <c r="T97" s="337">
        <f t="shared" si="3"/>
        <v>1444874.5865967856</v>
      </c>
      <c r="U97" s="403">
        <v>73</v>
      </c>
      <c r="V97" s="406">
        <v>655</v>
      </c>
      <c r="W97" s="409">
        <v>-34046.99</v>
      </c>
      <c r="X97" s="410"/>
      <c r="Y97" s="410">
        <v>-3.38</v>
      </c>
      <c r="Z97" s="416">
        <v>1</v>
      </c>
      <c r="AA97" s="409"/>
      <c r="AB97" s="409"/>
      <c r="AC97" s="409"/>
      <c r="AD97" s="409"/>
      <c r="AE97" s="409"/>
      <c r="AF97" s="409"/>
    </row>
    <row r="98" spans="1:32" x14ac:dyDescent="0.25">
      <c r="A98" s="343">
        <v>5553</v>
      </c>
      <c r="B98" s="335" t="s">
        <v>35</v>
      </c>
      <c r="C98" s="395">
        <v>1733609.45</v>
      </c>
      <c r="D98" s="395">
        <v>327411.28999999998</v>
      </c>
      <c r="E98" s="395"/>
      <c r="F98" s="395"/>
      <c r="G98" s="385">
        <v>58800.722096969694</v>
      </c>
      <c r="H98" s="385">
        <v>50962.55</v>
      </c>
      <c r="I98" s="385">
        <v>18553.553947789344</v>
      </c>
      <c r="J98" s="398"/>
      <c r="K98" s="398">
        <v>51067.9</v>
      </c>
      <c r="L98" s="398">
        <v>28323.25</v>
      </c>
      <c r="M98" s="398">
        <v>221831.8</v>
      </c>
      <c r="N98" s="336">
        <f t="shared" si="2"/>
        <v>2490560.5160447583</v>
      </c>
      <c r="O98" s="400">
        <v>130175.35</v>
      </c>
      <c r="P98" s="401"/>
      <c r="Q98" s="401">
        <v>106178.35</v>
      </c>
      <c r="R98" s="402">
        <v>901.86</v>
      </c>
      <c r="S98" s="402">
        <v>78128.800000000003</v>
      </c>
      <c r="T98" s="337">
        <f t="shared" si="3"/>
        <v>2805944.8760447581</v>
      </c>
      <c r="U98" s="403">
        <v>65</v>
      </c>
      <c r="V98" s="406">
        <v>1034</v>
      </c>
      <c r="W98" s="409">
        <v>-15652.32</v>
      </c>
      <c r="X98" s="410"/>
      <c r="Y98" s="410">
        <v>-413.53</v>
      </c>
      <c r="Z98" s="416">
        <v>1</v>
      </c>
      <c r="AA98" s="409"/>
      <c r="AB98" s="409"/>
      <c r="AC98" s="409"/>
      <c r="AD98" s="409"/>
      <c r="AE98" s="409"/>
      <c r="AF98" s="409"/>
    </row>
    <row r="99" spans="1:32" x14ac:dyDescent="0.25">
      <c r="A99" s="343">
        <v>5554</v>
      </c>
      <c r="B99" s="335" t="s">
        <v>36</v>
      </c>
      <c r="C99" s="395">
        <v>1730433.47</v>
      </c>
      <c r="D99" s="395">
        <v>307554.58</v>
      </c>
      <c r="E99" s="395"/>
      <c r="F99" s="395"/>
      <c r="G99" s="385">
        <v>10095.769048625791</v>
      </c>
      <c r="H99" s="385">
        <v>1446</v>
      </c>
      <c r="I99" s="385">
        <v>1950.9334097422172</v>
      </c>
      <c r="J99" s="398"/>
      <c r="K99" s="398">
        <v>37404.99</v>
      </c>
      <c r="L99" s="398">
        <v>7143.2</v>
      </c>
      <c r="M99" s="398">
        <v>170206.1</v>
      </c>
      <c r="N99" s="336">
        <f t="shared" si="2"/>
        <v>2266235.042458368</v>
      </c>
      <c r="O99" s="400">
        <v>4705.6000000000004</v>
      </c>
      <c r="P99" s="401">
        <v>48761.8</v>
      </c>
      <c r="Q99" s="401">
        <v>110647.25</v>
      </c>
      <c r="R99" s="402"/>
      <c r="S99" s="402">
        <v>119779.8</v>
      </c>
      <c r="T99" s="337">
        <f t="shared" si="3"/>
        <v>2550129.4924583677</v>
      </c>
      <c r="U99" s="403">
        <v>75</v>
      </c>
      <c r="V99" s="406">
        <v>995</v>
      </c>
      <c r="W99" s="409">
        <v>-33078.83</v>
      </c>
      <c r="X99" s="410"/>
      <c r="Y99" s="410">
        <v>-1366.25</v>
      </c>
      <c r="Z99" s="416">
        <v>1</v>
      </c>
      <c r="AA99" s="409"/>
      <c r="AB99" s="409"/>
      <c r="AC99" s="409"/>
      <c r="AD99" s="409"/>
      <c r="AE99" s="409"/>
      <c r="AF99" s="409"/>
    </row>
    <row r="100" spans="1:32" x14ac:dyDescent="0.25">
      <c r="A100" s="343">
        <v>5555</v>
      </c>
      <c r="B100" s="335" t="s">
        <v>37</v>
      </c>
      <c r="C100" s="395">
        <v>687380.74</v>
      </c>
      <c r="D100" s="395">
        <v>156509.76999999999</v>
      </c>
      <c r="E100" s="395"/>
      <c r="F100" s="395"/>
      <c r="G100" s="385">
        <v>2353.384718200045</v>
      </c>
      <c r="H100" s="385">
        <v>4368.2</v>
      </c>
      <c r="I100" s="385">
        <v>1136.1658804557803</v>
      </c>
      <c r="J100" s="398"/>
      <c r="K100" s="398">
        <v>-677.84</v>
      </c>
      <c r="L100" s="398">
        <v>2458.85</v>
      </c>
      <c r="M100" s="398">
        <v>83632.800000000003</v>
      </c>
      <c r="N100" s="336">
        <f t="shared" si="2"/>
        <v>937162.07059865585</v>
      </c>
      <c r="O100" s="400">
        <v>6304.6</v>
      </c>
      <c r="P100" s="401">
        <v>15139.1</v>
      </c>
      <c r="Q100" s="401">
        <v>47802.3</v>
      </c>
      <c r="R100" s="402">
        <v>341.92</v>
      </c>
      <c r="S100" s="402">
        <v>26118.2</v>
      </c>
      <c r="T100" s="337">
        <f t="shared" si="3"/>
        <v>1032868.1905986558</v>
      </c>
      <c r="U100" s="403">
        <v>71</v>
      </c>
      <c r="V100" s="406">
        <v>401</v>
      </c>
      <c r="W100" s="409">
        <v>-12583.29</v>
      </c>
      <c r="X100" s="410"/>
      <c r="Y100" s="410">
        <v>-55.58</v>
      </c>
      <c r="Z100" s="416">
        <v>1</v>
      </c>
      <c r="AA100" s="409"/>
      <c r="AB100" s="409"/>
      <c r="AC100" s="409"/>
      <c r="AD100" s="409"/>
      <c r="AE100" s="409"/>
      <c r="AF100" s="409"/>
    </row>
    <row r="101" spans="1:32" x14ac:dyDescent="0.25">
      <c r="A101" s="343">
        <v>5556</v>
      </c>
      <c r="B101" s="335" t="s">
        <v>38</v>
      </c>
      <c r="C101" s="395">
        <v>727795.23</v>
      </c>
      <c r="D101" s="395">
        <v>73487.570000000007</v>
      </c>
      <c r="E101" s="395"/>
      <c r="F101" s="395">
        <v>2230</v>
      </c>
      <c r="G101" s="385">
        <v>153.26483516483518</v>
      </c>
      <c r="H101" s="385">
        <v>56.7</v>
      </c>
      <c r="I101" s="385">
        <v>35.49086886666359</v>
      </c>
      <c r="J101" s="398"/>
      <c r="K101" s="398">
        <v>8244</v>
      </c>
      <c r="L101" s="398">
        <v>646.5</v>
      </c>
      <c r="M101" s="398">
        <v>80104</v>
      </c>
      <c r="N101" s="336">
        <f t="shared" si="2"/>
        <v>892752.75570403156</v>
      </c>
      <c r="O101" s="400"/>
      <c r="P101" s="401">
        <v>10692.4</v>
      </c>
      <c r="Q101" s="401">
        <v>42010.5</v>
      </c>
      <c r="R101" s="402"/>
      <c r="S101" s="402">
        <v>43589.1</v>
      </c>
      <c r="T101" s="337">
        <f t="shared" si="3"/>
        <v>989044.75570403156</v>
      </c>
      <c r="U101" s="403">
        <v>69</v>
      </c>
      <c r="V101" s="406">
        <v>447</v>
      </c>
      <c r="W101" s="409">
        <v>-4379.32</v>
      </c>
      <c r="X101" s="410"/>
      <c r="Y101" s="410">
        <v>-0.28000000000000003</v>
      </c>
      <c r="Z101" s="416">
        <v>1.2</v>
      </c>
      <c r="AA101" s="409"/>
      <c r="AB101" s="409"/>
      <c r="AC101" s="409"/>
      <c r="AD101" s="409"/>
      <c r="AE101" s="409"/>
      <c r="AF101" s="409"/>
    </row>
    <row r="102" spans="1:32" x14ac:dyDescent="0.25">
      <c r="A102" s="343">
        <v>5557</v>
      </c>
      <c r="B102" s="335" t="s">
        <v>39</v>
      </c>
      <c r="C102" s="395">
        <v>308037.98</v>
      </c>
      <c r="D102" s="395">
        <v>26828.07</v>
      </c>
      <c r="E102" s="395"/>
      <c r="F102" s="395">
        <v>1070</v>
      </c>
      <c r="G102" s="385">
        <v>5672.1835508241757</v>
      </c>
      <c r="H102" s="385">
        <v>94.399999999999991</v>
      </c>
      <c r="I102" s="385">
        <v>974.73970081841901</v>
      </c>
      <c r="J102" s="398"/>
      <c r="K102" s="398">
        <v>1547.23</v>
      </c>
      <c r="L102" s="398">
        <v>1452.7</v>
      </c>
      <c r="M102" s="398">
        <v>35527</v>
      </c>
      <c r="N102" s="336">
        <f t="shared" si="2"/>
        <v>381204.30325164262</v>
      </c>
      <c r="O102" s="400"/>
      <c r="P102" s="401">
        <v>42371.4</v>
      </c>
      <c r="Q102" s="401">
        <v>487.95</v>
      </c>
      <c r="R102" s="402"/>
      <c r="S102" s="402"/>
      <c r="T102" s="337">
        <f t="shared" si="3"/>
        <v>424063.65325164265</v>
      </c>
      <c r="U102" s="403">
        <v>69</v>
      </c>
      <c r="V102" s="406">
        <v>218</v>
      </c>
      <c r="W102" s="409">
        <v>-3982.64</v>
      </c>
      <c r="X102" s="410"/>
      <c r="Y102" s="410">
        <v>0</v>
      </c>
      <c r="Z102" s="416">
        <v>1</v>
      </c>
      <c r="AA102" s="409"/>
      <c r="AB102" s="409"/>
      <c r="AC102" s="409"/>
      <c r="AD102" s="409"/>
      <c r="AE102" s="409"/>
      <c r="AF102" s="409"/>
    </row>
    <row r="103" spans="1:32" x14ac:dyDescent="0.25">
      <c r="A103" s="343">
        <v>5559</v>
      </c>
      <c r="B103" s="335" t="s">
        <v>40</v>
      </c>
      <c r="C103" s="395">
        <v>830458.98</v>
      </c>
      <c r="D103" s="395">
        <v>250389.01</v>
      </c>
      <c r="E103" s="395"/>
      <c r="F103" s="395"/>
      <c r="G103" s="385">
        <v>86902.341041567139</v>
      </c>
      <c r="H103" s="385">
        <v>6144.4000000000005</v>
      </c>
      <c r="I103" s="385">
        <v>15727.91787817303</v>
      </c>
      <c r="J103" s="398"/>
      <c r="K103" s="398">
        <v>7439.69</v>
      </c>
      <c r="L103" s="398">
        <v>3258.2</v>
      </c>
      <c r="M103" s="398">
        <v>84589.2</v>
      </c>
      <c r="N103" s="336">
        <f t="shared" si="2"/>
        <v>1284909.7389197398</v>
      </c>
      <c r="O103" s="400">
        <v>36403</v>
      </c>
      <c r="P103" s="401">
        <v>30787.8</v>
      </c>
      <c r="Q103" s="401">
        <v>69001.350000000006</v>
      </c>
      <c r="R103" s="402">
        <v>6092.3</v>
      </c>
      <c r="S103" s="402">
        <v>110654.8</v>
      </c>
      <c r="T103" s="337">
        <f t="shared" si="3"/>
        <v>1537848.9889197401</v>
      </c>
      <c r="U103" s="403">
        <v>66</v>
      </c>
      <c r="V103" s="406">
        <v>412</v>
      </c>
      <c r="W103" s="409">
        <v>-25334.97</v>
      </c>
      <c r="X103" s="410"/>
      <c r="Y103" s="410">
        <v>-23.27</v>
      </c>
      <c r="Z103" s="416">
        <v>1</v>
      </c>
      <c r="AA103" s="409"/>
      <c r="AB103" s="409"/>
      <c r="AC103" s="409"/>
      <c r="AD103" s="409"/>
      <c r="AE103" s="409"/>
      <c r="AF103" s="409"/>
    </row>
    <row r="104" spans="1:32" x14ac:dyDescent="0.25">
      <c r="A104" s="343">
        <v>5560</v>
      </c>
      <c r="B104" s="335" t="s">
        <v>41</v>
      </c>
      <c r="C104" s="395">
        <v>420684.91</v>
      </c>
      <c r="D104" s="395">
        <v>43550.21</v>
      </c>
      <c r="E104" s="395"/>
      <c r="F104" s="395"/>
      <c r="G104" s="385">
        <v>2039.7227188298118</v>
      </c>
      <c r="H104" s="385">
        <v>110.1</v>
      </c>
      <c r="I104" s="385">
        <v>363.38978448778636</v>
      </c>
      <c r="J104" s="398"/>
      <c r="K104" s="398">
        <v>1775.79</v>
      </c>
      <c r="L104" s="398">
        <v>682.7</v>
      </c>
      <c r="M104" s="398">
        <v>40254.550000000003</v>
      </c>
      <c r="N104" s="336">
        <f t="shared" si="2"/>
        <v>509461.37250331754</v>
      </c>
      <c r="O104" s="400"/>
      <c r="P104" s="401">
        <v>1363.2</v>
      </c>
      <c r="Q104" s="401">
        <v>29429.4</v>
      </c>
      <c r="R104" s="402">
        <v>7487.96</v>
      </c>
      <c r="S104" s="402">
        <v>12560.35</v>
      </c>
      <c r="T104" s="337">
        <f t="shared" si="3"/>
        <v>560302.28250331746</v>
      </c>
      <c r="U104" s="403">
        <v>68</v>
      </c>
      <c r="V104" s="406">
        <v>238</v>
      </c>
      <c r="W104" s="409">
        <v>-11331.81</v>
      </c>
      <c r="X104" s="410"/>
      <c r="Y104" s="410">
        <v>0</v>
      </c>
      <c r="Z104" s="416">
        <v>1</v>
      </c>
      <c r="AA104" s="409"/>
      <c r="AB104" s="409"/>
      <c r="AC104" s="409"/>
      <c r="AD104" s="409"/>
      <c r="AE104" s="409"/>
      <c r="AF104" s="409"/>
    </row>
    <row r="105" spans="1:32" x14ac:dyDescent="0.25">
      <c r="A105" s="343">
        <v>5561</v>
      </c>
      <c r="B105" s="335" t="s">
        <v>42</v>
      </c>
      <c r="C105" s="395">
        <v>6410798</v>
      </c>
      <c r="D105" s="395">
        <v>1148063.1299999999</v>
      </c>
      <c r="E105" s="395"/>
      <c r="F105" s="395"/>
      <c r="G105" s="385">
        <v>177690.37410714288</v>
      </c>
      <c r="H105" s="385">
        <v>17715.299999999988</v>
      </c>
      <c r="I105" s="385">
        <v>33029.898316516279</v>
      </c>
      <c r="J105" s="398"/>
      <c r="K105" s="398">
        <v>60864.29</v>
      </c>
      <c r="L105" s="398">
        <v>29503.8</v>
      </c>
      <c r="M105" s="398">
        <v>573431.30000000005</v>
      </c>
      <c r="N105" s="336">
        <f t="shared" si="2"/>
        <v>8451096.0924236588</v>
      </c>
      <c r="O105" s="400">
        <v>336581.85</v>
      </c>
      <c r="P105" s="401">
        <v>303463.3</v>
      </c>
      <c r="Q105" s="401">
        <v>278925.45</v>
      </c>
      <c r="R105" s="402">
        <v>28923.11</v>
      </c>
      <c r="S105" s="402">
        <v>184163.85</v>
      </c>
      <c r="T105" s="337">
        <f t="shared" si="3"/>
        <v>9583153.6524236575</v>
      </c>
      <c r="U105" s="403">
        <v>69</v>
      </c>
      <c r="V105" s="406">
        <v>3360</v>
      </c>
      <c r="W105" s="409">
        <v>-76753.509999999995</v>
      </c>
      <c r="X105" s="410"/>
      <c r="Y105" s="410">
        <v>-99.93</v>
      </c>
      <c r="Z105" s="416">
        <v>1</v>
      </c>
      <c r="AA105" s="409"/>
      <c r="AB105" s="409"/>
      <c r="AC105" s="409"/>
      <c r="AD105" s="409"/>
      <c r="AE105" s="409"/>
      <c r="AF105" s="409"/>
    </row>
    <row r="106" spans="1:32" x14ac:dyDescent="0.25">
      <c r="A106" s="343">
        <v>5562</v>
      </c>
      <c r="B106" s="335" t="s">
        <v>43</v>
      </c>
      <c r="C106" s="395">
        <v>208846.19</v>
      </c>
      <c r="D106" s="395">
        <v>138740.07</v>
      </c>
      <c r="E106" s="395"/>
      <c r="F106" s="395">
        <v>790</v>
      </c>
      <c r="G106" s="385">
        <v>-279.89882565492314</v>
      </c>
      <c r="H106" s="385">
        <v>53.099999999999909</v>
      </c>
      <c r="I106" s="385">
        <v>0</v>
      </c>
      <c r="J106" s="398"/>
      <c r="K106" s="398">
        <v>740.58</v>
      </c>
      <c r="L106" s="398">
        <v>1280</v>
      </c>
      <c r="M106" s="398">
        <v>34916.53</v>
      </c>
      <c r="N106" s="336">
        <f t="shared" si="2"/>
        <v>385086.5711743451</v>
      </c>
      <c r="O106" s="400">
        <v>452.2</v>
      </c>
      <c r="P106" s="401">
        <v>11598.8</v>
      </c>
      <c r="Q106" s="401">
        <v>9845</v>
      </c>
      <c r="R106" s="402">
        <v>1991.43</v>
      </c>
      <c r="S106" s="402">
        <v>12475.7</v>
      </c>
      <c r="T106" s="337">
        <f t="shared" si="3"/>
        <v>421449.7011743451</v>
      </c>
      <c r="U106" s="403">
        <v>70</v>
      </c>
      <c r="V106" s="406">
        <v>122</v>
      </c>
      <c r="W106" s="409">
        <v>-10676.65</v>
      </c>
      <c r="X106" s="410"/>
      <c r="Y106" s="410">
        <v>-2.4</v>
      </c>
      <c r="Z106" s="416">
        <v>1.2</v>
      </c>
      <c r="AA106" s="409"/>
      <c r="AB106" s="409"/>
      <c r="AC106" s="409"/>
      <c r="AD106" s="409"/>
      <c r="AE106" s="409"/>
      <c r="AF106" s="409"/>
    </row>
    <row r="107" spans="1:32" x14ac:dyDescent="0.25">
      <c r="A107" s="343">
        <v>5563</v>
      </c>
      <c r="B107" s="335" t="s">
        <v>285</v>
      </c>
      <c r="C107" s="395">
        <v>195566.18</v>
      </c>
      <c r="D107" s="395">
        <v>42191.85</v>
      </c>
      <c r="E107" s="395"/>
      <c r="F107" s="395">
        <v>528</v>
      </c>
      <c r="G107" s="385">
        <v>2505.1579267058105</v>
      </c>
      <c r="H107" s="385">
        <v>17.899999999999999</v>
      </c>
      <c r="I107" s="385">
        <v>426.47864319476815</v>
      </c>
      <c r="J107" s="398"/>
      <c r="K107" s="398">
        <v>-367.49</v>
      </c>
      <c r="L107" s="398"/>
      <c r="M107" s="398">
        <v>20988.95</v>
      </c>
      <c r="N107" s="336">
        <f t="shared" si="2"/>
        <v>261857.0265699006</v>
      </c>
      <c r="O107" s="400"/>
      <c r="P107" s="401"/>
      <c r="Q107" s="401">
        <v>9570</v>
      </c>
      <c r="R107" s="402"/>
      <c r="S107" s="402">
        <v>1314.3</v>
      </c>
      <c r="T107" s="337">
        <f t="shared" si="3"/>
        <v>272741.32656990056</v>
      </c>
      <c r="U107" s="403">
        <v>78.5</v>
      </c>
      <c r="V107" s="406">
        <v>158</v>
      </c>
      <c r="W107" s="409">
        <v>-3398.32</v>
      </c>
      <c r="X107" s="410"/>
      <c r="Y107" s="410">
        <v>0</v>
      </c>
      <c r="Z107" s="416">
        <v>1</v>
      </c>
      <c r="AA107" s="409"/>
      <c r="AB107" s="409"/>
      <c r="AC107" s="409"/>
      <c r="AD107" s="409"/>
      <c r="AE107" s="409"/>
      <c r="AF107" s="409"/>
    </row>
    <row r="108" spans="1:32" x14ac:dyDescent="0.25">
      <c r="A108" s="343">
        <v>5564</v>
      </c>
      <c r="B108" s="335" t="s">
        <v>286</v>
      </c>
      <c r="C108" s="395">
        <v>193032.49</v>
      </c>
      <c r="D108" s="395">
        <v>15210.49</v>
      </c>
      <c r="E108" s="395"/>
      <c r="F108" s="395"/>
      <c r="G108" s="385">
        <v>57.526513569937372</v>
      </c>
      <c r="H108" s="385">
        <v>23.799999999999997</v>
      </c>
      <c r="I108" s="385">
        <v>13.746819205357053</v>
      </c>
      <c r="J108" s="398"/>
      <c r="K108" s="398"/>
      <c r="L108" s="398"/>
      <c r="M108" s="398">
        <v>10575.75</v>
      </c>
      <c r="N108" s="336">
        <f t="shared" si="2"/>
        <v>218913.80333277525</v>
      </c>
      <c r="O108" s="400"/>
      <c r="P108" s="401"/>
      <c r="Q108" s="401">
        <v>12684.15</v>
      </c>
      <c r="R108" s="402"/>
      <c r="S108" s="402">
        <v>14702.65</v>
      </c>
      <c r="T108" s="337">
        <f t="shared" si="3"/>
        <v>246300.60333277524</v>
      </c>
      <c r="U108" s="403">
        <v>76</v>
      </c>
      <c r="V108" s="406">
        <v>101</v>
      </c>
      <c r="W108" s="409">
        <v>-2750.73</v>
      </c>
      <c r="X108" s="410"/>
      <c r="Y108" s="410">
        <v>-10.42</v>
      </c>
      <c r="Z108" s="416">
        <v>0.8</v>
      </c>
      <c r="AA108" s="409"/>
      <c r="AB108" s="409"/>
      <c r="AC108" s="409"/>
      <c r="AD108" s="409"/>
      <c r="AE108" s="409"/>
      <c r="AF108" s="409"/>
    </row>
    <row r="109" spans="1:32" x14ac:dyDescent="0.25">
      <c r="A109" s="343">
        <v>5565</v>
      </c>
      <c r="B109" s="335" t="s">
        <v>287</v>
      </c>
      <c r="C109" s="395">
        <v>889049.28</v>
      </c>
      <c r="D109" s="395">
        <v>83786.009999999995</v>
      </c>
      <c r="E109" s="395"/>
      <c r="F109" s="395"/>
      <c r="G109" s="385">
        <v>85281.155187878772</v>
      </c>
      <c r="H109" s="385">
        <v>193886.00000000015</v>
      </c>
      <c r="I109" s="385">
        <v>47188.306026931808</v>
      </c>
      <c r="J109" s="398"/>
      <c r="K109" s="398">
        <v>5303.58</v>
      </c>
      <c r="L109" s="398">
        <v>42150.15</v>
      </c>
      <c r="M109" s="398">
        <v>123400.7</v>
      </c>
      <c r="N109" s="336">
        <f t="shared" si="2"/>
        <v>1470045.1812148108</v>
      </c>
      <c r="O109" s="400">
        <v>29116.15</v>
      </c>
      <c r="P109" s="401">
        <v>407.2</v>
      </c>
      <c r="Q109" s="401">
        <v>49788.35</v>
      </c>
      <c r="R109" s="402">
        <v>1913.3</v>
      </c>
      <c r="S109" s="402">
        <v>16011.5</v>
      </c>
      <c r="T109" s="337">
        <f t="shared" si="3"/>
        <v>1567281.6812148108</v>
      </c>
      <c r="U109" s="403">
        <v>65</v>
      </c>
      <c r="V109" s="406">
        <v>494</v>
      </c>
      <c r="W109" s="409">
        <v>-9707.91</v>
      </c>
      <c r="X109" s="410"/>
      <c r="Y109" s="410">
        <v>0</v>
      </c>
      <c r="Z109" s="416">
        <v>1</v>
      </c>
      <c r="AA109" s="409"/>
      <c r="AB109" s="409"/>
      <c r="AC109" s="409"/>
      <c r="AD109" s="409"/>
      <c r="AE109" s="409"/>
      <c r="AF109" s="409"/>
    </row>
    <row r="110" spans="1:32" x14ac:dyDescent="0.25">
      <c r="A110" s="343">
        <v>5566</v>
      </c>
      <c r="B110" s="335" t="s">
        <v>288</v>
      </c>
      <c r="C110" s="395">
        <v>531198.97</v>
      </c>
      <c r="D110" s="395">
        <v>62479.69</v>
      </c>
      <c r="E110" s="395"/>
      <c r="F110" s="395">
        <v>2590</v>
      </c>
      <c r="G110" s="385">
        <v>6620.6618196109257</v>
      </c>
      <c r="H110" s="385">
        <v>4299.3</v>
      </c>
      <c r="I110" s="385">
        <v>1845.8278152364283</v>
      </c>
      <c r="J110" s="398"/>
      <c r="K110" s="398">
        <v>16211.94</v>
      </c>
      <c r="L110" s="398">
        <v>2043.9</v>
      </c>
      <c r="M110" s="398">
        <v>75959.199999999997</v>
      </c>
      <c r="N110" s="336">
        <f t="shared" si="2"/>
        <v>703249.48963484727</v>
      </c>
      <c r="O110" s="400">
        <v>50308.05</v>
      </c>
      <c r="P110" s="401">
        <v>298.2</v>
      </c>
      <c r="Q110" s="401">
        <v>51518.5</v>
      </c>
      <c r="R110" s="402"/>
      <c r="S110" s="402">
        <v>9317.9</v>
      </c>
      <c r="T110" s="337">
        <f t="shared" si="3"/>
        <v>814692.13963484729</v>
      </c>
      <c r="U110" s="403">
        <v>81</v>
      </c>
      <c r="V110" s="406">
        <v>373</v>
      </c>
      <c r="W110" s="409">
        <v>-10839.52</v>
      </c>
      <c r="X110" s="410"/>
      <c r="Y110" s="410">
        <v>0</v>
      </c>
      <c r="Z110" s="416">
        <v>1.5</v>
      </c>
      <c r="AA110" s="409"/>
      <c r="AB110" s="409"/>
      <c r="AC110" s="409"/>
      <c r="AD110" s="409"/>
      <c r="AE110" s="409"/>
      <c r="AF110" s="409"/>
    </row>
    <row r="111" spans="1:32" x14ac:dyDescent="0.25">
      <c r="A111" s="343">
        <v>5568</v>
      </c>
      <c r="B111" s="335" t="s">
        <v>119</v>
      </c>
      <c r="C111" s="395">
        <v>5522396.5199999996</v>
      </c>
      <c r="D111" s="395">
        <v>777765.56</v>
      </c>
      <c r="E111" s="395"/>
      <c r="F111" s="395"/>
      <c r="G111" s="385">
        <v>133181.49557362232</v>
      </c>
      <c r="H111" s="385">
        <v>79076.000000000058</v>
      </c>
      <c r="I111" s="385">
        <v>35878.402854724874</v>
      </c>
      <c r="J111" s="398">
        <v>23993.55</v>
      </c>
      <c r="K111" s="398">
        <v>126850.8</v>
      </c>
      <c r="L111" s="398">
        <v>51403.45</v>
      </c>
      <c r="M111" s="398">
        <v>583422.94999999995</v>
      </c>
      <c r="N111" s="336">
        <f t="shared" si="2"/>
        <v>7333968.728428347</v>
      </c>
      <c r="O111" s="400">
        <v>1751558.4</v>
      </c>
      <c r="P111" s="401">
        <v>111846</v>
      </c>
      <c r="Q111" s="401">
        <v>236124.4</v>
      </c>
      <c r="R111" s="402">
        <v>55886.07</v>
      </c>
      <c r="S111" s="402">
        <v>212672.35</v>
      </c>
      <c r="T111" s="337">
        <f t="shared" si="3"/>
        <v>9702055.9484283477</v>
      </c>
      <c r="U111" s="403">
        <v>70</v>
      </c>
      <c r="V111" s="406">
        <v>4845</v>
      </c>
      <c r="W111" s="409">
        <v>-253887.03</v>
      </c>
      <c r="X111" s="410"/>
      <c r="Y111" s="410">
        <v>-235.29</v>
      </c>
      <c r="Z111" s="416">
        <v>1</v>
      </c>
      <c r="AA111" s="409"/>
      <c r="AB111" s="409"/>
      <c r="AC111" s="409"/>
      <c r="AD111" s="409"/>
      <c r="AE111" s="409"/>
      <c r="AF111" s="409"/>
    </row>
    <row r="112" spans="1:32" x14ac:dyDescent="0.25">
      <c r="A112" s="343">
        <v>5571</v>
      </c>
      <c r="B112" s="335" t="s">
        <v>429</v>
      </c>
      <c r="C112" s="395">
        <v>1334942.18</v>
      </c>
      <c r="D112" s="395">
        <v>137522.42000000001</v>
      </c>
      <c r="E112" s="395"/>
      <c r="F112" s="395"/>
      <c r="G112" s="385">
        <v>1147.9113039704926</v>
      </c>
      <c r="H112" s="385">
        <v>347.00000000000006</v>
      </c>
      <c r="I112" s="385">
        <v>252.68850860125158</v>
      </c>
      <c r="J112" s="398"/>
      <c r="K112" s="398">
        <v>33048.99</v>
      </c>
      <c r="L112" s="398">
        <v>6417.3</v>
      </c>
      <c r="M112" s="398">
        <v>183340.9</v>
      </c>
      <c r="N112" s="336">
        <f t="shared" si="2"/>
        <v>1697019.3898125715</v>
      </c>
      <c r="O112" s="400">
        <v>43949.599999999999</v>
      </c>
      <c r="P112" s="401">
        <v>43750</v>
      </c>
      <c r="Q112" s="401">
        <v>67609.95</v>
      </c>
      <c r="R112" s="402"/>
      <c r="S112" s="402">
        <v>31614.45</v>
      </c>
      <c r="T112" s="337">
        <f t="shared" si="3"/>
        <v>1883943.3898125715</v>
      </c>
      <c r="U112" s="403">
        <v>73</v>
      </c>
      <c r="V112" s="406">
        <v>877</v>
      </c>
      <c r="W112" s="409">
        <v>-24532.29</v>
      </c>
      <c r="X112" s="410"/>
      <c r="Y112" s="410">
        <v>-0.22</v>
      </c>
      <c r="Z112" s="416">
        <v>1.2</v>
      </c>
      <c r="AA112" s="409"/>
      <c r="AB112" s="409"/>
      <c r="AC112" s="409"/>
      <c r="AD112" s="409"/>
      <c r="AE112" s="409"/>
      <c r="AF112" s="409"/>
    </row>
    <row r="113" spans="1:32" x14ac:dyDescent="0.25">
      <c r="A113" s="343">
        <v>5581</v>
      </c>
      <c r="B113" s="335" t="s">
        <v>389</v>
      </c>
      <c r="C113" s="395">
        <v>10126789.23</v>
      </c>
      <c r="D113" s="395">
        <v>1477140.39</v>
      </c>
      <c r="E113" s="395"/>
      <c r="F113" s="395"/>
      <c r="G113" s="385">
        <v>174780.27442019101</v>
      </c>
      <c r="H113" s="385">
        <v>4975.1000000000067</v>
      </c>
      <c r="I113" s="385">
        <v>30384.489939072802</v>
      </c>
      <c r="J113" s="398">
        <v>74962.5</v>
      </c>
      <c r="K113" s="398">
        <v>217409.98</v>
      </c>
      <c r="L113" s="398">
        <v>52595.4</v>
      </c>
      <c r="M113" s="398">
        <v>1336029.95</v>
      </c>
      <c r="N113" s="336">
        <f t="shared" si="2"/>
        <v>13495067.314359264</v>
      </c>
      <c r="O113" s="400">
        <v>8316.4500000000007</v>
      </c>
      <c r="P113" s="401">
        <v>63494.95</v>
      </c>
      <c r="Q113" s="401">
        <v>708288.15</v>
      </c>
      <c r="R113" s="402">
        <v>30149.599999999999</v>
      </c>
      <c r="S113" s="402">
        <v>527596.44999999995</v>
      </c>
      <c r="T113" s="337">
        <f t="shared" si="3"/>
        <v>14832912.914359262</v>
      </c>
      <c r="U113" s="403">
        <v>69.5</v>
      </c>
      <c r="V113" s="406">
        <v>3732</v>
      </c>
      <c r="W113" s="409">
        <v>-186919.93</v>
      </c>
      <c r="X113" s="410"/>
      <c r="Y113" s="410">
        <v>-6059.54</v>
      </c>
      <c r="Z113" s="416">
        <v>1.5</v>
      </c>
      <c r="AA113" s="409"/>
      <c r="AB113" s="409"/>
      <c r="AC113" s="409"/>
      <c r="AD113" s="409"/>
      <c r="AE113" s="409"/>
      <c r="AF113" s="409"/>
    </row>
    <row r="114" spans="1:32" x14ac:dyDescent="0.25">
      <c r="A114" s="343">
        <v>5582</v>
      </c>
      <c r="B114" s="335" t="s">
        <v>390</v>
      </c>
      <c r="C114" s="395">
        <v>9031714.3000000007</v>
      </c>
      <c r="D114" s="395">
        <v>993736.05</v>
      </c>
      <c r="E114" s="395"/>
      <c r="F114" s="395"/>
      <c r="G114" s="385">
        <v>518990.47036170185</v>
      </c>
      <c r="H114" s="385">
        <v>568421.94999999984</v>
      </c>
      <c r="I114" s="385">
        <v>183807.97710597774</v>
      </c>
      <c r="J114" s="398">
        <v>15716.78</v>
      </c>
      <c r="K114" s="398">
        <v>551253.06000000006</v>
      </c>
      <c r="L114" s="398">
        <v>69274.899999999994</v>
      </c>
      <c r="M114" s="398">
        <v>914540.25</v>
      </c>
      <c r="N114" s="336">
        <f t="shared" si="2"/>
        <v>12847455.73746768</v>
      </c>
      <c r="O114" s="400">
        <v>461910.4</v>
      </c>
      <c r="P114" s="401">
        <v>119857.7</v>
      </c>
      <c r="Q114" s="401">
        <v>169035.2</v>
      </c>
      <c r="R114" s="402">
        <v>259257.17</v>
      </c>
      <c r="S114" s="402">
        <v>249507.7</v>
      </c>
      <c r="T114" s="337">
        <f t="shared" si="3"/>
        <v>14107023.907467678</v>
      </c>
      <c r="U114" s="403">
        <v>74.5</v>
      </c>
      <c r="V114" s="406">
        <v>4338</v>
      </c>
      <c r="W114" s="409">
        <v>-231049.77</v>
      </c>
      <c r="X114" s="410"/>
      <c r="Y114" s="410">
        <v>-3170.76</v>
      </c>
      <c r="Z114" s="416">
        <v>1</v>
      </c>
      <c r="AA114" s="409"/>
      <c r="AB114" s="409"/>
      <c r="AC114" s="409"/>
      <c r="AD114" s="409"/>
      <c r="AE114" s="409"/>
      <c r="AF114" s="409"/>
    </row>
    <row r="115" spans="1:32" x14ac:dyDescent="0.25">
      <c r="A115" s="343">
        <v>5583</v>
      </c>
      <c r="B115" s="335" t="s">
        <v>391</v>
      </c>
      <c r="C115" s="395">
        <v>12405612.699999999</v>
      </c>
      <c r="D115" s="395">
        <v>1543856.18</v>
      </c>
      <c r="E115" s="395"/>
      <c r="F115" s="395"/>
      <c r="G115" s="385">
        <v>2294552.5892242412</v>
      </c>
      <c r="H115" s="385">
        <v>466258.49999999988</v>
      </c>
      <c r="I115" s="385">
        <v>466666.64089901122</v>
      </c>
      <c r="J115" s="398"/>
      <c r="K115" s="398">
        <v>739111.01</v>
      </c>
      <c r="L115" s="398">
        <v>320684.25</v>
      </c>
      <c r="M115" s="398">
        <v>2279166.4500000002</v>
      </c>
      <c r="N115" s="336">
        <f t="shared" si="2"/>
        <v>20515908.320123252</v>
      </c>
      <c r="O115" s="400">
        <v>1826234.1</v>
      </c>
      <c r="P115" s="401">
        <v>464820.8</v>
      </c>
      <c r="Q115" s="401">
        <v>1859712.7</v>
      </c>
      <c r="R115" s="402">
        <v>32784.97</v>
      </c>
      <c r="S115" s="402">
        <v>822560</v>
      </c>
      <c r="T115" s="337">
        <f t="shared" si="3"/>
        <v>25522020.890123252</v>
      </c>
      <c r="U115" s="403">
        <v>65</v>
      </c>
      <c r="V115" s="406">
        <v>7905</v>
      </c>
      <c r="W115" s="409">
        <v>-304823.90999999997</v>
      </c>
      <c r="X115" s="410"/>
      <c r="Y115" s="410">
        <v>-622.57000000000005</v>
      </c>
      <c r="Z115" s="416">
        <v>1</v>
      </c>
      <c r="AA115" s="409"/>
      <c r="AB115" s="409"/>
      <c r="AC115" s="409"/>
      <c r="AD115" s="409"/>
      <c r="AE115" s="409"/>
      <c r="AF115" s="409"/>
    </row>
    <row r="116" spans="1:32" x14ac:dyDescent="0.25">
      <c r="A116" s="343">
        <v>5584</v>
      </c>
      <c r="B116" s="335" t="s">
        <v>392</v>
      </c>
      <c r="C116" s="395">
        <v>22158231.359999999</v>
      </c>
      <c r="D116" s="395">
        <v>4020618.51</v>
      </c>
      <c r="E116" s="395"/>
      <c r="F116" s="395"/>
      <c r="G116" s="385">
        <v>603969.30591256556</v>
      </c>
      <c r="H116" s="385">
        <v>478770.00000000012</v>
      </c>
      <c r="I116" s="385">
        <v>183018.06915790166</v>
      </c>
      <c r="J116" s="398">
        <v>383226.87</v>
      </c>
      <c r="K116" s="398">
        <v>515611.77</v>
      </c>
      <c r="L116" s="398">
        <v>200179.4</v>
      </c>
      <c r="M116" s="398">
        <v>2180344.0499999998</v>
      </c>
      <c r="N116" s="336">
        <f t="shared" si="2"/>
        <v>30723969.335070465</v>
      </c>
      <c r="O116" s="400">
        <v>292689.40000000002</v>
      </c>
      <c r="P116" s="401">
        <v>5419507.0999999996</v>
      </c>
      <c r="Q116" s="401">
        <v>950372.6</v>
      </c>
      <c r="R116" s="402">
        <v>102435.65</v>
      </c>
      <c r="S116" s="402">
        <v>1114661.75</v>
      </c>
      <c r="T116" s="337">
        <f t="shared" si="3"/>
        <v>38603635.835070461</v>
      </c>
      <c r="U116" s="403">
        <v>66</v>
      </c>
      <c r="V116" s="406">
        <v>9624</v>
      </c>
      <c r="W116" s="409">
        <v>-261895.43</v>
      </c>
      <c r="X116" s="410"/>
      <c r="Y116" s="410">
        <v>-13214.4</v>
      </c>
      <c r="Z116" s="416">
        <v>1</v>
      </c>
      <c r="AA116" s="409"/>
      <c r="AB116" s="409"/>
      <c r="AC116" s="409"/>
      <c r="AD116" s="409"/>
      <c r="AE116" s="409"/>
      <c r="AF116" s="409"/>
    </row>
    <row r="117" spans="1:32" x14ac:dyDescent="0.25">
      <c r="A117" s="343">
        <v>5585</v>
      </c>
      <c r="B117" s="335" t="s">
        <v>393</v>
      </c>
      <c r="C117" s="395">
        <v>7410051.2199999997</v>
      </c>
      <c r="D117" s="395">
        <v>3317878.06</v>
      </c>
      <c r="E117" s="395"/>
      <c r="F117" s="395"/>
      <c r="G117" s="385">
        <v>140459.24635585718</v>
      </c>
      <c r="H117" s="385">
        <v>3111.1499999999992</v>
      </c>
      <c r="I117" s="385">
        <v>24268.054725451591</v>
      </c>
      <c r="J117" s="398">
        <v>237788.45</v>
      </c>
      <c r="K117" s="398">
        <v>47071.48</v>
      </c>
      <c r="L117" s="398">
        <v>-19247.849999999999</v>
      </c>
      <c r="M117" s="398">
        <v>478050.95</v>
      </c>
      <c r="N117" s="336">
        <f t="shared" si="2"/>
        <v>11639430.761081308</v>
      </c>
      <c r="O117" s="400">
        <v>1998.15</v>
      </c>
      <c r="P117" s="401">
        <v>61605.4</v>
      </c>
      <c r="Q117" s="401">
        <v>259006.65</v>
      </c>
      <c r="R117" s="402">
        <v>1902.16</v>
      </c>
      <c r="S117" s="402">
        <v>164493.79999999999</v>
      </c>
      <c r="T117" s="337">
        <f t="shared" si="3"/>
        <v>12128436.92108131</v>
      </c>
      <c r="U117" s="403">
        <v>53</v>
      </c>
      <c r="V117" s="406">
        <v>1471</v>
      </c>
      <c r="W117" s="409">
        <v>-4058.81</v>
      </c>
      <c r="X117" s="410"/>
      <c r="Y117" s="410">
        <v>-2494.77</v>
      </c>
      <c r="Z117" s="418">
        <v>1</v>
      </c>
      <c r="AA117" s="409"/>
      <c r="AB117" s="409"/>
      <c r="AC117" s="409"/>
      <c r="AD117" s="409"/>
      <c r="AE117" s="409"/>
      <c r="AF117" s="409"/>
    </row>
    <row r="118" spans="1:32" x14ac:dyDescent="0.25">
      <c r="A118" s="343">
        <v>5586</v>
      </c>
      <c r="B118" s="335" t="s">
        <v>120</v>
      </c>
      <c r="C118" s="395">
        <v>294062743.99000001</v>
      </c>
      <c r="D118" s="395">
        <v>37875984.920000002</v>
      </c>
      <c r="E118" s="395"/>
      <c r="F118" s="395"/>
      <c r="G118" s="385">
        <v>42549738.684634693</v>
      </c>
      <c r="H118" s="385">
        <v>9987507.4000000395</v>
      </c>
      <c r="I118" s="385">
        <v>8880499.0128065385</v>
      </c>
      <c r="J118" s="398">
        <v>5337145.84</v>
      </c>
      <c r="K118" s="398">
        <v>24759050.420000002</v>
      </c>
      <c r="L118" s="398">
        <v>5311444.3</v>
      </c>
      <c r="M118" s="398">
        <v>37633648.25</v>
      </c>
      <c r="N118" s="336">
        <f t="shared" si="2"/>
        <v>466397762.81744128</v>
      </c>
      <c r="O118" s="400">
        <v>10875129.949999999</v>
      </c>
      <c r="P118" s="401">
        <v>20038418.149999999</v>
      </c>
      <c r="Q118" s="401">
        <v>10237652.1</v>
      </c>
      <c r="R118" s="402">
        <v>1834072.04</v>
      </c>
      <c r="S118" s="402">
        <v>8627031.6500000004</v>
      </c>
      <c r="T118" s="337">
        <f t="shared" si="3"/>
        <v>518010066.70744127</v>
      </c>
      <c r="U118" s="403">
        <v>79</v>
      </c>
      <c r="V118" s="406">
        <v>139720</v>
      </c>
      <c r="W118" s="409">
        <v>-9959374.2300000004</v>
      </c>
      <c r="X118" s="410"/>
      <c r="Y118" s="410">
        <v>-820140.22</v>
      </c>
      <c r="Z118" s="416">
        <v>1.5</v>
      </c>
      <c r="AA118" s="409"/>
      <c r="AB118" s="409"/>
      <c r="AC118" s="409"/>
      <c r="AD118" s="409"/>
      <c r="AE118" s="409"/>
      <c r="AF118" s="409"/>
    </row>
    <row r="119" spans="1:32" x14ac:dyDescent="0.25">
      <c r="A119" s="343">
        <v>5587</v>
      </c>
      <c r="B119" s="335" t="s">
        <v>121</v>
      </c>
      <c r="C119" s="395">
        <v>22701225.510000002</v>
      </c>
      <c r="D119" s="395">
        <v>3385862.23</v>
      </c>
      <c r="E119" s="395"/>
      <c r="F119" s="395"/>
      <c r="G119" s="385">
        <v>1016073.3320084549</v>
      </c>
      <c r="H119" s="385">
        <v>705190.44999999972</v>
      </c>
      <c r="I119" s="385">
        <v>290949.42076486663</v>
      </c>
      <c r="J119" s="398">
        <v>470446.05</v>
      </c>
      <c r="K119" s="398">
        <v>375002.01</v>
      </c>
      <c r="L119" s="398">
        <v>346593.8</v>
      </c>
      <c r="M119" s="398">
        <v>2894792.85</v>
      </c>
      <c r="N119" s="336">
        <f t="shared" si="2"/>
        <v>32186135.652773328</v>
      </c>
      <c r="O119" s="400">
        <v>538043.69999999995</v>
      </c>
      <c r="P119" s="401">
        <v>151110.6</v>
      </c>
      <c r="Q119" s="401">
        <v>898427.7</v>
      </c>
      <c r="R119" s="402">
        <v>85796.98</v>
      </c>
      <c r="S119" s="402">
        <v>609797.94999999995</v>
      </c>
      <c r="T119" s="337">
        <f t="shared" si="3"/>
        <v>34469312.582773328</v>
      </c>
      <c r="U119" s="403">
        <v>75</v>
      </c>
      <c r="V119" s="406">
        <v>8516</v>
      </c>
      <c r="W119" s="409">
        <v>-340311.73</v>
      </c>
      <c r="X119" s="410"/>
      <c r="Y119" s="410">
        <v>-12218.61</v>
      </c>
      <c r="Z119" s="416">
        <v>1.2</v>
      </c>
      <c r="AA119" s="409"/>
      <c r="AB119" s="409"/>
      <c r="AC119" s="409"/>
      <c r="AD119" s="409"/>
      <c r="AE119" s="409"/>
      <c r="AF119" s="409"/>
    </row>
    <row r="120" spans="1:32" x14ac:dyDescent="0.25">
      <c r="A120" s="343">
        <v>5588</v>
      </c>
      <c r="B120" s="335" t="s">
        <v>122</v>
      </c>
      <c r="C120" s="395">
        <v>4917064.8899999997</v>
      </c>
      <c r="D120" s="395">
        <v>919066.29</v>
      </c>
      <c r="E120" s="395"/>
      <c r="F120" s="395"/>
      <c r="G120" s="385">
        <v>23944.221165644387</v>
      </c>
      <c r="H120" s="385">
        <v>680469.70000000019</v>
      </c>
      <c r="I120" s="385">
        <v>119068.80542313415</v>
      </c>
      <c r="J120" s="398">
        <v>556447.21</v>
      </c>
      <c r="K120" s="398">
        <v>257658.63</v>
      </c>
      <c r="L120" s="398">
        <v>37797.050000000003</v>
      </c>
      <c r="M120" s="398">
        <v>364526.8</v>
      </c>
      <c r="N120" s="336">
        <f t="shared" si="2"/>
        <v>7876043.5965887774</v>
      </c>
      <c r="O120" s="400">
        <v>15159.4</v>
      </c>
      <c r="P120" s="401">
        <v>30582.9</v>
      </c>
      <c r="Q120" s="401">
        <v>186670</v>
      </c>
      <c r="R120" s="402">
        <v>20551.62</v>
      </c>
      <c r="S120" s="402">
        <v>252412.5</v>
      </c>
      <c r="T120" s="337">
        <f t="shared" si="3"/>
        <v>8381420.0165887782</v>
      </c>
      <c r="U120" s="403">
        <v>61.5</v>
      </c>
      <c r="V120" s="406">
        <v>1507</v>
      </c>
      <c r="W120" s="409">
        <v>-73542.789999999994</v>
      </c>
      <c r="X120" s="410"/>
      <c r="Y120" s="410">
        <v>-81202.080000000002</v>
      </c>
      <c r="Z120" s="416">
        <v>0.7</v>
      </c>
      <c r="AA120" s="409"/>
      <c r="AB120" s="409"/>
      <c r="AC120" s="409"/>
      <c r="AD120" s="409"/>
      <c r="AE120" s="409"/>
      <c r="AF120" s="409"/>
    </row>
    <row r="121" spans="1:32" x14ac:dyDescent="0.25">
      <c r="A121" s="343">
        <v>5589</v>
      </c>
      <c r="B121" s="335" t="s">
        <v>123</v>
      </c>
      <c r="C121" s="395">
        <v>18382624.559999999</v>
      </c>
      <c r="D121" s="395">
        <v>2018376.53</v>
      </c>
      <c r="E121" s="395"/>
      <c r="F121" s="395"/>
      <c r="G121" s="385">
        <v>3388987.0423474801</v>
      </c>
      <c r="H121" s="385">
        <v>267783.69999999949</v>
      </c>
      <c r="I121" s="385">
        <v>618112.88919032435</v>
      </c>
      <c r="J121" s="398">
        <v>102531.53</v>
      </c>
      <c r="K121" s="398">
        <v>1528407.65</v>
      </c>
      <c r="L121" s="398">
        <v>445387.35</v>
      </c>
      <c r="M121" s="398">
        <v>2001182.4</v>
      </c>
      <c r="N121" s="336">
        <f t="shared" si="2"/>
        <v>28753393.651537802</v>
      </c>
      <c r="O121" s="400">
        <v>1183963.75</v>
      </c>
      <c r="P121" s="401">
        <v>190577.1</v>
      </c>
      <c r="Q121" s="401">
        <v>1262585.55</v>
      </c>
      <c r="R121" s="402">
        <v>165831.19</v>
      </c>
      <c r="S121" s="402">
        <v>314743.25</v>
      </c>
      <c r="T121" s="337">
        <f t="shared" si="3"/>
        <v>31871094.491537806</v>
      </c>
      <c r="U121" s="403">
        <v>73.5</v>
      </c>
      <c r="V121" s="406">
        <v>12392</v>
      </c>
      <c r="W121" s="409">
        <v>-905075.83</v>
      </c>
      <c r="X121" s="410"/>
      <c r="Y121" s="410">
        <v>-2910.59</v>
      </c>
      <c r="Z121" s="416">
        <v>1</v>
      </c>
      <c r="AA121" s="409"/>
      <c r="AB121" s="409"/>
      <c r="AC121" s="409"/>
      <c r="AD121" s="409"/>
      <c r="AE121" s="409"/>
      <c r="AF121" s="409"/>
    </row>
    <row r="122" spans="1:32" x14ac:dyDescent="0.25">
      <c r="A122" s="343">
        <v>5590</v>
      </c>
      <c r="B122" s="335" t="s">
        <v>124</v>
      </c>
      <c r="C122" s="395">
        <v>54716905.490000002</v>
      </c>
      <c r="D122" s="395">
        <v>15771786.529999999</v>
      </c>
      <c r="E122" s="395"/>
      <c r="F122" s="395"/>
      <c r="G122" s="385">
        <v>4779155.7493429519</v>
      </c>
      <c r="H122" s="385">
        <v>414633.84999999928</v>
      </c>
      <c r="I122" s="385">
        <v>877918.94031498174</v>
      </c>
      <c r="J122" s="398">
        <v>3194813.59</v>
      </c>
      <c r="K122" s="398">
        <v>1487448.96</v>
      </c>
      <c r="L122" s="398">
        <v>411165.6</v>
      </c>
      <c r="M122" s="398">
        <v>3364380.95</v>
      </c>
      <c r="N122" s="336">
        <f t="shared" si="2"/>
        <v>85018209.65965791</v>
      </c>
      <c r="O122" s="400">
        <v>193434.5</v>
      </c>
      <c r="P122" s="401">
        <v>7019320.5999999996</v>
      </c>
      <c r="Q122" s="401">
        <v>4298913.75</v>
      </c>
      <c r="R122" s="402">
        <v>128140.32</v>
      </c>
      <c r="S122" s="402">
        <v>2462791.0499999998</v>
      </c>
      <c r="T122" s="337">
        <f t="shared" si="3"/>
        <v>99120809.879657894</v>
      </c>
      <c r="U122" s="403">
        <v>61</v>
      </c>
      <c r="V122" s="406">
        <v>18336</v>
      </c>
      <c r="W122" s="409">
        <v>-894910.23</v>
      </c>
      <c r="X122" s="410"/>
      <c r="Y122" s="410">
        <v>-247782.79</v>
      </c>
      <c r="Z122" s="416">
        <v>0.7</v>
      </c>
      <c r="AA122" s="409"/>
      <c r="AB122" s="409"/>
      <c r="AC122" s="409"/>
      <c r="AD122" s="409"/>
      <c r="AE122" s="409"/>
      <c r="AF122" s="409"/>
    </row>
    <row r="123" spans="1:32" x14ac:dyDescent="0.25">
      <c r="A123" s="343">
        <v>5591</v>
      </c>
      <c r="B123" s="335" t="s">
        <v>396</v>
      </c>
      <c r="C123" s="395">
        <v>30373551.350000001</v>
      </c>
      <c r="D123" s="395">
        <v>3018405.61</v>
      </c>
      <c r="E123" s="395"/>
      <c r="F123" s="395"/>
      <c r="G123" s="385">
        <v>3572521.6557096587</v>
      </c>
      <c r="H123" s="385">
        <v>802795.75000000023</v>
      </c>
      <c r="I123" s="385">
        <v>739570.58654209867</v>
      </c>
      <c r="J123" s="398"/>
      <c r="K123" s="398">
        <v>2440624.98</v>
      </c>
      <c r="L123" s="398">
        <v>596805.19999999995</v>
      </c>
      <c r="M123" s="398">
        <v>4755028.1500000004</v>
      </c>
      <c r="N123" s="336">
        <f t="shared" si="2"/>
        <v>46299303.28225176</v>
      </c>
      <c r="O123" s="400">
        <v>2467919.5</v>
      </c>
      <c r="P123" s="401">
        <v>328078.3</v>
      </c>
      <c r="Q123" s="401">
        <v>2043555.55</v>
      </c>
      <c r="R123" s="402">
        <v>234558.34</v>
      </c>
      <c r="S123" s="402">
        <v>2123613.5</v>
      </c>
      <c r="T123" s="337">
        <f t="shared" si="3"/>
        <v>53497028.472251758</v>
      </c>
      <c r="U123" s="403">
        <v>78.5</v>
      </c>
      <c r="V123" s="406">
        <v>20968</v>
      </c>
      <c r="W123" s="409">
        <v>-2557720.62</v>
      </c>
      <c r="X123" s="410"/>
      <c r="Y123" s="410">
        <v>-2604.2800000000002</v>
      </c>
      <c r="Z123" s="416">
        <v>1.4</v>
      </c>
      <c r="AA123" s="409"/>
      <c r="AB123" s="409"/>
      <c r="AC123" s="409"/>
      <c r="AD123" s="409"/>
      <c r="AE123" s="409"/>
      <c r="AF123" s="409"/>
    </row>
    <row r="124" spans="1:32" x14ac:dyDescent="0.25">
      <c r="A124" s="343">
        <v>5592</v>
      </c>
      <c r="B124" s="335" t="s">
        <v>216</v>
      </c>
      <c r="C124" s="395">
        <v>5796684.8200000003</v>
      </c>
      <c r="D124" s="395">
        <v>659040.31999999995</v>
      </c>
      <c r="E124" s="395"/>
      <c r="F124" s="395"/>
      <c r="G124" s="385">
        <v>317425.39738030714</v>
      </c>
      <c r="H124" s="385">
        <v>233499.15000000002</v>
      </c>
      <c r="I124" s="385">
        <v>93124.121718526556</v>
      </c>
      <c r="J124" s="398">
        <v>29076.55</v>
      </c>
      <c r="K124" s="398">
        <v>135240.07999999999</v>
      </c>
      <c r="L124" s="398">
        <v>121971.2</v>
      </c>
      <c r="M124" s="398">
        <v>674844.05</v>
      </c>
      <c r="N124" s="336">
        <f t="shared" si="2"/>
        <v>8060905.689098835</v>
      </c>
      <c r="O124" s="400">
        <v>211296.2</v>
      </c>
      <c r="P124" s="401">
        <v>137615.70000000001</v>
      </c>
      <c r="Q124" s="401">
        <v>150170.9</v>
      </c>
      <c r="R124" s="402">
        <v>8307.33</v>
      </c>
      <c r="S124" s="402">
        <v>95667.7</v>
      </c>
      <c r="T124" s="337">
        <f t="shared" si="3"/>
        <v>8663963.5190988351</v>
      </c>
      <c r="U124" s="403">
        <v>70</v>
      </c>
      <c r="V124" s="406">
        <v>3311</v>
      </c>
      <c r="W124" s="409">
        <v>-110203.06</v>
      </c>
      <c r="X124" s="410"/>
      <c r="Y124" s="410">
        <v>-2412.96</v>
      </c>
      <c r="Z124" s="416">
        <v>1</v>
      </c>
      <c r="AA124" s="409"/>
      <c r="AB124" s="409"/>
      <c r="AC124" s="409"/>
      <c r="AD124" s="409"/>
      <c r="AE124" s="409"/>
      <c r="AF124" s="409"/>
    </row>
    <row r="125" spans="1:32" x14ac:dyDescent="0.25">
      <c r="A125" s="343">
        <v>5601</v>
      </c>
      <c r="B125" s="335" t="s">
        <v>298</v>
      </c>
      <c r="C125" s="395">
        <v>5449116.21</v>
      </c>
      <c r="D125" s="395">
        <v>964555.83</v>
      </c>
      <c r="E125" s="395"/>
      <c r="F125" s="395"/>
      <c r="G125" s="385">
        <v>42461.373385989005</v>
      </c>
      <c r="H125" s="385">
        <v>26622.350000000013</v>
      </c>
      <c r="I125" s="385">
        <v>11677.390481068664</v>
      </c>
      <c r="J125" s="398">
        <v>72833.759999999995</v>
      </c>
      <c r="K125" s="398">
        <v>100725.83</v>
      </c>
      <c r="L125" s="398">
        <v>24387.4</v>
      </c>
      <c r="M125" s="398">
        <v>455697.15</v>
      </c>
      <c r="N125" s="336">
        <f t="shared" si="2"/>
        <v>7148077.2938670581</v>
      </c>
      <c r="O125" s="400">
        <v>46283.1</v>
      </c>
      <c r="P125" s="401">
        <v>192264.4</v>
      </c>
      <c r="Q125" s="401">
        <v>258622.6</v>
      </c>
      <c r="R125" s="402">
        <v>15899.75</v>
      </c>
      <c r="S125" s="402">
        <v>255919.4</v>
      </c>
      <c r="T125" s="337">
        <f t="shared" si="3"/>
        <v>7917066.5438670581</v>
      </c>
      <c r="U125" s="403">
        <v>69</v>
      </c>
      <c r="V125" s="406">
        <v>2238</v>
      </c>
      <c r="W125" s="409">
        <v>-94270.47</v>
      </c>
      <c r="X125" s="410"/>
      <c r="Y125" s="410">
        <v>-2328.79</v>
      </c>
      <c r="Z125" s="416">
        <v>1</v>
      </c>
      <c r="AA125" s="409"/>
      <c r="AB125" s="409"/>
      <c r="AC125" s="409"/>
      <c r="AD125" s="409"/>
      <c r="AE125" s="409"/>
      <c r="AF125" s="409"/>
    </row>
    <row r="126" spans="1:32" x14ac:dyDescent="0.25">
      <c r="A126" s="343">
        <v>5604</v>
      </c>
      <c r="B126" s="335" t="s">
        <v>143</v>
      </c>
      <c r="C126" s="395">
        <v>3905481.18</v>
      </c>
      <c r="D126" s="395">
        <v>457183.64</v>
      </c>
      <c r="E126" s="395"/>
      <c r="F126" s="395"/>
      <c r="G126" s="385">
        <v>232607.23821138209</v>
      </c>
      <c r="H126" s="385">
        <v>17607.299999999988</v>
      </c>
      <c r="I126" s="385">
        <v>42294.374470950563</v>
      </c>
      <c r="J126" s="398">
        <v>28133.08</v>
      </c>
      <c r="K126" s="398">
        <v>77119.009999999995</v>
      </c>
      <c r="L126" s="398">
        <v>38411.800000000003</v>
      </c>
      <c r="M126" s="398">
        <v>384261.45</v>
      </c>
      <c r="N126" s="336">
        <f t="shared" si="2"/>
        <v>5183099.0726823322</v>
      </c>
      <c r="O126" s="400">
        <v>109339.65</v>
      </c>
      <c r="P126" s="401">
        <v>3165.75</v>
      </c>
      <c r="Q126" s="401">
        <v>226896.15</v>
      </c>
      <c r="R126" s="402">
        <v>6312.7</v>
      </c>
      <c r="S126" s="402">
        <v>103978</v>
      </c>
      <c r="T126" s="337">
        <f t="shared" si="3"/>
        <v>5632791.3226823332</v>
      </c>
      <c r="U126" s="403">
        <v>70</v>
      </c>
      <c r="V126" s="406">
        <v>2082</v>
      </c>
      <c r="W126" s="409">
        <v>-68082.63</v>
      </c>
      <c r="X126" s="410"/>
      <c r="Y126" s="410">
        <v>-434</v>
      </c>
      <c r="Z126" s="416">
        <v>1</v>
      </c>
      <c r="AA126" s="409"/>
      <c r="AB126" s="409"/>
      <c r="AC126" s="409"/>
      <c r="AD126" s="409"/>
      <c r="AE126" s="409"/>
      <c r="AF126" s="409"/>
    </row>
    <row r="127" spans="1:32" x14ac:dyDescent="0.25">
      <c r="A127" s="343">
        <v>5606</v>
      </c>
      <c r="B127" s="335" t="s">
        <v>144</v>
      </c>
      <c r="C127" s="395">
        <v>31309142.469999999</v>
      </c>
      <c r="D127" s="395">
        <v>7190240.3099999996</v>
      </c>
      <c r="E127" s="395"/>
      <c r="F127" s="395"/>
      <c r="G127" s="385">
        <v>1268039.6080863676</v>
      </c>
      <c r="H127" s="385">
        <v>96313.699999999721</v>
      </c>
      <c r="I127" s="385">
        <v>230619.97170658433</v>
      </c>
      <c r="J127" s="398">
        <v>1365123.92</v>
      </c>
      <c r="K127" s="398">
        <v>929717.18</v>
      </c>
      <c r="L127" s="398">
        <v>127717.5</v>
      </c>
      <c r="M127" s="398">
        <v>2027612.85</v>
      </c>
      <c r="N127" s="336">
        <f t="shared" si="2"/>
        <v>44544527.509792961</v>
      </c>
      <c r="O127" s="400">
        <v>114627.85</v>
      </c>
      <c r="P127" s="401">
        <v>2431335.0499999998</v>
      </c>
      <c r="Q127" s="401">
        <v>3011601.35</v>
      </c>
      <c r="R127" s="402">
        <v>146178.21</v>
      </c>
      <c r="S127" s="402">
        <v>2053751.5</v>
      </c>
      <c r="T127" s="337">
        <f t="shared" si="3"/>
        <v>52302021.469792962</v>
      </c>
      <c r="U127" s="403">
        <v>55.5</v>
      </c>
      <c r="V127" s="406">
        <v>10285</v>
      </c>
      <c r="W127" s="409">
        <v>-484170.33</v>
      </c>
      <c r="X127" s="410"/>
      <c r="Y127" s="410">
        <v>-40494.660000000003</v>
      </c>
      <c r="Z127" s="416">
        <v>0.7</v>
      </c>
      <c r="AA127" s="409"/>
      <c r="AB127" s="409"/>
      <c r="AC127" s="409"/>
      <c r="AD127" s="409"/>
      <c r="AE127" s="409"/>
      <c r="AF127" s="409"/>
    </row>
    <row r="128" spans="1:32" x14ac:dyDescent="0.25">
      <c r="A128" s="343">
        <v>5607</v>
      </c>
      <c r="B128" s="335" t="s">
        <v>300</v>
      </c>
      <c r="C128" s="395">
        <v>4941696.42</v>
      </c>
      <c r="D128" s="395">
        <v>859074.28</v>
      </c>
      <c r="E128" s="395"/>
      <c r="F128" s="395"/>
      <c r="G128" s="385">
        <v>457054.81224028906</v>
      </c>
      <c r="H128" s="385">
        <v>177004.74999999991</v>
      </c>
      <c r="I128" s="385">
        <v>107176.63631368431</v>
      </c>
      <c r="J128" s="398">
        <v>65.599999999999994</v>
      </c>
      <c r="K128" s="398">
        <v>204634.95</v>
      </c>
      <c r="L128" s="398">
        <v>125396.65</v>
      </c>
      <c r="M128" s="398">
        <v>774668.55</v>
      </c>
      <c r="N128" s="336">
        <f t="shared" si="2"/>
        <v>7646772.6485539731</v>
      </c>
      <c r="O128" s="400">
        <v>226664.6</v>
      </c>
      <c r="P128" s="401">
        <v>359642.1</v>
      </c>
      <c r="Q128" s="401">
        <v>271782.25</v>
      </c>
      <c r="R128" s="402">
        <v>17458.849999999999</v>
      </c>
      <c r="S128" s="402">
        <v>82442.850000000006</v>
      </c>
      <c r="T128" s="337">
        <f t="shared" si="3"/>
        <v>8604763.2985539716</v>
      </c>
      <c r="U128" s="403">
        <v>70</v>
      </c>
      <c r="V128" s="406">
        <v>2880</v>
      </c>
      <c r="W128" s="409">
        <v>-74970.100000000006</v>
      </c>
      <c r="X128" s="410"/>
      <c r="Y128" s="410">
        <v>-20484.18</v>
      </c>
      <c r="Z128" s="416">
        <v>1.1499999999999999</v>
      </c>
      <c r="AA128" s="409"/>
      <c r="AB128" s="409"/>
      <c r="AC128" s="409"/>
      <c r="AD128" s="409"/>
      <c r="AE128" s="409"/>
      <c r="AF128" s="409"/>
    </row>
    <row r="129" spans="1:32" x14ac:dyDescent="0.25">
      <c r="A129" s="343">
        <v>5609</v>
      </c>
      <c r="B129" s="335" t="s">
        <v>128</v>
      </c>
      <c r="C129" s="395">
        <v>636146.44999999995</v>
      </c>
      <c r="D129" s="395">
        <v>146281.79999999999</v>
      </c>
      <c r="E129" s="395"/>
      <c r="F129" s="395"/>
      <c r="G129" s="385">
        <v>3098.1292017848291</v>
      </c>
      <c r="H129" s="385">
        <v>520.70000000000005</v>
      </c>
      <c r="I129" s="385">
        <v>611.69953792771366</v>
      </c>
      <c r="J129" s="398"/>
      <c r="K129" s="398">
        <v>28690.19</v>
      </c>
      <c r="L129" s="398">
        <v>1268.4000000000001</v>
      </c>
      <c r="M129" s="398">
        <v>54950.5</v>
      </c>
      <c r="N129" s="336">
        <f t="shared" si="2"/>
        <v>871567.86873971252</v>
      </c>
      <c r="O129" s="400"/>
      <c r="P129" s="401"/>
      <c r="Q129" s="401">
        <v>19580</v>
      </c>
      <c r="R129" s="402"/>
      <c r="S129" s="402"/>
      <c r="T129" s="337">
        <f t="shared" si="3"/>
        <v>891147.86873971252</v>
      </c>
      <c r="U129" s="403">
        <v>63.5</v>
      </c>
      <c r="V129" s="406">
        <v>358</v>
      </c>
      <c r="W129" s="409">
        <v>-15942.23</v>
      </c>
      <c r="X129" s="410"/>
      <c r="Y129" s="410">
        <v>-41.66</v>
      </c>
      <c r="Z129" s="416">
        <v>1</v>
      </c>
      <c r="AA129" s="409"/>
      <c r="AB129" s="409"/>
      <c r="AC129" s="409"/>
      <c r="AD129" s="409"/>
      <c r="AE129" s="409"/>
      <c r="AF129" s="409"/>
    </row>
    <row r="130" spans="1:32" x14ac:dyDescent="0.25">
      <c r="A130" s="343">
        <v>5610</v>
      </c>
      <c r="B130" s="335" t="s">
        <v>129</v>
      </c>
      <c r="C130" s="395">
        <v>1605303.77</v>
      </c>
      <c r="D130" s="395">
        <v>677942.9</v>
      </c>
      <c r="E130" s="395"/>
      <c r="F130" s="395"/>
      <c r="G130" s="385">
        <v>1333.8133242999102</v>
      </c>
      <c r="H130" s="385">
        <v>6659.5</v>
      </c>
      <c r="I130" s="385">
        <v>1351.1292725763783</v>
      </c>
      <c r="J130" s="398">
        <v>-2463.1500000000101</v>
      </c>
      <c r="K130" s="398">
        <v>26056.06</v>
      </c>
      <c r="L130" s="398">
        <v>7065.8</v>
      </c>
      <c r="M130" s="398">
        <v>93841.55</v>
      </c>
      <c r="N130" s="336">
        <f t="shared" si="2"/>
        <v>2417091.3725968762</v>
      </c>
      <c r="O130" s="400"/>
      <c r="P130" s="401">
        <v>6564.4</v>
      </c>
      <c r="Q130" s="401">
        <v>14069</v>
      </c>
      <c r="R130" s="402">
        <v>1063.29</v>
      </c>
      <c r="S130" s="402">
        <v>17289.25</v>
      </c>
      <c r="T130" s="337">
        <f t="shared" si="3"/>
        <v>2456077.3125968762</v>
      </c>
      <c r="U130" s="403">
        <v>70</v>
      </c>
      <c r="V130" s="406">
        <v>391</v>
      </c>
      <c r="W130" s="409">
        <v>-2845.55</v>
      </c>
      <c r="X130" s="410">
        <v>-906774.4</v>
      </c>
      <c r="Y130" s="410">
        <v>-870.54</v>
      </c>
      <c r="Z130" s="416">
        <v>1</v>
      </c>
      <c r="AA130" s="409"/>
      <c r="AB130" s="409"/>
      <c r="AC130" s="409"/>
      <c r="AD130" s="409"/>
      <c r="AE130" s="409"/>
      <c r="AF130" s="409"/>
    </row>
    <row r="131" spans="1:32" x14ac:dyDescent="0.25">
      <c r="A131" s="343">
        <v>5611</v>
      </c>
      <c r="B131" s="335" t="s">
        <v>297</v>
      </c>
      <c r="C131" s="395">
        <v>7316448.3399999999</v>
      </c>
      <c r="D131" s="395">
        <v>1003708.96</v>
      </c>
      <c r="E131" s="395"/>
      <c r="F131" s="395"/>
      <c r="G131" s="385">
        <v>201178.34629120884</v>
      </c>
      <c r="H131" s="385">
        <v>33418.099999999991</v>
      </c>
      <c r="I131" s="385">
        <v>39654.410250983885</v>
      </c>
      <c r="J131" s="398">
        <v>49142.5</v>
      </c>
      <c r="K131" s="398">
        <v>139098.85</v>
      </c>
      <c r="L131" s="398">
        <v>25088.65</v>
      </c>
      <c r="M131" s="398">
        <v>769865.3</v>
      </c>
      <c r="N131" s="336">
        <f t="shared" si="2"/>
        <v>9577603.4565421939</v>
      </c>
      <c r="O131" s="400">
        <v>152991.25</v>
      </c>
      <c r="P131" s="401">
        <v>1085711.8</v>
      </c>
      <c r="Q131" s="401">
        <v>299437.45</v>
      </c>
      <c r="R131" s="402">
        <v>8701.4599999999991</v>
      </c>
      <c r="S131" s="402">
        <v>205682</v>
      </c>
      <c r="T131" s="337">
        <f t="shared" si="3"/>
        <v>11330127.416542195</v>
      </c>
      <c r="U131" s="403">
        <v>69</v>
      </c>
      <c r="V131" s="406">
        <v>3353</v>
      </c>
      <c r="W131" s="409">
        <v>-136858.85999999999</v>
      </c>
      <c r="X131" s="410"/>
      <c r="Y131" s="410">
        <v>-2155.73</v>
      </c>
      <c r="Z131" s="416">
        <v>1.2</v>
      </c>
      <c r="AA131" s="409"/>
      <c r="AB131" s="409"/>
      <c r="AC131" s="409"/>
      <c r="AD131" s="409"/>
      <c r="AE131" s="409"/>
      <c r="AF131" s="409"/>
    </row>
    <row r="132" spans="1:32" x14ac:dyDescent="0.25">
      <c r="A132" s="343">
        <v>5613</v>
      </c>
      <c r="B132" s="335" t="s">
        <v>428</v>
      </c>
      <c r="C132" s="395">
        <v>13680507.68</v>
      </c>
      <c r="D132" s="395">
        <v>2254705.79</v>
      </c>
      <c r="E132" s="395"/>
      <c r="F132" s="395"/>
      <c r="G132" s="385">
        <v>85036.759044060804</v>
      </c>
      <c r="H132" s="385">
        <v>33261.9</v>
      </c>
      <c r="I132" s="385">
        <v>19996.31124868511</v>
      </c>
      <c r="J132" s="398">
        <v>278712.84999999998</v>
      </c>
      <c r="K132" s="398">
        <v>411516.68</v>
      </c>
      <c r="L132" s="398">
        <v>28193.1</v>
      </c>
      <c r="M132" s="398">
        <v>2065137.6</v>
      </c>
      <c r="N132" s="336">
        <f t="shared" si="2"/>
        <v>18857068.670292746</v>
      </c>
      <c r="O132" s="400">
        <v>27565.8</v>
      </c>
      <c r="P132" s="401">
        <v>433812.8</v>
      </c>
      <c r="Q132" s="401">
        <v>767572.65</v>
      </c>
      <c r="R132" s="402">
        <v>2632.23</v>
      </c>
      <c r="S132" s="402">
        <v>964241.35</v>
      </c>
      <c r="T132" s="337">
        <f t="shared" si="3"/>
        <v>21052893.500292748</v>
      </c>
      <c r="U132" s="403">
        <v>61</v>
      </c>
      <c r="V132" s="406">
        <v>5367</v>
      </c>
      <c r="W132" s="409">
        <v>-289203.40000000002</v>
      </c>
      <c r="X132" s="410"/>
      <c r="Y132" s="410">
        <v>-8321.73</v>
      </c>
      <c r="Z132" s="416">
        <v>1.5</v>
      </c>
      <c r="AA132" s="409"/>
      <c r="AB132" s="409"/>
      <c r="AC132" s="409"/>
      <c r="AD132" s="409"/>
      <c r="AE132" s="409"/>
      <c r="AF132" s="409"/>
    </row>
    <row r="133" spans="1:32" x14ac:dyDescent="0.25">
      <c r="A133" s="343">
        <v>5621</v>
      </c>
      <c r="B133" s="335" t="s">
        <v>405</v>
      </c>
      <c r="C133" s="395">
        <v>1233424.02</v>
      </c>
      <c r="D133" s="395">
        <v>113046.76</v>
      </c>
      <c r="E133" s="395"/>
      <c r="F133" s="395"/>
      <c r="G133" s="385">
        <v>356323.96745306958</v>
      </c>
      <c r="H133" s="385">
        <v>7979.9499999999962</v>
      </c>
      <c r="I133" s="385">
        <v>61579.180874684636</v>
      </c>
      <c r="J133" s="398"/>
      <c r="K133" s="398">
        <v>70297.41</v>
      </c>
      <c r="L133" s="398">
        <v>15614.15</v>
      </c>
      <c r="M133" s="398">
        <v>309955.84999999998</v>
      </c>
      <c r="N133" s="336">
        <f t="shared" si="2"/>
        <v>2168221.288327754</v>
      </c>
      <c r="O133" s="400">
        <v>216714.35</v>
      </c>
      <c r="P133" s="401">
        <v>269761.5</v>
      </c>
      <c r="Q133" s="401">
        <v>36952.85</v>
      </c>
      <c r="R133" s="402">
        <v>1879.28</v>
      </c>
      <c r="S133" s="402">
        <v>64359.5</v>
      </c>
      <c r="T133" s="337">
        <f t="shared" si="3"/>
        <v>2757888.768327754</v>
      </c>
      <c r="U133" s="403">
        <v>62</v>
      </c>
      <c r="V133" s="406">
        <v>535</v>
      </c>
      <c r="W133" s="409">
        <v>-51717.16</v>
      </c>
      <c r="X133" s="410"/>
      <c r="Y133" s="410">
        <v>-16.71</v>
      </c>
      <c r="Z133" s="416">
        <v>1.1000000000000001</v>
      </c>
      <c r="AA133" s="409"/>
      <c r="AB133" s="409"/>
      <c r="AC133" s="409"/>
      <c r="AD133" s="409"/>
      <c r="AE133" s="409"/>
      <c r="AF133" s="409"/>
    </row>
    <row r="134" spans="1:32" x14ac:dyDescent="0.25">
      <c r="A134" s="343">
        <v>5622</v>
      </c>
      <c r="B134" s="335" t="s">
        <v>147</v>
      </c>
      <c r="C134" s="395">
        <v>1356758.83</v>
      </c>
      <c r="D134" s="395">
        <v>239019.68</v>
      </c>
      <c r="E134" s="395"/>
      <c r="F134" s="395"/>
      <c r="G134" s="385">
        <v>-22750.610212613472</v>
      </c>
      <c r="H134" s="385">
        <v>2322.0000000000005</v>
      </c>
      <c r="I134" s="385">
        <v>0</v>
      </c>
      <c r="J134" s="398"/>
      <c r="K134" s="398">
        <v>-16188.79</v>
      </c>
      <c r="L134" s="398">
        <v>5357</v>
      </c>
      <c r="M134" s="398">
        <v>139012.4</v>
      </c>
      <c r="N134" s="336">
        <f t="shared" si="2"/>
        <v>1703530.5097873865</v>
      </c>
      <c r="O134" s="400">
        <v>22635.8</v>
      </c>
      <c r="P134" s="401"/>
      <c r="Q134" s="401">
        <v>147249.1</v>
      </c>
      <c r="R134" s="402">
        <v>5642.52</v>
      </c>
      <c r="S134" s="402">
        <v>104349.6</v>
      </c>
      <c r="T134" s="337">
        <f t="shared" si="3"/>
        <v>1983407.5297873868</v>
      </c>
      <c r="U134" s="403">
        <v>66</v>
      </c>
      <c r="V134" s="406">
        <v>548</v>
      </c>
      <c r="W134" s="409">
        <v>-8919.76</v>
      </c>
      <c r="X134" s="410"/>
      <c r="Y134" s="410">
        <v>-67.260000000000005</v>
      </c>
      <c r="Z134" s="416">
        <v>1</v>
      </c>
      <c r="AA134" s="409"/>
      <c r="AB134" s="409"/>
      <c r="AC134" s="409"/>
      <c r="AD134" s="409"/>
      <c r="AE134" s="409"/>
      <c r="AF134" s="409"/>
    </row>
    <row r="135" spans="1:32" x14ac:dyDescent="0.25">
      <c r="A135" s="343">
        <v>5623</v>
      </c>
      <c r="B135" s="335" t="s">
        <v>148</v>
      </c>
      <c r="C135" s="395">
        <v>4311610.87</v>
      </c>
      <c r="D135" s="395">
        <v>1217502.6000000001</v>
      </c>
      <c r="E135" s="395"/>
      <c r="F135" s="395"/>
      <c r="G135" s="385">
        <v>141381.41177338449</v>
      </c>
      <c r="H135" s="385">
        <v>99565.450000000041</v>
      </c>
      <c r="I135" s="385">
        <v>40727.836489000307</v>
      </c>
      <c r="J135" s="398">
        <v>172396.45</v>
      </c>
      <c r="K135" s="398">
        <v>8984.08</v>
      </c>
      <c r="L135" s="398">
        <v>3141.7</v>
      </c>
      <c r="M135" s="398">
        <v>336348.6</v>
      </c>
      <c r="N135" s="336">
        <f t="shared" ref="N135:N198" si="4">SUM(C135:M135)</f>
        <v>6331658.9982623858</v>
      </c>
      <c r="O135" s="400">
        <v>2113.4499999999998</v>
      </c>
      <c r="P135" s="401">
        <v>103319.7</v>
      </c>
      <c r="Q135" s="401">
        <v>134400.9</v>
      </c>
      <c r="R135" s="402">
        <v>1038.72</v>
      </c>
      <c r="S135" s="402">
        <v>32810.1</v>
      </c>
      <c r="T135" s="337">
        <f t="shared" ref="T135:T198" si="5">SUM(N135:S135)</f>
        <v>6605341.8682623859</v>
      </c>
      <c r="U135" s="403">
        <v>53</v>
      </c>
      <c r="V135" s="406">
        <v>650</v>
      </c>
      <c r="W135" s="409">
        <v>-3950.78</v>
      </c>
      <c r="X135" s="410"/>
      <c r="Y135" s="410">
        <v>-19195.86</v>
      </c>
      <c r="Z135" s="416">
        <v>1</v>
      </c>
      <c r="AA135" s="409"/>
      <c r="AB135" s="409"/>
      <c r="AC135" s="409"/>
      <c r="AD135" s="409"/>
      <c r="AE135" s="409"/>
      <c r="AF135" s="409"/>
    </row>
    <row r="136" spans="1:32" x14ac:dyDescent="0.25">
      <c r="A136" s="343">
        <v>5624</v>
      </c>
      <c r="B136" s="335" t="s">
        <v>441</v>
      </c>
      <c r="C136" s="395">
        <v>13138951.9</v>
      </c>
      <c r="D136" s="395">
        <v>1301144.3500000001</v>
      </c>
      <c r="E136" s="395"/>
      <c r="F136" s="395"/>
      <c r="G136" s="385">
        <v>4378722.6379715232</v>
      </c>
      <c r="H136" s="385">
        <v>86183.750000000204</v>
      </c>
      <c r="I136" s="385">
        <v>754714.03100915684</v>
      </c>
      <c r="J136" s="398"/>
      <c r="K136" s="398">
        <v>746259.86</v>
      </c>
      <c r="L136" s="398">
        <v>440469.85</v>
      </c>
      <c r="M136" s="398">
        <v>2347231.35</v>
      </c>
      <c r="N136" s="336">
        <f t="shared" si="4"/>
        <v>23193677.728980683</v>
      </c>
      <c r="O136" s="400">
        <v>1436741.85</v>
      </c>
      <c r="P136" s="401">
        <v>150118.70000000001</v>
      </c>
      <c r="Q136" s="401">
        <v>1221353.6000000001</v>
      </c>
      <c r="R136" s="402">
        <v>55808.66</v>
      </c>
      <c r="S136" s="402">
        <v>1041326.9</v>
      </c>
      <c r="T136" s="337">
        <f t="shared" si="5"/>
        <v>27099027.438980684</v>
      </c>
      <c r="U136" s="403">
        <v>63</v>
      </c>
      <c r="V136" s="406">
        <v>8759</v>
      </c>
      <c r="W136" s="409">
        <v>-321660.27</v>
      </c>
      <c r="X136" s="410"/>
      <c r="Y136" s="410">
        <v>0</v>
      </c>
      <c r="Z136" s="416">
        <v>1.25</v>
      </c>
      <c r="AA136" s="409"/>
      <c r="AB136" s="409"/>
      <c r="AC136" s="409"/>
      <c r="AD136" s="409"/>
      <c r="AE136" s="409"/>
      <c r="AF136" s="409"/>
    </row>
    <row r="137" spans="1:32" x14ac:dyDescent="0.25">
      <c r="A137" s="343">
        <v>5625</v>
      </c>
      <c r="B137" s="335" t="s">
        <v>301</v>
      </c>
      <c r="C137" s="395">
        <v>773043.29</v>
      </c>
      <c r="D137" s="395">
        <v>134922.35</v>
      </c>
      <c r="E137" s="395"/>
      <c r="F137" s="395"/>
      <c r="G137" s="385">
        <v>11298.995274949084</v>
      </c>
      <c r="H137" s="385">
        <v>316</v>
      </c>
      <c r="I137" s="385">
        <v>1963.3110176116511</v>
      </c>
      <c r="J137" s="398">
        <v>49537.55</v>
      </c>
      <c r="K137" s="398">
        <v>-19036.05</v>
      </c>
      <c r="L137" s="398">
        <v>7737</v>
      </c>
      <c r="M137" s="398">
        <v>109989.85</v>
      </c>
      <c r="N137" s="336">
        <f t="shared" si="4"/>
        <v>1069772.2962925609</v>
      </c>
      <c r="O137" s="400"/>
      <c r="P137" s="401"/>
      <c r="Q137" s="401">
        <v>81248.3</v>
      </c>
      <c r="R137" s="402"/>
      <c r="S137" s="402">
        <v>50382.55</v>
      </c>
      <c r="T137" s="337">
        <f t="shared" si="5"/>
        <v>1201403.146292561</v>
      </c>
      <c r="U137" s="403">
        <v>78</v>
      </c>
      <c r="V137" s="406">
        <v>376</v>
      </c>
      <c r="W137" s="409">
        <v>-8556.2900000000009</v>
      </c>
      <c r="X137" s="410"/>
      <c r="Y137" s="410">
        <v>0</v>
      </c>
      <c r="Z137" s="416">
        <v>1.2</v>
      </c>
      <c r="AA137" s="409"/>
      <c r="AB137" s="409"/>
      <c r="AC137" s="409"/>
      <c r="AD137" s="409"/>
      <c r="AE137" s="409"/>
      <c r="AF137" s="409"/>
    </row>
    <row r="138" spans="1:32" x14ac:dyDescent="0.25">
      <c r="A138" s="343">
        <v>5627</v>
      </c>
      <c r="B138" s="335" t="s">
        <v>255</v>
      </c>
      <c r="C138" s="395">
        <v>9754607.5700000003</v>
      </c>
      <c r="D138" s="395">
        <v>700219.92</v>
      </c>
      <c r="E138" s="395"/>
      <c r="F138" s="395"/>
      <c r="G138" s="385">
        <v>910311.2067619242</v>
      </c>
      <c r="H138" s="385">
        <v>361231.5</v>
      </c>
      <c r="I138" s="385">
        <v>214931.96910150014</v>
      </c>
      <c r="J138" s="398"/>
      <c r="K138" s="398">
        <v>721488.67</v>
      </c>
      <c r="L138" s="398">
        <v>330766.25</v>
      </c>
      <c r="M138" s="398">
        <v>1471953.2</v>
      </c>
      <c r="N138" s="336">
        <f t="shared" si="4"/>
        <v>14465510.285863424</v>
      </c>
      <c r="O138" s="400">
        <v>405212</v>
      </c>
      <c r="P138" s="401">
        <v>10168.799999999999</v>
      </c>
      <c r="Q138" s="401">
        <v>948362.35</v>
      </c>
      <c r="R138" s="402">
        <v>116989.72</v>
      </c>
      <c r="S138" s="402">
        <v>88797.2</v>
      </c>
      <c r="T138" s="337">
        <f t="shared" si="5"/>
        <v>16035040.355863424</v>
      </c>
      <c r="U138" s="403">
        <v>79</v>
      </c>
      <c r="V138" s="406">
        <v>7741</v>
      </c>
      <c r="W138" s="409">
        <v>-393848.73</v>
      </c>
      <c r="X138" s="410"/>
      <c r="Y138" s="410">
        <v>-144.16</v>
      </c>
      <c r="Z138" s="416">
        <v>1.5</v>
      </c>
      <c r="AA138" s="409"/>
      <c r="AB138" s="409"/>
      <c r="AC138" s="409"/>
      <c r="AD138" s="409"/>
      <c r="AE138" s="409"/>
      <c r="AF138" s="409"/>
    </row>
    <row r="139" spans="1:32" x14ac:dyDescent="0.25">
      <c r="A139" s="343">
        <v>5628</v>
      </c>
      <c r="B139" s="338" t="s">
        <v>256</v>
      </c>
      <c r="C139" s="449">
        <v>1200000</v>
      </c>
      <c r="D139" s="395"/>
      <c r="E139" s="395"/>
      <c r="F139" s="395"/>
      <c r="G139" s="385">
        <v>1099.3052004058854</v>
      </c>
      <c r="H139" s="385">
        <v>657.8</v>
      </c>
      <c r="I139" s="385">
        <v>297.00778324894549</v>
      </c>
      <c r="J139" s="398"/>
      <c r="K139" s="398">
        <v>74034.39</v>
      </c>
      <c r="L139" s="398">
        <v>859.5</v>
      </c>
      <c r="M139" s="398">
        <v>87712.7</v>
      </c>
      <c r="N139" s="336">
        <f t="shared" si="4"/>
        <v>1364660.7029836548</v>
      </c>
      <c r="O139" s="400">
        <v>26499.05</v>
      </c>
      <c r="P139" s="401"/>
      <c r="Q139" s="401">
        <v>41155.550000000003</v>
      </c>
      <c r="R139" s="402"/>
      <c r="S139" s="402">
        <v>20000</v>
      </c>
      <c r="T139" s="337">
        <f t="shared" si="5"/>
        <v>1452315.3029836549</v>
      </c>
      <c r="U139" s="403">
        <v>62</v>
      </c>
      <c r="V139" s="406">
        <v>358</v>
      </c>
      <c r="W139" s="409">
        <v>-7210.51</v>
      </c>
      <c r="X139" s="410"/>
      <c r="Y139" s="410">
        <v>0</v>
      </c>
      <c r="Z139" s="416">
        <v>1</v>
      </c>
      <c r="AA139" s="409"/>
      <c r="AB139" s="409"/>
      <c r="AC139" s="409"/>
      <c r="AD139" s="409"/>
      <c r="AE139" s="409"/>
      <c r="AF139" s="409"/>
    </row>
    <row r="140" spans="1:32" x14ac:dyDescent="0.25">
      <c r="A140" s="343">
        <v>5629</v>
      </c>
      <c r="B140" s="335" t="s">
        <v>151</v>
      </c>
      <c r="C140" s="395">
        <v>426824.55</v>
      </c>
      <c r="D140" s="395">
        <v>44101.25</v>
      </c>
      <c r="E140" s="395"/>
      <c r="F140" s="395"/>
      <c r="G140" s="385">
        <v>3644.8419450317119</v>
      </c>
      <c r="H140" s="385">
        <v>688.6</v>
      </c>
      <c r="I140" s="385">
        <v>732.49227515493055</v>
      </c>
      <c r="J140" s="398"/>
      <c r="K140" s="398">
        <v>12063.23</v>
      </c>
      <c r="L140" s="398">
        <v>-3366.95</v>
      </c>
      <c r="M140" s="398">
        <v>34805.1</v>
      </c>
      <c r="N140" s="336">
        <f t="shared" si="4"/>
        <v>519493.11422018654</v>
      </c>
      <c r="O140" s="400"/>
      <c r="P140" s="401"/>
      <c r="Q140" s="401">
        <v>48317.5</v>
      </c>
      <c r="R140" s="402"/>
      <c r="S140" s="402">
        <v>11646.4</v>
      </c>
      <c r="T140" s="337">
        <f t="shared" si="5"/>
        <v>579457.01422018663</v>
      </c>
      <c r="U140" s="403">
        <v>75</v>
      </c>
      <c r="V140" s="406">
        <v>190</v>
      </c>
      <c r="W140" s="409">
        <v>-775.78</v>
      </c>
      <c r="X140" s="410"/>
      <c r="Y140" s="410">
        <v>0</v>
      </c>
      <c r="Z140" s="416">
        <v>1</v>
      </c>
      <c r="AA140" s="409"/>
      <c r="AB140" s="409"/>
      <c r="AC140" s="409"/>
      <c r="AD140" s="409"/>
      <c r="AE140" s="409"/>
      <c r="AF140" s="409"/>
    </row>
    <row r="141" spans="1:32" x14ac:dyDescent="0.25">
      <c r="A141" s="343">
        <v>5631</v>
      </c>
      <c r="B141" s="335" t="s">
        <v>152</v>
      </c>
      <c r="C141" s="395">
        <v>2090425.52</v>
      </c>
      <c r="D141" s="395">
        <v>684578.41</v>
      </c>
      <c r="E141" s="395"/>
      <c r="F141" s="395"/>
      <c r="G141" s="385">
        <v>6725.1827009936769</v>
      </c>
      <c r="H141" s="385">
        <v>645</v>
      </c>
      <c r="I141" s="385">
        <v>1245.7999815015091</v>
      </c>
      <c r="J141" s="398">
        <v>72375.5</v>
      </c>
      <c r="K141" s="398">
        <v>33866.53</v>
      </c>
      <c r="L141" s="398">
        <v>3627.4</v>
      </c>
      <c r="M141" s="398">
        <v>199730.45</v>
      </c>
      <c r="N141" s="336">
        <f t="shared" si="4"/>
        <v>3093219.792682495</v>
      </c>
      <c r="O141" s="400"/>
      <c r="P141" s="401">
        <v>109428.9</v>
      </c>
      <c r="Q141" s="401">
        <v>110929.5</v>
      </c>
      <c r="R141" s="402">
        <v>3058.48</v>
      </c>
      <c r="S141" s="402"/>
      <c r="T141" s="337">
        <f t="shared" si="5"/>
        <v>3316636.6726824949</v>
      </c>
      <c r="U141" s="403">
        <v>70</v>
      </c>
      <c r="V141" s="406">
        <v>747</v>
      </c>
      <c r="W141" s="409">
        <v>-22390.71</v>
      </c>
      <c r="X141" s="410"/>
      <c r="Y141" s="410">
        <v>-6769.18</v>
      </c>
      <c r="Z141" s="416">
        <v>1</v>
      </c>
      <c r="AA141" s="409"/>
      <c r="AB141" s="409"/>
      <c r="AC141" s="409"/>
      <c r="AD141" s="409"/>
      <c r="AE141" s="409"/>
      <c r="AF141" s="409"/>
    </row>
    <row r="142" spans="1:32" x14ac:dyDescent="0.25">
      <c r="A142" s="343">
        <v>5632</v>
      </c>
      <c r="B142" s="335" t="s">
        <v>153</v>
      </c>
      <c r="C142" s="395">
        <v>3195118.2</v>
      </c>
      <c r="D142" s="395">
        <v>424599.22</v>
      </c>
      <c r="E142" s="395"/>
      <c r="F142" s="395"/>
      <c r="G142" s="385">
        <v>89863.402384576344</v>
      </c>
      <c r="H142" s="385">
        <v>18193.449999999997</v>
      </c>
      <c r="I142" s="385">
        <v>18265.113656363887</v>
      </c>
      <c r="J142" s="398"/>
      <c r="K142" s="398">
        <v>215618.73</v>
      </c>
      <c r="L142" s="398">
        <v>-74047.149999999994</v>
      </c>
      <c r="M142" s="398">
        <v>336622.1</v>
      </c>
      <c r="N142" s="336">
        <f t="shared" si="4"/>
        <v>4224233.0660409406</v>
      </c>
      <c r="O142" s="400">
        <v>73867.05</v>
      </c>
      <c r="P142" s="401">
        <v>-961</v>
      </c>
      <c r="Q142" s="401">
        <v>406553.45</v>
      </c>
      <c r="R142" s="402">
        <v>16539.38</v>
      </c>
      <c r="S142" s="402">
        <v>63205.3</v>
      </c>
      <c r="T142" s="337">
        <f t="shared" si="5"/>
        <v>4783437.2460409403</v>
      </c>
      <c r="U142" s="403">
        <v>62</v>
      </c>
      <c r="V142" s="406">
        <v>1610</v>
      </c>
      <c r="W142" s="409">
        <v>-43827.67</v>
      </c>
      <c r="X142" s="410"/>
      <c r="Y142" s="410">
        <v>-326.20999999999998</v>
      </c>
      <c r="Z142" s="416">
        <v>1</v>
      </c>
      <c r="AA142" s="409"/>
      <c r="AB142" s="409"/>
      <c r="AC142" s="409"/>
      <c r="AD142" s="409"/>
      <c r="AE142" s="409"/>
      <c r="AF142" s="409"/>
    </row>
    <row r="143" spans="1:32" x14ac:dyDescent="0.25">
      <c r="A143" s="343">
        <v>5633</v>
      </c>
      <c r="B143" s="335" t="s">
        <v>154</v>
      </c>
      <c r="C143" s="395">
        <v>5952005.2999999998</v>
      </c>
      <c r="D143" s="395">
        <v>1273177.55</v>
      </c>
      <c r="E143" s="395"/>
      <c r="F143" s="395"/>
      <c r="G143" s="385">
        <v>282492.64393708785</v>
      </c>
      <c r="H143" s="385">
        <v>181066.75000000009</v>
      </c>
      <c r="I143" s="385">
        <v>78356.576467746694</v>
      </c>
      <c r="J143" s="398"/>
      <c r="K143" s="398">
        <v>217439.81</v>
      </c>
      <c r="L143" s="398">
        <v>23551.35</v>
      </c>
      <c r="M143" s="398">
        <v>610573.4</v>
      </c>
      <c r="N143" s="336">
        <f t="shared" si="4"/>
        <v>8618663.3804048337</v>
      </c>
      <c r="O143" s="400">
        <v>224978.2</v>
      </c>
      <c r="P143" s="401">
        <v>13819.8</v>
      </c>
      <c r="Q143" s="401">
        <v>201601.65</v>
      </c>
      <c r="R143" s="402">
        <v>3139.94</v>
      </c>
      <c r="S143" s="402">
        <v>50168.74</v>
      </c>
      <c r="T143" s="337">
        <f t="shared" si="5"/>
        <v>9112371.7104048338</v>
      </c>
      <c r="U143" s="403">
        <v>62</v>
      </c>
      <c r="V143" s="406">
        <v>2789</v>
      </c>
      <c r="W143" s="409">
        <v>-100590.22</v>
      </c>
      <c r="X143" s="410"/>
      <c r="Y143" s="410">
        <v>0</v>
      </c>
      <c r="Z143" s="416">
        <v>1</v>
      </c>
      <c r="AA143" s="409"/>
      <c r="AB143" s="409"/>
      <c r="AC143" s="409"/>
      <c r="AD143" s="409"/>
      <c r="AE143" s="409"/>
      <c r="AF143" s="409"/>
    </row>
    <row r="144" spans="1:32" x14ac:dyDescent="0.25">
      <c r="A144" s="343">
        <v>5634</v>
      </c>
      <c r="B144" s="335" t="s">
        <v>155</v>
      </c>
      <c r="C144" s="395">
        <v>9332970.0800000001</v>
      </c>
      <c r="D144" s="395">
        <v>1513750.94</v>
      </c>
      <c r="E144" s="395"/>
      <c r="F144" s="395"/>
      <c r="G144" s="385">
        <v>49266.09078244718</v>
      </c>
      <c r="H144" s="385">
        <v>13091.999999999996</v>
      </c>
      <c r="I144" s="385">
        <v>10540.540376667763</v>
      </c>
      <c r="J144" s="398">
        <v>91478.55</v>
      </c>
      <c r="K144" s="398">
        <v>138112.54999999999</v>
      </c>
      <c r="L144" s="398">
        <v>19369.55</v>
      </c>
      <c r="M144" s="398">
        <v>596610.80000000005</v>
      </c>
      <c r="N144" s="336">
        <f t="shared" si="4"/>
        <v>11765191.101159116</v>
      </c>
      <c r="O144" s="400">
        <v>36676.85</v>
      </c>
      <c r="P144" s="401">
        <v>273399.90000000002</v>
      </c>
      <c r="Q144" s="401">
        <v>421631.95</v>
      </c>
      <c r="R144" s="402">
        <v>7614.14</v>
      </c>
      <c r="S144" s="402">
        <v>283723.59999999998</v>
      </c>
      <c r="T144" s="337">
        <f t="shared" si="5"/>
        <v>12788237.541159116</v>
      </c>
      <c r="U144" s="403">
        <v>68</v>
      </c>
      <c r="V144" s="406">
        <v>3050</v>
      </c>
      <c r="W144" s="409">
        <v>-27148.32</v>
      </c>
      <c r="X144" s="410"/>
      <c r="Y144" s="410">
        <v>-1552.98</v>
      </c>
      <c r="Z144" s="416">
        <v>1</v>
      </c>
      <c r="AA144" s="409"/>
      <c r="AB144" s="409"/>
      <c r="AC144" s="409"/>
      <c r="AD144" s="409"/>
      <c r="AE144" s="409"/>
      <c r="AF144" s="409"/>
    </row>
    <row r="145" spans="1:32" x14ac:dyDescent="0.25">
      <c r="A145" s="343">
        <v>5635</v>
      </c>
      <c r="B145" s="335" t="s">
        <v>156</v>
      </c>
      <c r="C145" s="395">
        <v>18358331.41</v>
      </c>
      <c r="D145" s="395">
        <v>2334914.8199999998</v>
      </c>
      <c r="E145" s="395"/>
      <c r="F145" s="395"/>
      <c r="G145" s="385">
        <v>1419674.7660187003</v>
      </c>
      <c r="H145" s="385">
        <v>1211956.9500000007</v>
      </c>
      <c r="I145" s="385">
        <v>444831.13596259477</v>
      </c>
      <c r="J145" s="398"/>
      <c r="K145" s="398">
        <v>1713930.23</v>
      </c>
      <c r="L145" s="398">
        <v>442102.35</v>
      </c>
      <c r="M145" s="398">
        <v>2757082.85</v>
      </c>
      <c r="N145" s="336">
        <f t="shared" si="4"/>
        <v>28682824.511981297</v>
      </c>
      <c r="O145" s="400">
        <v>2525188.4</v>
      </c>
      <c r="P145" s="401">
        <v>418222.2</v>
      </c>
      <c r="Q145" s="401">
        <v>411660.05</v>
      </c>
      <c r="R145" s="402">
        <v>669347.78</v>
      </c>
      <c r="S145" s="402">
        <v>402836.25</v>
      </c>
      <c r="T145" s="337">
        <f t="shared" si="5"/>
        <v>33110079.191981297</v>
      </c>
      <c r="U145" s="403">
        <v>64</v>
      </c>
      <c r="V145" s="406">
        <v>12939</v>
      </c>
      <c r="W145" s="409">
        <v>-1626401.57</v>
      </c>
      <c r="X145" s="410"/>
      <c r="Y145" s="410">
        <v>-14777.81</v>
      </c>
      <c r="Z145" s="416">
        <v>1.2</v>
      </c>
      <c r="AA145" s="409"/>
      <c r="AB145" s="409"/>
      <c r="AC145" s="409"/>
      <c r="AD145" s="409"/>
      <c r="AE145" s="409"/>
      <c r="AF145" s="409"/>
    </row>
    <row r="146" spans="1:32" x14ac:dyDescent="0.25">
      <c r="A146" s="343">
        <v>5636</v>
      </c>
      <c r="B146" s="338" t="s">
        <v>157</v>
      </c>
      <c r="C146" s="395">
        <v>5917950.9000000004</v>
      </c>
      <c r="D146" s="395">
        <v>844575.22</v>
      </c>
      <c r="E146" s="395"/>
      <c r="F146" s="395"/>
      <c r="G146" s="385">
        <v>771822.84406081005</v>
      </c>
      <c r="H146" s="385">
        <v>257271.64999999997</v>
      </c>
      <c r="I146" s="385">
        <v>173950.35559856764</v>
      </c>
      <c r="J146" s="398">
        <v>-6421.6</v>
      </c>
      <c r="K146" s="398">
        <v>610638.53</v>
      </c>
      <c r="L146" s="398">
        <v>226954.7</v>
      </c>
      <c r="M146" s="398">
        <v>1273147.3500000001</v>
      </c>
      <c r="N146" s="336">
        <f t="shared" si="4"/>
        <v>10069889.949659377</v>
      </c>
      <c r="O146" s="400">
        <v>567263.44999999995</v>
      </c>
      <c r="P146" s="401">
        <v>-181972.6</v>
      </c>
      <c r="Q146" s="401">
        <v>1530810.65</v>
      </c>
      <c r="R146" s="402">
        <v>7459.88</v>
      </c>
      <c r="S146" s="402">
        <v>414787.15</v>
      </c>
      <c r="T146" s="337">
        <f t="shared" si="5"/>
        <v>12408238.479659379</v>
      </c>
      <c r="U146" s="403">
        <v>61</v>
      </c>
      <c r="V146" s="406">
        <v>2905</v>
      </c>
      <c r="W146" s="409">
        <v>-64750.33</v>
      </c>
      <c r="X146" s="410">
        <v>-37638.5</v>
      </c>
      <c r="Y146" s="410">
        <v>-968.43</v>
      </c>
      <c r="Z146" s="416">
        <v>1</v>
      </c>
      <c r="AA146" s="409"/>
      <c r="AB146" s="409"/>
      <c r="AC146" s="409"/>
      <c r="AD146" s="409"/>
      <c r="AE146" s="409"/>
      <c r="AF146" s="409"/>
    </row>
    <row r="147" spans="1:32" x14ac:dyDescent="0.25">
      <c r="A147" s="343">
        <v>5637</v>
      </c>
      <c r="B147" s="335" t="s">
        <v>158</v>
      </c>
      <c r="C147" s="395">
        <v>2178551.58</v>
      </c>
      <c r="D147" s="395">
        <v>240935.76</v>
      </c>
      <c r="E147" s="395"/>
      <c r="F147" s="395"/>
      <c r="G147" s="385">
        <v>24411.22910638298</v>
      </c>
      <c r="H147" s="385">
        <v>881.39999999999964</v>
      </c>
      <c r="I147" s="385">
        <v>4275.2748678276594</v>
      </c>
      <c r="J147" s="398"/>
      <c r="K147" s="398">
        <v>32808.68</v>
      </c>
      <c r="L147" s="398">
        <v>5470.65</v>
      </c>
      <c r="M147" s="398">
        <v>281209.40000000002</v>
      </c>
      <c r="N147" s="336">
        <f t="shared" si="4"/>
        <v>2768543.9739742102</v>
      </c>
      <c r="O147" s="400">
        <v>222794.7</v>
      </c>
      <c r="P147" s="401">
        <v>5758.1</v>
      </c>
      <c r="Q147" s="401">
        <v>70010.25</v>
      </c>
      <c r="R147" s="402">
        <v>596.30999999999995</v>
      </c>
      <c r="S147" s="402">
        <v>62744.55</v>
      </c>
      <c r="T147" s="337">
        <f t="shared" si="5"/>
        <v>3130447.8839742104</v>
      </c>
      <c r="U147" s="403">
        <v>74.5</v>
      </c>
      <c r="V147" s="406">
        <v>999</v>
      </c>
      <c r="W147" s="409">
        <v>-28405.82</v>
      </c>
      <c r="X147" s="410"/>
      <c r="Y147" s="410">
        <v>-186.53</v>
      </c>
      <c r="Z147" s="416">
        <v>1.5</v>
      </c>
      <c r="AA147" s="409"/>
      <c r="AB147" s="409"/>
      <c r="AC147" s="409"/>
      <c r="AD147" s="409"/>
      <c r="AE147" s="409"/>
      <c r="AF147" s="409"/>
    </row>
    <row r="148" spans="1:32" x14ac:dyDescent="0.25">
      <c r="A148" s="343">
        <v>5638</v>
      </c>
      <c r="B148" s="335" t="s">
        <v>159</v>
      </c>
      <c r="C148" s="395">
        <v>5596754.79</v>
      </c>
      <c r="D148" s="395">
        <v>1145959.55</v>
      </c>
      <c r="E148" s="395"/>
      <c r="F148" s="395"/>
      <c r="G148" s="385">
        <v>684765.49713919708</v>
      </c>
      <c r="H148" s="385">
        <v>138586.80000000005</v>
      </c>
      <c r="I148" s="385">
        <v>139173.24958673597</v>
      </c>
      <c r="J148" s="398">
        <v>225384.35</v>
      </c>
      <c r="K148" s="398">
        <v>149354.20000000001</v>
      </c>
      <c r="L148" s="398">
        <v>36732.400000000001</v>
      </c>
      <c r="M148" s="398">
        <v>631786.6</v>
      </c>
      <c r="N148" s="336">
        <f t="shared" si="4"/>
        <v>8748497.4367259331</v>
      </c>
      <c r="O148" s="400">
        <v>215283.05</v>
      </c>
      <c r="P148" s="401">
        <v>1560571.3</v>
      </c>
      <c r="Q148" s="401">
        <v>500825.9</v>
      </c>
      <c r="R148" s="402">
        <v>18911.27</v>
      </c>
      <c r="S148" s="402">
        <v>300446.09999999998</v>
      </c>
      <c r="T148" s="337">
        <f t="shared" si="5"/>
        <v>11344535.056725934</v>
      </c>
      <c r="U148" s="403">
        <v>55</v>
      </c>
      <c r="V148" s="406">
        <v>2593</v>
      </c>
      <c r="W148" s="409">
        <v>-142088.24</v>
      </c>
      <c r="X148" s="410"/>
      <c r="Y148" s="410">
        <v>-1258.58</v>
      </c>
      <c r="Z148" s="416">
        <v>1</v>
      </c>
      <c r="AA148" s="409"/>
      <c r="AB148" s="409"/>
      <c r="AC148" s="409"/>
      <c r="AD148" s="409"/>
      <c r="AE148" s="409"/>
      <c r="AF148" s="409"/>
    </row>
    <row r="149" spans="1:32" x14ac:dyDescent="0.25">
      <c r="A149" s="343">
        <v>5639</v>
      </c>
      <c r="B149" s="335" t="s">
        <v>160</v>
      </c>
      <c r="C149" s="395">
        <v>1938318.08</v>
      </c>
      <c r="D149" s="395">
        <v>444432.25</v>
      </c>
      <c r="E149" s="395"/>
      <c r="F149" s="395"/>
      <c r="G149" s="385">
        <v>123646.35483122905</v>
      </c>
      <c r="H149" s="385">
        <v>6099.3500000000022</v>
      </c>
      <c r="I149" s="385">
        <v>21931.233354208824</v>
      </c>
      <c r="J149" s="398"/>
      <c r="K149" s="398">
        <v>7882.32</v>
      </c>
      <c r="L149" s="398">
        <v>5943.85</v>
      </c>
      <c r="M149" s="398">
        <v>242203.65</v>
      </c>
      <c r="N149" s="336">
        <f t="shared" si="4"/>
        <v>2790457.088185438</v>
      </c>
      <c r="O149" s="400">
        <v>12986.35</v>
      </c>
      <c r="P149" s="401">
        <v>7603.1</v>
      </c>
      <c r="Q149" s="401">
        <v>90302.25</v>
      </c>
      <c r="R149" s="402"/>
      <c r="S149" s="402">
        <v>100765.6</v>
      </c>
      <c r="T149" s="337">
        <f t="shared" si="5"/>
        <v>3002114.3881854382</v>
      </c>
      <c r="U149" s="403">
        <v>61</v>
      </c>
      <c r="V149" s="406">
        <v>790</v>
      </c>
      <c r="W149" s="409">
        <v>-13263.69</v>
      </c>
      <c r="X149" s="410"/>
      <c r="Y149" s="410">
        <v>0</v>
      </c>
      <c r="Z149" s="416">
        <v>1.25</v>
      </c>
      <c r="AA149" s="409"/>
      <c r="AB149" s="409"/>
      <c r="AC149" s="409"/>
      <c r="AD149" s="409"/>
      <c r="AE149" s="409"/>
      <c r="AF149" s="409"/>
    </row>
    <row r="150" spans="1:32" x14ac:dyDescent="0.25">
      <c r="A150" s="343">
        <v>5640</v>
      </c>
      <c r="B150" s="335" t="s">
        <v>161</v>
      </c>
      <c r="C150" s="395">
        <v>2702132.25</v>
      </c>
      <c r="D150" s="395">
        <v>501364.3</v>
      </c>
      <c r="E150" s="395"/>
      <c r="F150" s="395"/>
      <c r="G150" s="385">
        <v>-8283.9678690874644</v>
      </c>
      <c r="H150" s="385">
        <v>6933.0499999999975</v>
      </c>
      <c r="I150" s="385">
        <v>0</v>
      </c>
      <c r="J150" s="398">
        <v>113236.15</v>
      </c>
      <c r="K150" s="398">
        <v>11138.93</v>
      </c>
      <c r="L150" s="398">
        <v>4735.55</v>
      </c>
      <c r="M150" s="398">
        <v>188872.65</v>
      </c>
      <c r="N150" s="336">
        <f t="shared" si="4"/>
        <v>3520128.9121309118</v>
      </c>
      <c r="O150" s="400">
        <v>18606.95</v>
      </c>
      <c r="P150" s="401">
        <v>133563.5</v>
      </c>
      <c r="Q150" s="401">
        <v>125353.1</v>
      </c>
      <c r="R150" s="402"/>
      <c r="S150" s="402">
        <v>66303.149999999994</v>
      </c>
      <c r="T150" s="337">
        <f t="shared" si="5"/>
        <v>3863955.612130912</v>
      </c>
      <c r="U150" s="403">
        <v>66</v>
      </c>
      <c r="V150" s="406">
        <v>687</v>
      </c>
      <c r="W150" s="409">
        <v>-4864.45</v>
      </c>
      <c r="X150" s="410"/>
      <c r="Y150" s="410">
        <v>-3127.93</v>
      </c>
      <c r="Z150" s="416">
        <v>1</v>
      </c>
      <c r="AA150" s="409"/>
      <c r="AB150" s="409"/>
      <c r="AC150" s="409"/>
      <c r="AD150" s="409"/>
      <c r="AE150" s="409"/>
      <c r="AF150" s="409"/>
    </row>
    <row r="151" spans="1:32" x14ac:dyDescent="0.25">
      <c r="A151" s="343">
        <v>5642</v>
      </c>
      <c r="B151" s="335" t="s">
        <v>162</v>
      </c>
      <c r="C151" s="395">
        <v>35772364.969999999</v>
      </c>
      <c r="D151" s="395">
        <v>5477728.5999999996</v>
      </c>
      <c r="E151" s="395"/>
      <c r="F151" s="395"/>
      <c r="G151" s="385">
        <v>2080633.3697787011</v>
      </c>
      <c r="H151" s="385">
        <v>952287.10000000207</v>
      </c>
      <c r="I151" s="385">
        <v>512661.95404307084</v>
      </c>
      <c r="J151" s="398">
        <v>604468.26</v>
      </c>
      <c r="K151" s="398">
        <v>1431185.21</v>
      </c>
      <c r="L151" s="398">
        <v>468773.55</v>
      </c>
      <c r="M151" s="398">
        <v>3132574.3</v>
      </c>
      <c r="N151" s="336">
        <f t="shared" si="4"/>
        <v>50432677.313821763</v>
      </c>
      <c r="O151" s="400">
        <v>1405238.4</v>
      </c>
      <c r="P151" s="401">
        <v>2366669.2999999998</v>
      </c>
      <c r="Q151" s="401">
        <v>1795662.85</v>
      </c>
      <c r="R151" s="402">
        <v>82660.7</v>
      </c>
      <c r="S151" s="402">
        <v>2406947.0499999998</v>
      </c>
      <c r="T151" s="337">
        <f t="shared" si="5"/>
        <v>58489855.61382176</v>
      </c>
      <c r="U151" s="403">
        <v>68.5</v>
      </c>
      <c r="V151" s="406">
        <v>15725</v>
      </c>
      <c r="W151" s="409">
        <v>-540768.64</v>
      </c>
      <c r="X151" s="410"/>
      <c r="Y151" s="410">
        <v>-18138.919999999998</v>
      </c>
      <c r="Z151" s="416">
        <v>1</v>
      </c>
      <c r="AA151" s="409"/>
      <c r="AB151" s="409"/>
      <c r="AC151" s="409"/>
      <c r="AD151" s="409"/>
      <c r="AE151" s="409"/>
      <c r="AF151" s="409"/>
    </row>
    <row r="152" spans="1:32" x14ac:dyDescent="0.25">
      <c r="A152" s="343">
        <v>5643</v>
      </c>
      <c r="B152" s="335" t="s">
        <v>163</v>
      </c>
      <c r="C152" s="395">
        <v>11897665.720000001</v>
      </c>
      <c r="D152" s="395">
        <v>2343715.91</v>
      </c>
      <c r="E152" s="395"/>
      <c r="F152" s="395"/>
      <c r="G152" s="385">
        <v>246791.66082677169</v>
      </c>
      <c r="H152" s="385">
        <v>72269.750000000044</v>
      </c>
      <c r="I152" s="385">
        <v>53931.729487824901</v>
      </c>
      <c r="J152" s="398">
        <v>351745.75</v>
      </c>
      <c r="K152" s="398">
        <v>399868.24</v>
      </c>
      <c r="L152" s="398">
        <v>117739.75</v>
      </c>
      <c r="M152" s="398">
        <v>1096286.05</v>
      </c>
      <c r="N152" s="336">
        <f t="shared" si="4"/>
        <v>16580014.560314599</v>
      </c>
      <c r="O152" s="400">
        <v>178198.39999999999</v>
      </c>
      <c r="P152" s="401">
        <v>22241.9</v>
      </c>
      <c r="Q152" s="401">
        <v>286824.65000000002</v>
      </c>
      <c r="R152" s="402">
        <v>17812.11</v>
      </c>
      <c r="S152" s="402">
        <v>121437.6</v>
      </c>
      <c r="T152" s="337">
        <f t="shared" si="5"/>
        <v>17206529.2203146</v>
      </c>
      <c r="U152" s="403">
        <v>64</v>
      </c>
      <c r="V152" s="406">
        <v>5298</v>
      </c>
      <c r="W152" s="409">
        <v>-162802.89000000001</v>
      </c>
      <c r="X152" s="410"/>
      <c r="Y152" s="410">
        <v>-5165.0200000000004</v>
      </c>
      <c r="Z152" s="416">
        <v>1</v>
      </c>
      <c r="AA152" s="409"/>
      <c r="AB152" s="409"/>
      <c r="AC152" s="409"/>
      <c r="AD152" s="409"/>
      <c r="AE152" s="409"/>
      <c r="AF152" s="409"/>
    </row>
    <row r="153" spans="1:32" x14ac:dyDescent="0.25">
      <c r="A153" s="343">
        <v>5644</v>
      </c>
      <c r="B153" s="335" t="s">
        <v>312</v>
      </c>
      <c r="C153" s="395">
        <v>842774.43</v>
      </c>
      <c r="D153" s="395">
        <v>86498.87</v>
      </c>
      <c r="E153" s="395"/>
      <c r="F153" s="395"/>
      <c r="G153" s="385">
        <v>-4783.3022964509373</v>
      </c>
      <c r="H153" s="385">
        <v>1256.3000000000002</v>
      </c>
      <c r="I153" s="385">
        <v>0</v>
      </c>
      <c r="J153" s="398"/>
      <c r="K153" s="398">
        <v>20184.61</v>
      </c>
      <c r="L153" s="398"/>
      <c r="M153" s="398">
        <v>76902.45</v>
      </c>
      <c r="N153" s="336">
        <f t="shared" si="4"/>
        <v>1022833.3577035491</v>
      </c>
      <c r="O153" s="400">
        <v>4010.65</v>
      </c>
      <c r="P153" s="401"/>
      <c r="Q153" s="401">
        <v>46387</v>
      </c>
      <c r="R153" s="402">
        <v>20681.240000000002</v>
      </c>
      <c r="S153" s="402">
        <v>37549.15</v>
      </c>
      <c r="T153" s="337">
        <f t="shared" si="5"/>
        <v>1131461.3977035491</v>
      </c>
      <c r="U153" s="403">
        <v>76</v>
      </c>
      <c r="V153" s="406">
        <v>399</v>
      </c>
      <c r="W153" s="409">
        <v>-23121.09</v>
      </c>
      <c r="X153" s="410"/>
      <c r="Y153" s="410">
        <v>-75.83</v>
      </c>
      <c r="Z153" s="416">
        <v>1</v>
      </c>
      <c r="AA153" s="409"/>
      <c r="AB153" s="409"/>
      <c r="AC153" s="409"/>
      <c r="AD153" s="409"/>
      <c r="AE153" s="409"/>
      <c r="AF153" s="409"/>
    </row>
    <row r="154" spans="1:32" x14ac:dyDescent="0.25">
      <c r="A154" s="343">
        <v>5645</v>
      </c>
      <c r="B154" s="335" t="s">
        <v>313</v>
      </c>
      <c r="C154" s="395">
        <v>1055128.83</v>
      </c>
      <c r="D154" s="395">
        <v>161610.35</v>
      </c>
      <c r="E154" s="395"/>
      <c r="F154" s="395"/>
      <c r="G154" s="385">
        <v>33154.134527140472</v>
      </c>
      <c r="H154" s="385">
        <v>-85974.449999999983</v>
      </c>
      <c r="I154" s="385">
        <v>0</v>
      </c>
      <c r="J154" s="398"/>
      <c r="K154" s="398">
        <v>44967.199999999997</v>
      </c>
      <c r="L154" s="398">
        <v>21819.599999999999</v>
      </c>
      <c r="M154" s="398">
        <v>116235.3</v>
      </c>
      <c r="N154" s="336">
        <f t="shared" si="4"/>
        <v>1346940.9645271408</v>
      </c>
      <c r="O154" s="400">
        <v>48717.45</v>
      </c>
      <c r="P154" s="401">
        <v>27329</v>
      </c>
      <c r="Q154" s="401">
        <v>44370.8</v>
      </c>
      <c r="R154" s="402"/>
      <c r="S154" s="402">
        <v>46970.5</v>
      </c>
      <c r="T154" s="337">
        <f t="shared" si="5"/>
        <v>1514328.7145271408</v>
      </c>
      <c r="U154" s="403">
        <v>56</v>
      </c>
      <c r="V154" s="406">
        <v>458</v>
      </c>
      <c r="W154" s="409">
        <v>-19000.88</v>
      </c>
      <c r="X154" s="410"/>
      <c r="Y154" s="410">
        <v>-127.16</v>
      </c>
      <c r="Z154" s="416">
        <v>0.8</v>
      </c>
      <c r="AA154" s="409"/>
      <c r="AB154" s="409"/>
      <c r="AC154" s="409"/>
      <c r="AD154" s="409"/>
      <c r="AE154" s="409"/>
      <c r="AF154" s="409"/>
    </row>
    <row r="155" spans="1:32" x14ac:dyDescent="0.25">
      <c r="A155" s="343">
        <v>5646</v>
      </c>
      <c r="B155" s="335" t="s">
        <v>314</v>
      </c>
      <c r="C155" s="395">
        <v>11718965.949999999</v>
      </c>
      <c r="D155" s="395">
        <v>3225446.92</v>
      </c>
      <c r="E155" s="395"/>
      <c r="F155" s="395"/>
      <c r="G155" s="385">
        <f>1435873.07997438-1035873.079</f>
        <v>400000.00097438006</v>
      </c>
      <c r="H155" s="385">
        <f>13154533.4-7154533.4</f>
        <v>6000000</v>
      </c>
      <c r="I155" s="385">
        <v>1081807.6301601983</v>
      </c>
      <c r="J155" s="398">
        <v>903162.14</v>
      </c>
      <c r="K155" s="398">
        <v>546212.4</v>
      </c>
      <c r="L155" s="398">
        <v>156565.54999999999</v>
      </c>
      <c r="M155" s="398">
        <v>1569202.3</v>
      </c>
      <c r="N155" s="336">
        <f t="shared" si="4"/>
        <v>25601362.891134575</v>
      </c>
      <c r="O155" s="400">
        <v>621335.85</v>
      </c>
      <c r="P155" s="401">
        <v>317865.90000000002</v>
      </c>
      <c r="Q155" s="401">
        <v>799728.8</v>
      </c>
      <c r="R155" s="402">
        <v>18240.03</v>
      </c>
      <c r="S155" s="402">
        <v>223156.6</v>
      </c>
      <c r="T155" s="337">
        <f t="shared" si="5"/>
        <v>27581690.071134578</v>
      </c>
      <c r="U155" s="403">
        <v>55</v>
      </c>
      <c r="V155" s="406">
        <v>5684</v>
      </c>
      <c r="W155" s="409">
        <v>-216268.95</v>
      </c>
      <c r="X155" s="410"/>
      <c r="Y155" s="410">
        <v>-10697.82</v>
      </c>
      <c r="Z155" s="416">
        <v>1</v>
      </c>
      <c r="AA155" s="409"/>
      <c r="AB155" s="409"/>
      <c r="AC155" s="409"/>
      <c r="AD155" s="409"/>
      <c r="AE155" s="409"/>
      <c r="AF155" s="409"/>
    </row>
    <row r="156" spans="1:32" x14ac:dyDescent="0.25">
      <c r="A156" s="343">
        <v>5648</v>
      </c>
      <c r="B156" s="338" t="s">
        <v>315</v>
      </c>
      <c r="C156" s="338">
        <v>13100000</v>
      </c>
      <c r="D156" s="338">
        <v>3600000</v>
      </c>
      <c r="E156" s="395"/>
      <c r="F156" s="395"/>
      <c r="G156" s="385">
        <v>142332.87224594349</v>
      </c>
      <c r="H156" s="385">
        <v>425761.60000000015</v>
      </c>
      <c r="I156" s="385">
        <v>96026.396051170741</v>
      </c>
      <c r="J156" s="449">
        <v>450000</v>
      </c>
      <c r="K156" s="449">
        <v>600000</v>
      </c>
      <c r="L156" s="449">
        <v>80000</v>
      </c>
      <c r="M156" s="449">
        <v>1100000</v>
      </c>
      <c r="N156" s="336">
        <f t="shared" si="4"/>
        <v>19594120.868297119</v>
      </c>
      <c r="O156" s="450">
        <v>60000</v>
      </c>
      <c r="P156" s="450">
        <v>600000</v>
      </c>
      <c r="Q156" s="450">
        <v>1200000</v>
      </c>
      <c r="R156" s="450"/>
      <c r="S156" s="450">
        <v>700000</v>
      </c>
      <c r="T156" s="337">
        <f t="shared" si="5"/>
        <v>22154120.868297119</v>
      </c>
      <c r="U156" s="403">
        <v>55</v>
      </c>
      <c r="V156" s="406">
        <v>4669</v>
      </c>
      <c r="W156" s="409">
        <v>-70000</v>
      </c>
      <c r="X156" s="410"/>
      <c r="Y156" s="413"/>
      <c r="Z156" s="416">
        <v>0.8</v>
      </c>
      <c r="AA156" s="409"/>
      <c r="AB156" s="409"/>
      <c r="AC156" s="409"/>
      <c r="AD156" s="409"/>
      <c r="AE156" s="409"/>
      <c r="AF156" s="409"/>
    </row>
    <row r="157" spans="1:32" x14ac:dyDescent="0.25">
      <c r="A157" s="343">
        <v>5649</v>
      </c>
      <c r="B157" s="335" t="s">
        <v>316</v>
      </c>
      <c r="C157" s="395">
        <v>3626876.75</v>
      </c>
      <c r="D157" s="395">
        <v>574060.39</v>
      </c>
      <c r="E157" s="395"/>
      <c r="F157" s="395"/>
      <c r="G157" s="385">
        <v>1714762.9428848475</v>
      </c>
      <c r="H157" s="385">
        <v>44595.600000000304</v>
      </c>
      <c r="I157" s="385">
        <v>297388.67123130569</v>
      </c>
      <c r="J157" s="398">
        <v>116030.65</v>
      </c>
      <c r="K157" s="398">
        <v>495024.2</v>
      </c>
      <c r="L157" s="398">
        <v>56402.1</v>
      </c>
      <c r="M157" s="398">
        <v>545028.69999999995</v>
      </c>
      <c r="N157" s="336">
        <f t="shared" si="4"/>
        <v>7470170.0041161533</v>
      </c>
      <c r="O157" s="400">
        <v>294828.34999999998</v>
      </c>
      <c r="P157" s="401">
        <v>26312.1</v>
      </c>
      <c r="Q157" s="401">
        <v>52481</v>
      </c>
      <c r="R157" s="402">
        <v>11994.64</v>
      </c>
      <c r="S157" s="402">
        <v>59017.55</v>
      </c>
      <c r="T157" s="337">
        <f t="shared" si="5"/>
        <v>7914803.6441161521</v>
      </c>
      <c r="U157" s="403">
        <v>65</v>
      </c>
      <c r="V157" s="406">
        <v>1933</v>
      </c>
      <c r="W157" s="409">
        <v>-71064.91</v>
      </c>
      <c r="X157" s="410"/>
      <c r="Y157" s="410">
        <v>-1186.93</v>
      </c>
      <c r="Z157" s="416">
        <v>1</v>
      </c>
      <c r="AA157" s="409"/>
      <c r="AB157" s="409"/>
      <c r="AC157" s="409"/>
      <c r="AD157" s="409"/>
      <c r="AE157" s="409"/>
      <c r="AF157" s="409"/>
    </row>
    <row r="158" spans="1:32" s="339" customFormat="1" x14ac:dyDescent="0.25">
      <c r="A158" s="344">
        <v>5650</v>
      </c>
      <c r="B158" s="338" t="s">
        <v>317</v>
      </c>
      <c r="C158" s="395">
        <v>4301297.21</v>
      </c>
      <c r="D158" s="395">
        <v>6021587.1500000004</v>
      </c>
      <c r="E158" s="395"/>
      <c r="F158" s="395"/>
      <c r="G158" s="385">
        <v>-729.93553441522215</v>
      </c>
      <c r="H158" s="385">
        <v>1268</v>
      </c>
      <c r="I158" s="385">
        <v>90.950350685575316</v>
      </c>
      <c r="J158" s="398"/>
      <c r="K158" s="398">
        <v>-1889.68</v>
      </c>
      <c r="L158" s="398"/>
      <c r="M158" s="398">
        <v>55283.7</v>
      </c>
      <c r="N158" s="336">
        <f t="shared" si="4"/>
        <v>10376907.394816268</v>
      </c>
      <c r="O158" s="400"/>
      <c r="P158" s="401"/>
      <c r="Q158" s="401"/>
      <c r="R158" s="402"/>
      <c r="S158" s="402"/>
      <c r="T158" s="337">
        <f t="shared" si="5"/>
        <v>10376907.394816268</v>
      </c>
      <c r="U158" s="403">
        <v>56</v>
      </c>
      <c r="V158" s="406">
        <v>184</v>
      </c>
      <c r="W158" s="409">
        <v>-8.42</v>
      </c>
      <c r="X158" s="413"/>
      <c r="Y158" s="413">
        <v>0</v>
      </c>
      <c r="Z158" s="416">
        <v>1.25</v>
      </c>
      <c r="AA158" s="409"/>
      <c r="AB158" s="409"/>
      <c r="AC158" s="409"/>
      <c r="AD158" s="409"/>
      <c r="AE158" s="409"/>
      <c r="AF158" s="409"/>
    </row>
    <row r="159" spans="1:32" x14ac:dyDescent="0.25">
      <c r="A159" s="343">
        <v>5651</v>
      </c>
      <c r="B159" s="335" t="s">
        <v>318</v>
      </c>
      <c r="C159" s="395">
        <v>1901265.84</v>
      </c>
      <c r="D159" s="395">
        <v>213296.04</v>
      </c>
      <c r="E159" s="395"/>
      <c r="F159" s="395"/>
      <c r="G159" s="385">
        <v>422399.63715083804</v>
      </c>
      <c r="H159" s="385">
        <v>5929.8499999999985</v>
      </c>
      <c r="I159" s="385">
        <v>72401.579284747044</v>
      </c>
      <c r="J159" s="398"/>
      <c r="K159" s="398">
        <v>27034.76</v>
      </c>
      <c r="L159" s="398">
        <v>29874.55</v>
      </c>
      <c r="M159" s="398">
        <v>320004.59999999998</v>
      </c>
      <c r="N159" s="336">
        <f t="shared" si="4"/>
        <v>2992206.8564355848</v>
      </c>
      <c r="O159" s="400">
        <v>167054.35</v>
      </c>
      <c r="P159" s="401"/>
      <c r="Q159" s="401">
        <v>142166.79999999999</v>
      </c>
      <c r="R159" s="402">
        <v>4337.47</v>
      </c>
      <c r="S159" s="402">
        <v>17121.8</v>
      </c>
      <c r="T159" s="337">
        <f t="shared" si="5"/>
        <v>3322887.2764355848</v>
      </c>
      <c r="U159" s="403">
        <v>59</v>
      </c>
      <c r="V159" s="406">
        <v>963</v>
      </c>
      <c r="W159" s="409">
        <v>-10667.7</v>
      </c>
      <c r="X159" s="410"/>
      <c r="Y159" s="410">
        <v>-16582.86</v>
      </c>
      <c r="Z159" s="416">
        <v>1</v>
      </c>
      <c r="AA159" s="409"/>
      <c r="AB159" s="409"/>
      <c r="AC159" s="409"/>
      <c r="AD159" s="409"/>
      <c r="AE159" s="409"/>
      <c r="AF159" s="409"/>
    </row>
    <row r="160" spans="1:32" x14ac:dyDescent="0.25">
      <c r="A160" s="343">
        <v>5652</v>
      </c>
      <c r="B160" s="335" t="s">
        <v>198</v>
      </c>
      <c r="C160" s="395">
        <v>1737041.67</v>
      </c>
      <c r="D160" s="395">
        <v>397209.47</v>
      </c>
      <c r="E160" s="395"/>
      <c r="F160" s="395"/>
      <c r="G160" s="385">
        <v>10276.697494780792</v>
      </c>
      <c r="H160" s="385">
        <v>390</v>
      </c>
      <c r="I160" s="385">
        <v>1803.0179278850831</v>
      </c>
      <c r="J160" s="398"/>
      <c r="K160" s="398">
        <v>66078.8</v>
      </c>
      <c r="L160" s="398">
        <v>868.15</v>
      </c>
      <c r="M160" s="398">
        <v>130772.95</v>
      </c>
      <c r="N160" s="336">
        <f t="shared" si="4"/>
        <v>2344440.7554226653</v>
      </c>
      <c r="O160" s="400">
        <v>8597.2999999999993</v>
      </c>
      <c r="P160" s="401">
        <v>816.2</v>
      </c>
      <c r="Q160" s="401">
        <v>24764.3</v>
      </c>
      <c r="R160" s="402">
        <v>60.87</v>
      </c>
      <c r="S160" s="402">
        <v>32742.95</v>
      </c>
      <c r="T160" s="337">
        <f t="shared" si="5"/>
        <v>2411422.3754226654</v>
      </c>
      <c r="U160" s="403">
        <v>76</v>
      </c>
      <c r="V160" s="406">
        <v>608</v>
      </c>
      <c r="W160" s="409">
        <v>-68099.990000000005</v>
      </c>
      <c r="X160" s="410"/>
      <c r="Y160" s="410">
        <v>-39.74</v>
      </c>
      <c r="Z160" s="416">
        <v>1.2</v>
      </c>
      <c r="AA160" s="409"/>
      <c r="AB160" s="409"/>
      <c r="AC160" s="409"/>
      <c r="AD160" s="409"/>
      <c r="AE160" s="409"/>
      <c r="AF160" s="409"/>
    </row>
    <row r="161" spans="1:32" x14ac:dyDescent="0.25">
      <c r="A161" s="343">
        <v>5653</v>
      </c>
      <c r="B161" s="335" t="s">
        <v>199</v>
      </c>
      <c r="C161" s="395">
        <v>2198518.91</v>
      </c>
      <c r="D161" s="395">
        <v>751726.4</v>
      </c>
      <c r="E161" s="395"/>
      <c r="F161" s="395"/>
      <c r="G161" s="385">
        <v>18757.883731853122</v>
      </c>
      <c r="H161" s="385">
        <v>1953.4</v>
      </c>
      <c r="I161" s="385">
        <v>3500.8788705517959</v>
      </c>
      <c r="J161" s="398">
        <v>103767.35</v>
      </c>
      <c r="K161" s="398">
        <v>77296.36</v>
      </c>
      <c r="L161" s="398">
        <v>2768.5</v>
      </c>
      <c r="M161" s="398">
        <v>195409.6</v>
      </c>
      <c r="N161" s="336">
        <f t="shared" si="4"/>
        <v>3353699.2826024052</v>
      </c>
      <c r="O161" s="400">
        <v>2139.1999999999998</v>
      </c>
      <c r="P161" s="401"/>
      <c r="Q161" s="401">
        <v>144280.29999999999</v>
      </c>
      <c r="R161" s="402"/>
      <c r="S161" s="402">
        <v>121925.7</v>
      </c>
      <c r="T161" s="337">
        <f t="shared" si="5"/>
        <v>3622044.4826024054</v>
      </c>
      <c r="U161" s="403">
        <v>55</v>
      </c>
      <c r="V161" s="406">
        <v>886</v>
      </c>
      <c r="W161" s="409">
        <v>-10025.14</v>
      </c>
      <c r="X161" s="410"/>
      <c r="Y161" s="410">
        <v>-2946.12</v>
      </c>
      <c r="Z161" s="416">
        <v>0.8</v>
      </c>
      <c r="AA161" s="409"/>
      <c r="AB161" s="409"/>
      <c r="AC161" s="409"/>
      <c r="AD161" s="409"/>
      <c r="AE161" s="409"/>
      <c r="AF161" s="409"/>
    </row>
    <row r="162" spans="1:32" x14ac:dyDescent="0.25">
      <c r="A162" s="343">
        <v>5654</v>
      </c>
      <c r="B162" s="335" t="s">
        <v>200</v>
      </c>
      <c r="C162" s="395">
        <v>1192756.74</v>
      </c>
      <c r="D162" s="395">
        <v>152875.64000000001</v>
      </c>
      <c r="E162" s="395"/>
      <c r="F162" s="395"/>
      <c r="G162" s="385">
        <v>10793.776200417538</v>
      </c>
      <c r="H162" s="385">
        <v>1443.1999999999998</v>
      </c>
      <c r="I162" s="385">
        <v>2068.4459724531944</v>
      </c>
      <c r="J162" s="398"/>
      <c r="K162" s="398">
        <v>36411.07</v>
      </c>
      <c r="L162" s="398">
        <v>1512.45</v>
      </c>
      <c r="M162" s="398">
        <v>94882.35</v>
      </c>
      <c r="N162" s="336">
        <f t="shared" si="4"/>
        <v>1492743.6721728705</v>
      </c>
      <c r="O162" s="400">
        <v>5126</v>
      </c>
      <c r="P162" s="401"/>
      <c r="Q162" s="401">
        <v>65928.7</v>
      </c>
      <c r="R162" s="402">
        <v>738</v>
      </c>
      <c r="S162" s="402">
        <v>44768.5</v>
      </c>
      <c r="T162" s="337">
        <f t="shared" si="5"/>
        <v>1609304.8721728704</v>
      </c>
      <c r="U162" s="403">
        <v>76</v>
      </c>
      <c r="V162" s="406">
        <v>507</v>
      </c>
      <c r="W162" s="409">
        <v>-37676.75</v>
      </c>
      <c r="X162" s="410"/>
      <c r="Y162" s="410">
        <v>-589.20000000000005</v>
      </c>
      <c r="Z162" s="416">
        <v>1</v>
      </c>
      <c r="AA162" s="409"/>
      <c r="AB162" s="409"/>
      <c r="AC162" s="409"/>
      <c r="AD162" s="409"/>
      <c r="AE162" s="409"/>
      <c r="AF162" s="409"/>
    </row>
    <row r="163" spans="1:32" x14ac:dyDescent="0.25">
      <c r="A163" s="343">
        <v>5655</v>
      </c>
      <c r="B163" s="335" t="s">
        <v>201</v>
      </c>
      <c r="C163" s="395">
        <v>4760236.67</v>
      </c>
      <c r="D163" s="395">
        <v>671296.21</v>
      </c>
      <c r="E163" s="395"/>
      <c r="F163" s="395"/>
      <c r="G163" s="385">
        <v>86297.67255369926</v>
      </c>
      <c r="H163" s="385">
        <v>2491.6</v>
      </c>
      <c r="I163" s="385">
        <v>15008.267582025834</v>
      </c>
      <c r="J163" s="398">
        <v>208884.39</v>
      </c>
      <c r="K163" s="398">
        <v>157764.98000000001</v>
      </c>
      <c r="L163" s="398">
        <v>7769.55</v>
      </c>
      <c r="M163" s="398">
        <v>408069.3</v>
      </c>
      <c r="N163" s="336">
        <f t="shared" si="4"/>
        <v>6317818.6401357241</v>
      </c>
      <c r="O163" s="400">
        <v>70006.649999999994</v>
      </c>
      <c r="P163" s="401">
        <v>1993.1</v>
      </c>
      <c r="Q163" s="401">
        <v>224493.25</v>
      </c>
      <c r="R163" s="402"/>
      <c r="S163" s="402">
        <v>25253.25</v>
      </c>
      <c r="T163" s="337">
        <f t="shared" si="5"/>
        <v>6639564.8901357241</v>
      </c>
      <c r="U163" s="403">
        <v>73</v>
      </c>
      <c r="V163" s="406">
        <v>1429</v>
      </c>
      <c r="W163" s="409">
        <v>-31610.5</v>
      </c>
      <c r="X163" s="410"/>
      <c r="Y163" s="410">
        <v>-1093.7</v>
      </c>
      <c r="Z163" s="416">
        <v>1</v>
      </c>
      <c r="AA163" s="409"/>
      <c r="AB163" s="409"/>
      <c r="AC163" s="409"/>
      <c r="AD163" s="409"/>
      <c r="AE163" s="409"/>
      <c r="AF163" s="409"/>
    </row>
    <row r="164" spans="1:32" x14ac:dyDescent="0.25">
      <c r="A164" s="343">
        <v>5661</v>
      </c>
      <c r="B164" s="335" t="s">
        <v>202</v>
      </c>
      <c r="C164" s="395">
        <v>698084.26</v>
      </c>
      <c r="D164" s="395">
        <v>42531.55</v>
      </c>
      <c r="E164" s="395"/>
      <c r="F164" s="395">
        <v>1620</v>
      </c>
      <c r="G164" s="385">
        <v>7656.3659488830735</v>
      </c>
      <c r="H164" s="385">
        <v>228.8</v>
      </c>
      <c r="I164" s="385">
        <v>1332.8488575907952</v>
      </c>
      <c r="J164" s="398"/>
      <c r="K164" s="398">
        <v>7790.62</v>
      </c>
      <c r="L164" s="398">
        <v>425</v>
      </c>
      <c r="M164" s="398">
        <v>49469</v>
      </c>
      <c r="N164" s="336">
        <f t="shared" si="4"/>
        <v>809138.44480647403</v>
      </c>
      <c r="O164" s="400">
        <v>18523.2</v>
      </c>
      <c r="P164" s="401">
        <v>429</v>
      </c>
      <c r="Q164" s="401">
        <v>10428</v>
      </c>
      <c r="R164" s="402"/>
      <c r="S164" s="402">
        <v>7558.2</v>
      </c>
      <c r="T164" s="337">
        <f t="shared" si="5"/>
        <v>846076.84480647394</v>
      </c>
      <c r="U164" s="403">
        <v>79</v>
      </c>
      <c r="V164" s="406">
        <v>384</v>
      </c>
      <c r="W164" s="409">
        <v>-12.77</v>
      </c>
      <c r="X164" s="410"/>
      <c r="Y164" s="410">
        <v>0</v>
      </c>
      <c r="Z164" s="416">
        <v>1</v>
      </c>
      <c r="AA164" s="409"/>
      <c r="AB164" s="409"/>
      <c r="AC164" s="409"/>
      <c r="AD164" s="409"/>
      <c r="AE164" s="409"/>
      <c r="AF164" s="409"/>
    </row>
    <row r="165" spans="1:32" x14ac:dyDescent="0.25">
      <c r="A165" s="343">
        <v>5663</v>
      </c>
      <c r="B165" s="335" t="s">
        <v>203</v>
      </c>
      <c r="C165" s="395">
        <v>362261.4</v>
      </c>
      <c r="D165" s="395">
        <v>32935.82</v>
      </c>
      <c r="E165" s="395"/>
      <c r="F165" s="395">
        <v>1300</v>
      </c>
      <c r="G165" s="385">
        <v>2020.3918472857429</v>
      </c>
      <c r="H165" s="385">
        <v>829</v>
      </c>
      <c r="I165" s="385">
        <v>481.63966276718418</v>
      </c>
      <c r="J165" s="398"/>
      <c r="K165" s="398">
        <v>1127.6400000000001</v>
      </c>
      <c r="L165" s="398">
        <v>-973.85</v>
      </c>
      <c r="M165" s="398">
        <v>30432.3</v>
      </c>
      <c r="N165" s="336">
        <f t="shared" si="4"/>
        <v>430414.34151005297</v>
      </c>
      <c r="O165" s="400"/>
      <c r="P165" s="401"/>
      <c r="Q165" s="401">
        <v>10483</v>
      </c>
      <c r="R165" s="402">
        <v>6270.7</v>
      </c>
      <c r="S165" s="402">
        <v>4025</v>
      </c>
      <c r="T165" s="337">
        <f t="shared" si="5"/>
        <v>451193.04151005298</v>
      </c>
      <c r="U165" s="403">
        <v>80</v>
      </c>
      <c r="V165" s="406">
        <v>214</v>
      </c>
      <c r="W165" s="409">
        <v>-14636.42</v>
      </c>
      <c r="X165" s="410"/>
      <c r="Y165" s="410">
        <v>0</v>
      </c>
      <c r="Z165" s="416">
        <v>1</v>
      </c>
      <c r="AA165" s="409"/>
      <c r="AB165" s="409"/>
      <c r="AC165" s="409"/>
      <c r="AD165" s="409"/>
      <c r="AE165" s="409"/>
      <c r="AF165" s="409"/>
    </row>
    <row r="166" spans="1:32" x14ac:dyDescent="0.25">
      <c r="A166" s="343">
        <v>5665</v>
      </c>
      <c r="B166" s="335" t="s">
        <v>97</v>
      </c>
      <c r="C166" s="395">
        <v>267125.82</v>
      </c>
      <c r="D166" s="395">
        <v>43483.31</v>
      </c>
      <c r="E166" s="395"/>
      <c r="F166" s="395"/>
      <c r="G166" s="385">
        <v>818.27676285528321</v>
      </c>
      <c r="H166" s="385">
        <v>40.5</v>
      </c>
      <c r="I166" s="385">
        <v>145.16113354080008</v>
      </c>
      <c r="J166" s="398"/>
      <c r="K166" s="398">
        <v>1692.47</v>
      </c>
      <c r="L166" s="398">
        <v>4.5</v>
      </c>
      <c r="M166" s="398">
        <v>24273.8</v>
      </c>
      <c r="N166" s="336">
        <f t="shared" si="4"/>
        <v>337583.83789639606</v>
      </c>
      <c r="O166" s="400"/>
      <c r="P166" s="401"/>
      <c r="Q166" s="401">
        <v>6221.35</v>
      </c>
      <c r="R166" s="402"/>
      <c r="S166" s="402">
        <v>13002.65</v>
      </c>
      <c r="T166" s="337">
        <f t="shared" si="5"/>
        <v>356807.83789639606</v>
      </c>
      <c r="U166" s="403">
        <v>73</v>
      </c>
      <c r="V166" s="406">
        <v>216</v>
      </c>
      <c r="W166" s="409">
        <v>-1254.1099999999999</v>
      </c>
      <c r="X166" s="410"/>
      <c r="Y166" s="410">
        <v>0</v>
      </c>
      <c r="Z166" s="416">
        <v>1</v>
      </c>
      <c r="AA166" s="409"/>
      <c r="AB166" s="409"/>
      <c r="AC166" s="409"/>
      <c r="AD166" s="409"/>
      <c r="AE166" s="409"/>
      <c r="AF166" s="409"/>
    </row>
    <row r="167" spans="1:32" x14ac:dyDescent="0.25">
      <c r="A167" s="343">
        <v>5669</v>
      </c>
      <c r="B167" s="335" t="s">
        <v>98</v>
      </c>
      <c r="C167" s="395">
        <v>465922.83</v>
      </c>
      <c r="D167" s="395">
        <v>111702.94</v>
      </c>
      <c r="E167" s="395"/>
      <c r="F167" s="395"/>
      <c r="G167" s="385">
        <v>5036.1349682875261</v>
      </c>
      <c r="H167" s="385">
        <v>417.4</v>
      </c>
      <c r="I167" s="385">
        <v>921.82433438107796</v>
      </c>
      <c r="J167" s="398"/>
      <c r="K167" s="398">
        <v>8592.17</v>
      </c>
      <c r="L167" s="398">
        <v>356.7</v>
      </c>
      <c r="M167" s="398">
        <v>23309.85</v>
      </c>
      <c r="N167" s="336">
        <f t="shared" si="4"/>
        <v>616259.84930266859</v>
      </c>
      <c r="O167" s="400"/>
      <c r="P167" s="401">
        <v>378.65</v>
      </c>
      <c r="Q167" s="401">
        <v>9425.35</v>
      </c>
      <c r="R167" s="402"/>
      <c r="S167" s="402">
        <v>12428.25</v>
      </c>
      <c r="T167" s="337">
        <f t="shared" si="5"/>
        <v>638492.09930266859</v>
      </c>
      <c r="U167" s="403">
        <v>75</v>
      </c>
      <c r="V167" s="406">
        <v>313</v>
      </c>
      <c r="W167" s="409">
        <v>-59676.66</v>
      </c>
      <c r="X167" s="410"/>
      <c r="Y167" s="410">
        <v>-105.71</v>
      </c>
      <c r="Z167" s="416">
        <v>0.5</v>
      </c>
      <c r="AA167" s="409"/>
      <c r="AB167" s="409"/>
      <c r="AC167" s="409"/>
      <c r="AD167" s="409"/>
      <c r="AE167" s="409"/>
      <c r="AF167" s="409"/>
    </row>
    <row r="168" spans="1:32" x14ac:dyDescent="0.25">
      <c r="A168" s="343">
        <v>5671</v>
      </c>
      <c r="B168" s="335" t="s">
        <v>99</v>
      </c>
      <c r="C168" s="395">
        <v>408686.15</v>
      </c>
      <c r="D168" s="395">
        <v>60446.86</v>
      </c>
      <c r="E168" s="395"/>
      <c r="F168" s="395"/>
      <c r="G168" s="385">
        <v>4200.7314774309007</v>
      </c>
      <c r="H168" s="385">
        <v>282.89999999999998</v>
      </c>
      <c r="I168" s="385">
        <v>757.87917861112339</v>
      </c>
      <c r="J168" s="398"/>
      <c r="K168" s="398">
        <v>-5366.18</v>
      </c>
      <c r="L168" s="398">
        <v>223.5</v>
      </c>
      <c r="M168" s="398">
        <v>32625.200000000001</v>
      </c>
      <c r="N168" s="336">
        <f t="shared" si="4"/>
        <v>501857.04065604205</v>
      </c>
      <c r="O168" s="400"/>
      <c r="P168" s="401"/>
      <c r="Q168" s="401">
        <v>18040</v>
      </c>
      <c r="R168" s="402"/>
      <c r="S168" s="402">
        <v>16447.75</v>
      </c>
      <c r="T168" s="337">
        <f t="shared" si="5"/>
        <v>536344.79065604205</v>
      </c>
      <c r="U168" s="403">
        <v>80</v>
      </c>
      <c r="V168" s="406">
        <v>239</v>
      </c>
      <c r="W168" s="409">
        <v>-13256.45</v>
      </c>
      <c r="X168" s="410"/>
      <c r="Y168" s="410">
        <v>-6.07</v>
      </c>
      <c r="Z168" s="416">
        <v>1</v>
      </c>
      <c r="AA168" s="409"/>
      <c r="AB168" s="409"/>
      <c r="AC168" s="409"/>
      <c r="AD168" s="409"/>
      <c r="AE168" s="409"/>
      <c r="AF168" s="409"/>
    </row>
    <row r="169" spans="1:32" x14ac:dyDescent="0.25">
      <c r="A169" s="343">
        <v>5673</v>
      </c>
      <c r="B169" s="335" t="s">
        <v>100</v>
      </c>
      <c r="C169" s="395">
        <v>592601.06999999995</v>
      </c>
      <c r="D169" s="395">
        <v>64026.89</v>
      </c>
      <c r="E169" s="395"/>
      <c r="F169" s="395">
        <v>1970</v>
      </c>
      <c r="G169" s="385">
        <v>1450.2114164904863</v>
      </c>
      <c r="H169" s="385">
        <v>614.20000000000005</v>
      </c>
      <c r="I169" s="385">
        <v>348.95250346081735</v>
      </c>
      <c r="J169" s="398"/>
      <c r="K169" s="398">
        <v>6627.11</v>
      </c>
      <c r="L169" s="398">
        <v>7.5</v>
      </c>
      <c r="M169" s="398">
        <v>26915.4</v>
      </c>
      <c r="N169" s="336">
        <f t="shared" si="4"/>
        <v>694561.33391995123</v>
      </c>
      <c r="O169" s="400">
        <v>15579.35</v>
      </c>
      <c r="P169" s="401"/>
      <c r="Q169" s="401">
        <v>6141.7</v>
      </c>
      <c r="R169" s="402">
        <v>-15.97</v>
      </c>
      <c r="S169" s="402">
        <v>10295.200000000001</v>
      </c>
      <c r="T169" s="337">
        <f t="shared" si="5"/>
        <v>726561.61391995114</v>
      </c>
      <c r="U169" s="403">
        <v>75</v>
      </c>
      <c r="V169" s="406">
        <v>364</v>
      </c>
      <c r="W169" s="409">
        <v>-16807.82</v>
      </c>
      <c r="X169" s="410"/>
      <c r="Y169" s="410">
        <v>-15.14</v>
      </c>
      <c r="Z169" s="416">
        <v>0.6</v>
      </c>
      <c r="AA169" s="409"/>
      <c r="AB169" s="409"/>
      <c r="AC169" s="409"/>
      <c r="AD169" s="409"/>
      <c r="AE169" s="409"/>
      <c r="AF169" s="409"/>
    </row>
    <row r="170" spans="1:32" x14ac:dyDescent="0.25">
      <c r="A170" s="343">
        <v>5674</v>
      </c>
      <c r="B170" s="335" t="s">
        <v>101</v>
      </c>
      <c r="C170" s="395">
        <v>223138.66</v>
      </c>
      <c r="D170" s="395"/>
      <c r="E170" s="395"/>
      <c r="F170" s="395"/>
      <c r="G170" s="385">
        <v>272.77623678646933</v>
      </c>
      <c r="H170" s="385">
        <v>84.199999999999989</v>
      </c>
      <c r="I170" s="385">
        <v>60.340565115855647</v>
      </c>
      <c r="J170" s="398"/>
      <c r="K170" s="398">
        <v>3781.64</v>
      </c>
      <c r="L170" s="398"/>
      <c r="M170" s="398">
        <v>12643.3</v>
      </c>
      <c r="N170" s="336">
        <f t="shared" si="4"/>
        <v>239980.91680190235</v>
      </c>
      <c r="O170" s="400"/>
      <c r="P170" s="401"/>
      <c r="Q170" s="401">
        <v>4563.5</v>
      </c>
      <c r="R170" s="402"/>
      <c r="S170" s="402">
        <v>22561.200000000001</v>
      </c>
      <c r="T170" s="337">
        <f t="shared" si="5"/>
        <v>267105.61680190236</v>
      </c>
      <c r="U170" s="403">
        <v>75</v>
      </c>
      <c r="V170" s="406">
        <v>146</v>
      </c>
      <c r="W170" s="409">
        <v>0</v>
      </c>
      <c r="X170" s="410"/>
      <c r="Y170" s="410">
        <v>0</v>
      </c>
      <c r="Z170" s="416">
        <v>0.7</v>
      </c>
      <c r="AA170" s="409"/>
      <c r="AB170" s="409"/>
      <c r="AC170" s="409"/>
      <c r="AD170" s="409"/>
      <c r="AE170" s="409"/>
      <c r="AF170" s="409"/>
    </row>
    <row r="171" spans="1:32" x14ac:dyDescent="0.25">
      <c r="A171" s="343">
        <v>5675</v>
      </c>
      <c r="B171" s="335" t="s">
        <v>102</v>
      </c>
      <c r="C171" s="395">
        <v>4703913.79</v>
      </c>
      <c r="D171" s="395">
        <v>512000.42</v>
      </c>
      <c r="E171" s="395"/>
      <c r="F171" s="395"/>
      <c r="G171" s="385">
        <v>157738.13904532968</v>
      </c>
      <c r="H171" s="385">
        <v>37478.699999999997</v>
      </c>
      <c r="I171" s="385">
        <v>32997.979064842642</v>
      </c>
      <c r="J171" s="398"/>
      <c r="K171" s="398">
        <v>249906.03</v>
      </c>
      <c r="L171" s="398">
        <v>91788</v>
      </c>
      <c r="M171" s="398">
        <v>646404.30000000005</v>
      </c>
      <c r="N171" s="336">
        <f t="shared" si="4"/>
        <v>6432227.3581101727</v>
      </c>
      <c r="O171" s="400">
        <v>47041.05</v>
      </c>
      <c r="P171" s="401">
        <v>95151</v>
      </c>
      <c r="Q171" s="401">
        <v>381022</v>
      </c>
      <c r="R171" s="402">
        <v>71392.05</v>
      </c>
      <c r="S171" s="402">
        <v>185937.2</v>
      </c>
      <c r="T171" s="337">
        <f t="shared" si="5"/>
        <v>7212770.6581101725</v>
      </c>
      <c r="U171" s="403">
        <v>69</v>
      </c>
      <c r="V171" s="406">
        <v>4199</v>
      </c>
      <c r="W171" s="409">
        <v>-224730.28</v>
      </c>
      <c r="X171" s="410"/>
      <c r="Y171" s="410">
        <v>-255.21</v>
      </c>
      <c r="Z171" s="416">
        <v>1.1000000000000001</v>
      </c>
      <c r="AA171" s="409"/>
      <c r="AB171" s="409"/>
      <c r="AC171" s="409"/>
      <c r="AD171" s="409"/>
      <c r="AE171" s="409"/>
      <c r="AF171" s="409"/>
    </row>
    <row r="172" spans="1:32" x14ac:dyDescent="0.25">
      <c r="A172" s="343">
        <v>5678</v>
      </c>
      <c r="B172" s="335" t="s">
        <v>103</v>
      </c>
      <c r="C172" s="395">
        <v>6742850.0999999996</v>
      </c>
      <c r="D172" s="395">
        <v>686796.29</v>
      </c>
      <c r="E172" s="395"/>
      <c r="F172" s="395">
        <v>34700</v>
      </c>
      <c r="G172" s="385">
        <v>310395.13040169154</v>
      </c>
      <c r="H172" s="385">
        <v>25023.449999999997</v>
      </c>
      <c r="I172" s="385">
        <v>56696.6218087581</v>
      </c>
      <c r="J172" s="398"/>
      <c r="K172" s="398">
        <v>466488.24</v>
      </c>
      <c r="L172" s="398">
        <v>85163.35</v>
      </c>
      <c r="M172" s="398">
        <v>780092.75</v>
      </c>
      <c r="N172" s="336">
        <f t="shared" si="4"/>
        <v>9188205.9322104491</v>
      </c>
      <c r="O172" s="400">
        <v>212792.05</v>
      </c>
      <c r="P172" s="401">
        <v>96300.1</v>
      </c>
      <c r="Q172" s="401">
        <v>318163.75</v>
      </c>
      <c r="R172" s="402">
        <v>49376.74</v>
      </c>
      <c r="S172" s="402">
        <v>288839.34999999998</v>
      </c>
      <c r="T172" s="337">
        <f t="shared" si="5"/>
        <v>10153677.922210449</v>
      </c>
      <c r="U172" s="403">
        <v>75</v>
      </c>
      <c r="V172" s="406">
        <v>6135</v>
      </c>
      <c r="W172" s="409">
        <v>-546494.26</v>
      </c>
      <c r="X172" s="410"/>
      <c r="Y172" s="410">
        <v>-9668.69</v>
      </c>
      <c r="Z172" s="416">
        <v>1</v>
      </c>
      <c r="AA172" s="409"/>
      <c r="AB172" s="409"/>
      <c r="AC172" s="409"/>
      <c r="AD172" s="409"/>
      <c r="AE172" s="409"/>
      <c r="AF172" s="409"/>
    </row>
    <row r="173" spans="1:32" x14ac:dyDescent="0.25">
      <c r="A173" s="343">
        <v>5680</v>
      </c>
      <c r="B173" s="335" t="s">
        <v>104</v>
      </c>
      <c r="C173" s="395">
        <v>423300.81</v>
      </c>
      <c r="D173" s="395">
        <v>32969.96</v>
      </c>
      <c r="E173" s="395"/>
      <c r="F173" s="395"/>
      <c r="G173" s="385">
        <v>1677.7741751527496</v>
      </c>
      <c r="H173" s="385">
        <v>216.59999999999997</v>
      </c>
      <c r="I173" s="385">
        <v>320.21069329041813</v>
      </c>
      <c r="J173" s="398"/>
      <c r="K173" s="398">
        <v>6420.51</v>
      </c>
      <c r="L173" s="398">
        <v>55</v>
      </c>
      <c r="M173" s="398">
        <v>66506.75</v>
      </c>
      <c r="N173" s="336">
        <f t="shared" si="4"/>
        <v>531467.61486844323</v>
      </c>
      <c r="O173" s="400"/>
      <c r="P173" s="401">
        <v>4795.1000000000004</v>
      </c>
      <c r="Q173" s="401">
        <v>30442.5</v>
      </c>
      <c r="R173" s="402">
        <v>5522.84</v>
      </c>
      <c r="S173" s="402">
        <v>22609.3</v>
      </c>
      <c r="T173" s="337">
        <f t="shared" si="5"/>
        <v>594837.35486844322</v>
      </c>
      <c r="U173" s="403">
        <v>78</v>
      </c>
      <c r="V173" s="406">
        <v>299</v>
      </c>
      <c r="W173" s="409">
        <v>-13661.23</v>
      </c>
      <c r="X173" s="410"/>
      <c r="Y173" s="410">
        <v>-2.71</v>
      </c>
      <c r="Z173" s="416">
        <v>1.5</v>
      </c>
      <c r="AA173" s="409"/>
      <c r="AB173" s="409"/>
      <c r="AC173" s="409"/>
      <c r="AD173" s="409"/>
      <c r="AE173" s="409"/>
      <c r="AF173" s="409"/>
    </row>
    <row r="174" spans="1:32" x14ac:dyDescent="0.25">
      <c r="A174" s="343">
        <v>5683</v>
      </c>
      <c r="B174" s="335" t="s">
        <v>105</v>
      </c>
      <c r="C174" s="395">
        <v>245555.68</v>
      </c>
      <c r="D174" s="395">
        <v>27167.72</v>
      </c>
      <c r="E174" s="395"/>
      <c r="F174" s="395"/>
      <c r="G174" s="385">
        <v>-716.29284796573893</v>
      </c>
      <c r="H174" s="385">
        <v>520.1</v>
      </c>
      <c r="I174" s="385">
        <v>0</v>
      </c>
      <c r="J174" s="398"/>
      <c r="K174" s="398">
        <v>3018.02</v>
      </c>
      <c r="L174" s="398">
        <v>-19</v>
      </c>
      <c r="M174" s="398">
        <v>22654</v>
      </c>
      <c r="N174" s="336">
        <f t="shared" si="4"/>
        <v>298180.22715203429</v>
      </c>
      <c r="O174" s="400"/>
      <c r="P174" s="401"/>
      <c r="Q174" s="401">
        <v>7700</v>
      </c>
      <c r="R174" s="402">
        <v>4035.54</v>
      </c>
      <c r="S174" s="402">
        <v>20711.5</v>
      </c>
      <c r="T174" s="337">
        <f t="shared" si="5"/>
        <v>330627.26715203427</v>
      </c>
      <c r="U174" s="403">
        <v>74</v>
      </c>
      <c r="V174" s="406">
        <v>184</v>
      </c>
      <c r="W174" s="409">
        <v>-25473.58</v>
      </c>
      <c r="X174" s="410"/>
      <c r="Y174" s="410">
        <v>0</v>
      </c>
      <c r="Z174" s="416">
        <v>1</v>
      </c>
      <c r="AA174" s="409"/>
      <c r="AB174" s="409"/>
      <c r="AC174" s="409"/>
      <c r="AD174" s="409"/>
      <c r="AE174" s="409"/>
      <c r="AF174" s="409"/>
    </row>
    <row r="175" spans="1:32" x14ac:dyDescent="0.25">
      <c r="A175" s="343">
        <v>5684</v>
      </c>
      <c r="B175" s="335" t="s">
        <v>106</v>
      </c>
      <c r="C175" s="395">
        <v>105382.64</v>
      </c>
      <c r="D175" s="395">
        <v>32702.99</v>
      </c>
      <c r="E175" s="395"/>
      <c r="F175" s="395"/>
      <c r="G175" s="385">
        <v>-187.65167019027487</v>
      </c>
      <c r="H175" s="385">
        <v>671.19999999999993</v>
      </c>
      <c r="I175" s="385">
        <v>81.735355115528208</v>
      </c>
      <c r="J175" s="398"/>
      <c r="K175" s="398">
        <v>288</v>
      </c>
      <c r="L175" s="398"/>
      <c r="M175" s="398">
        <v>6461.9</v>
      </c>
      <c r="N175" s="336">
        <f t="shared" si="4"/>
        <v>145400.81368492526</v>
      </c>
      <c r="O175" s="400"/>
      <c r="P175" s="401"/>
      <c r="Q175" s="401"/>
      <c r="R175" s="402"/>
      <c r="S175" s="402">
        <v>11921.8</v>
      </c>
      <c r="T175" s="337">
        <f t="shared" si="5"/>
        <v>157322.61368492525</v>
      </c>
      <c r="U175" s="403">
        <v>75</v>
      </c>
      <c r="V175" s="406">
        <v>65</v>
      </c>
      <c r="W175" s="409">
        <v>-10.210000000000001</v>
      </c>
      <c r="X175" s="410"/>
      <c r="Y175" s="410">
        <v>-5.67</v>
      </c>
      <c r="Z175" s="416">
        <v>0.8</v>
      </c>
      <c r="AA175" s="409"/>
      <c r="AB175" s="409"/>
      <c r="AC175" s="409"/>
      <c r="AD175" s="409"/>
      <c r="AE175" s="409"/>
      <c r="AF175" s="409"/>
    </row>
    <row r="176" spans="1:32" x14ac:dyDescent="0.25">
      <c r="A176" s="343">
        <v>5688</v>
      </c>
      <c r="B176" s="335" t="s">
        <v>107</v>
      </c>
      <c r="C176" s="395">
        <v>181575.16</v>
      </c>
      <c r="D176" s="395">
        <v>58385</v>
      </c>
      <c r="E176" s="395"/>
      <c r="F176" s="395"/>
      <c r="G176" s="385">
        <v>14931.262201007137</v>
      </c>
      <c r="H176" s="385">
        <v>307.40000000000003</v>
      </c>
      <c r="I176" s="385">
        <v>2575.8282878880191</v>
      </c>
      <c r="J176" s="398"/>
      <c r="K176" s="398">
        <v>3045.88</v>
      </c>
      <c r="L176" s="398">
        <v>105</v>
      </c>
      <c r="M176" s="398">
        <v>23844.5</v>
      </c>
      <c r="N176" s="336">
        <f t="shared" si="4"/>
        <v>284770.03048889514</v>
      </c>
      <c r="O176" s="400"/>
      <c r="P176" s="401"/>
      <c r="Q176" s="401">
        <v>20325.55</v>
      </c>
      <c r="R176" s="402"/>
      <c r="S176" s="402">
        <v>15067.2</v>
      </c>
      <c r="T176" s="337">
        <f t="shared" si="5"/>
        <v>320162.78048889514</v>
      </c>
      <c r="U176" s="403">
        <v>75.599999999999994</v>
      </c>
      <c r="V176" s="406">
        <v>159</v>
      </c>
      <c r="W176" s="409">
        <v>-17.32</v>
      </c>
      <c r="X176" s="410"/>
      <c r="Y176" s="410">
        <v>0</v>
      </c>
      <c r="Z176" s="416">
        <v>1</v>
      </c>
      <c r="AA176" s="409"/>
      <c r="AB176" s="409"/>
      <c r="AC176" s="409"/>
      <c r="AD176" s="409"/>
      <c r="AE176" s="409"/>
      <c r="AF176" s="409"/>
    </row>
    <row r="177" spans="1:32" x14ac:dyDescent="0.25">
      <c r="A177" s="343">
        <v>5690</v>
      </c>
      <c r="B177" s="335" t="s">
        <v>108</v>
      </c>
      <c r="C177" s="395">
        <v>226000.97</v>
      </c>
      <c r="D177" s="395">
        <v>36761.360000000001</v>
      </c>
      <c r="E177" s="395"/>
      <c r="F177" s="395">
        <v>890</v>
      </c>
      <c r="G177" s="385">
        <v>26.944805781391139</v>
      </c>
      <c r="H177" s="385">
        <v>822.7</v>
      </c>
      <c r="I177" s="385">
        <v>143.61753653442008</v>
      </c>
      <c r="J177" s="398"/>
      <c r="K177" s="398">
        <v>1.57</v>
      </c>
      <c r="L177" s="398">
        <v>184.1</v>
      </c>
      <c r="M177" s="398">
        <v>24020.75</v>
      </c>
      <c r="N177" s="336">
        <f t="shared" si="4"/>
        <v>288852.01234231587</v>
      </c>
      <c r="O177" s="400"/>
      <c r="P177" s="401"/>
      <c r="Q177" s="401">
        <v>7412.25</v>
      </c>
      <c r="R177" s="402"/>
      <c r="S177" s="402">
        <v>2814.6</v>
      </c>
      <c r="T177" s="337">
        <f t="shared" si="5"/>
        <v>299078.86234231584</v>
      </c>
      <c r="U177" s="403">
        <v>70</v>
      </c>
      <c r="V177" s="406">
        <v>132</v>
      </c>
      <c r="W177" s="409">
        <v>-167.45</v>
      </c>
      <c r="X177" s="410"/>
      <c r="Y177" s="410">
        <v>0</v>
      </c>
      <c r="Z177" s="416">
        <v>1.2</v>
      </c>
      <c r="AA177" s="409"/>
      <c r="AB177" s="409"/>
      <c r="AC177" s="409"/>
      <c r="AD177" s="409"/>
      <c r="AE177" s="409"/>
      <c r="AF177" s="409"/>
    </row>
    <row r="178" spans="1:32" x14ac:dyDescent="0.25">
      <c r="A178" s="343">
        <v>5692</v>
      </c>
      <c r="B178" s="335" t="s">
        <v>109</v>
      </c>
      <c r="C178" s="395">
        <v>1137432.6100000001</v>
      </c>
      <c r="D178" s="395">
        <v>82377.19</v>
      </c>
      <c r="E178" s="395"/>
      <c r="F178" s="395"/>
      <c r="G178" s="385">
        <v>2417.6594888307513</v>
      </c>
      <c r="H178" s="385">
        <v>914.09999999999991</v>
      </c>
      <c r="I178" s="385">
        <v>563.17544326183565</v>
      </c>
      <c r="J178" s="398"/>
      <c r="K178" s="398">
        <v>19888.599999999999</v>
      </c>
      <c r="L178" s="398">
        <v>427.65</v>
      </c>
      <c r="M178" s="398">
        <v>90054</v>
      </c>
      <c r="N178" s="336">
        <f t="shared" si="4"/>
        <v>1334074.9849320927</v>
      </c>
      <c r="O178" s="400">
        <v>14555.75</v>
      </c>
      <c r="P178" s="401"/>
      <c r="Q178" s="401">
        <v>59910.75</v>
      </c>
      <c r="R178" s="402">
        <v>16710.759999999998</v>
      </c>
      <c r="S178" s="402">
        <v>89092</v>
      </c>
      <c r="T178" s="337">
        <f t="shared" si="5"/>
        <v>1514344.2449320927</v>
      </c>
      <c r="U178" s="403">
        <v>79</v>
      </c>
      <c r="V178" s="406">
        <v>577</v>
      </c>
      <c r="W178" s="409">
        <v>-72399.69</v>
      </c>
      <c r="X178" s="410"/>
      <c r="Y178" s="410">
        <v>-11.03</v>
      </c>
      <c r="Z178" s="416">
        <v>1</v>
      </c>
      <c r="AA178" s="409"/>
      <c r="AB178" s="409"/>
      <c r="AC178" s="409"/>
      <c r="AD178" s="409"/>
      <c r="AE178" s="409"/>
      <c r="AF178" s="409"/>
    </row>
    <row r="179" spans="1:32" x14ac:dyDescent="0.25">
      <c r="A179" s="343">
        <v>5693</v>
      </c>
      <c r="B179" s="335" t="s">
        <v>443</v>
      </c>
      <c r="C179" s="395">
        <v>4086576.9</v>
      </c>
      <c r="D179" s="395">
        <v>438376.17</v>
      </c>
      <c r="E179" s="395"/>
      <c r="F179" s="395"/>
      <c r="G179" s="385">
        <v>54471.981475736764</v>
      </c>
      <c r="H179" s="385">
        <v>2854.8999999999983</v>
      </c>
      <c r="I179" s="385">
        <v>9690.1027802720855</v>
      </c>
      <c r="J179" s="398"/>
      <c r="K179" s="398">
        <v>58959.23</v>
      </c>
      <c r="L179" s="398">
        <v>5044.8</v>
      </c>
      <c r="M179" s="398">
        <v>373325.5</v>
      </c>
      <c r="N179" s="336">
        <f t="shared" si="4"/>
        <v>5029299.5842560101</v>
      </c>
      <c r="O179" s="400">
        <v>38276.35</v>
      </c>
      <c r="P179" s="401">
        <v>7264.5</v>
      </c>
      <c r="Q179" s="401">
        <v>172004.1</v>
      </c>
      <c r="R179" s="402">
        <v>26974.77</v>
      </c>
      <c r="S179" s="402">
        <v>137428.95000000001</v>
      </c>
      <c r="T179" s="337">
        <f t="shared" si="5"/>
        <v>5411248.2542560091</v>
      </c>
      <c r="U179" s="403">
        <v>72</v>
      </c>
      <c r="V179" s="406">
        <v>2685</v>
      </c>
      <c r="W179" s="409">
        <v>-74573.210000000006</v>
      </c>
      <c r="X179" s="410"/>
      <c r="Y179" s="410">
        <v>-33.36</v>
      </c>
      <c r="Z179" s="416">
        <v>1</v>
      </c>
      <c r="AA179" s="409"/>
      <c r="AB179" s="409"/>
      <c r="AC179" s="409"/>
      <c r="AD179" s="409"/>
      <c r="AE179" s="409"/>
      <c r="AF179" s="409"/>
    </row>
    <row r="180" spans="1:32" x14ac:dyDescent="0.25">
      <c r="A180" s="343">
        <v>5701</v>
      </c>
      <c r="B180" s="335" t="s">
        <v>110</v>
      </c>
      <c r="C180" s="395">
        <v>681109.98</v>
      </c>
      <c r="D180" s="395">
        <v>132993.48000000001</v>
      </c>
      <c r="E180" s="395"/>
      <c r="F180" s="395"/>
      <c r="G180" s="385">
        <v>6750.1799457994584</v>
      </c>
      <c r="H180" s="385">
        <v>182.3</v>
      </c>
      <c r="I180" s="385">
        <v>1171.8140158278766</v>
      </c>
      <c r="J180" s="398">
        <v>51008</v>
      </c>
      <c r="K180" s="398">
        <v>7767.55</v>
      </c>
      <c r="L180" s="398">
        <v>317.5</v>
      </c>
      <c r="M180" s="398">
        <v>70169</v>
      </c>
      <c r="N180" s="336">
        <f t="shared" si="4"/>
        <v>951469.8039616273</v>
      </c>
      <c r="O180" s="400"/>
      <c r="P180" s="401">
        <v>9398.2000000000007</v>
      </c>
      <c r="Q180" s="401">
        <v>72568.800000000003</v>
      </c>
      <c r="R180" s="402"/>
      <c r="S180" s="402">
        <v>67704.899999999994</v>
      </c>
      <c r="T180" s="337">
        <f t="shared" si="5"/>
        <v>1101141.7039616273</v>
      </c>
      <c r="U180" s="403">
        <v>70</v>
      </c>
      <c r="V180" s="406">
        <v>235</v>
      </c>
      <c r="W180" s="409">
        <v>-6752.27</v>
      </c>
      <c r="X180" s="410"/>
      <c r="Y180" s="410">
        <v>-126.92</v>
      </c>
      <c r="Z180" s="416">
        <v>1</v>
      </c>
      <c r="AA180" s="409"/>
      <c r="AB180" s="409"/>
      <c r="AC180" s="409"/>
      <c r="AD180" s="409"/>
      <c r="AE180" s="409"/>
      <c r="AF180" s="409"/>
    </row>
    <row r="181" spans="1:32" x14ac:dyDescent="0.25">
      <c r="A181" s="343">
        <v>5702</v>
      </c>
      <c r="B181" s="335" t="s">
        <v>442</v>
      </c>
      <c r="C181" s="395">
        <v>8093375.4000000004</v>
      </c>
      <c r="D181" s="395">
        <v>1842567.56</v>
      </c>
      <c r="E181" s="395"/>
      <c r="F181" s="395"/>
      <c r="G181" s="385">
        <v>-6976.3521899606139</v>
      </c>
      <c r="H181" s="385">
        <v>22345.9</v>
      </c>
      <c r="I181" s="385">
        <v>2597.9522020332147</v>
      </c>
      <c r="J181" s="398">
        <v>439409</v>
      </c>
      <c r="K181" s="398">
        <v>145421.81</v>
      </c>
      <c r="L181" s="398">
        <v>12669.95</v>
      </c>
      <c r="M181" s="398">
        <v>1143463.25</v>
      </c>
      <c r="N181" s="336">
        <f t="shared" si="4"/>
        <v>11694874.470012074</v>
      </c>
      <c r="O181" s="400">
        <v>66724</v>
      </c>
      <c r="P181" s="401">
        <v>331.8</v>
      </c>
      <c r="Q181" s="401">
        <v>853481.65</v>
      </c>
      <c r="R181" s="402">
        <v>5512.05</v>
      </c>
      <c r="S181" s="402">
        <v>455841.45</v>
      </c>
      <c r="T181" s="337">
        <f t="shared" si="5"/>
        <v>13076765.420012075</v>
      </c>
      <c r="U181" s="403">
        <v>64</v>
      </c>
      <c r="V181" s="406">
        <v>2697</v>
      </c>
      <c r="W181" s="409">
        <v>-31383.75</v>
      </c>
      <c r="X181" s="410"/>
      <c r="Y181" s="410">
        <v>-11858.01</v>
      </c>
      <c r="Z181" s="416">
        <v>1.5</v>
      </c>
      <c r="AA181" s="409"/>
      <c r="AB181" s="409"/>
      <c r="AC181" s="409"/>
      <c r="AD181" s="409"/>
      <c r="AE181" s="409"/>
      <c r="AF181" s="409"/>
    </row>
    <row r="182" spans="1:32" x14ac:dyDescent="0.25">
      <c r="A182" s="343">
        <v>5703</v>
      </c>
      <c r="B182" s="335" t="s">
        <v>111</v>
      </c>
      <c r="C182" s="395">
        <v>3359316.39</v>
      </c>
      <c r="D182" s="395">
        <v>375269.98</v>
      </c>
      <c r="E182" s="395"/>
      <c r="F182" s="395"/>
      <c r="G182" s="385">
        <v>-2857.348522483941</v>
      </c>
      <c r="H182" s="385">
        <v>1349.9999999999995</v>
      </c>
      <c r="I182" s="385">
        <v>0</v>
      </c>
      <c r="J182" s="398">
        <v>32655.599999999999</v>
      </c>
      <c r="K182" s="398">
        <v>56313.73</v>
      </c>
      <c r="L182" s="398">
        <v>809.05</v>
      </c>
      <c r="M182" s="398">
        <v>429729.2</v>
      </c>
      <c r="N182" s="336">
        <f t="shared" si="4"/>
        <v>4252586.6014775159</v>
      </c>
      <c r="O182" s="400">
        <v>26060.7</v>
      </c>
      <c r="P182" s="401">
        <v>92760.4</v>
      </c>
      <c r="Q182" s="401">
        <v>163031.54999999999</v>
      </c>
      <c r="R182" s="402">
        <v>480.08</v>
      </c>
      <c r="S182" s="402">
        <v>122432.1</v>
      </c>
      <c r="T182" s="337">
        <f t="shared" si="5"/>
        <v>4657351.431477516</v>
      </c>
      <c r="U182" s="403">
        <v>74</v>
      </c>
      <c r="V182" s="406">
        <v>1347</v>
      </c>
      <c r="W182" s="409">
        <v>-37679.410000000003</v>
      </c>
      <c r="X182" s="410"/>
      <c r="Y182" s="410">
        <v>-360.24</v>
      </c>
      <c r="Z182" s="416">
        <v>1.4</v>
      </c>
      <c r="AA182" s="409"/>
      <c r="AB182" s="409"/>
      <c r="AC182" s="409"/>
      <c r="AD182" s="409"/>
      <c r="AE182" s="409"/>
      <c r="AF182" s="409"/>
    </row>
    <row r="183" spans="1:32" x14ac:dyDescent="0.25">
      <c r="A183" s="343">
        <v>5704</v>
      </c>
      <c r="B183" s="335" t="s">
        <v>221</v>
      </c>
      <c r="C183" s="395">
        <v>5038826.78</v>
      </c>
      <c r="D183" s="395">
        <v>1666193.98</v>
      </c>
      <c r="E183" s="395"/>
      <c r="F183" s="395"/>
      <c r="G183" s="385">
        <v>93066.234153543308</v>
      </c>
      <c r="H183" s="385">
        <v>10600.5</v>
      </c>
      <c r="I183" s="385">
        <v>17523.04125017062</v>
      </c>
      <c r="J183" s="398">
        <v>337456.3</v>
      </c>
      <c r="K183" s="398">
        <v>210135.65</v>
      </c>
      <c r="L183" s="398">
        <v>15474.5</v>
      </c>
      <c r="M183" s="398">
        <v>752069.45</v>
      </c>
      <c r="N183" s="336">
        <f t="shared" si="4"/>
        <v>8141346.435403714</v>
      </c>
      <c r="O183" s="400">
        <v>54589</v>
      </c>
      <c r="P183" s="401">
        <v>275968</v>
      </c>
      <c r="Q183" s="401">
        <v>279123.8</v>
      </c>
      <c r="R183" s="402">
        <v>70451</v>
      </c>
      <c r="S183" s="402">
        <v>649814</v>
      </c>
      <c r="T183" s="337">
        <f t="shared" si="5"/>
        <v>9471292.2354037147</v>
      </c>
      <c r="U183" s="403">
        <v>64</v>
      </c>
      <c r="V183" s="406">
        <v>1952</v>
      </c>
      <c r="W183" s="409">
        <v>-119191.06</v>
      </c>
      <c r="X183" s="410"/>
      <c r="Y183" s="410">
        <v>-6048.49</v>
      </c>
      <c r="Z183" s="416">
        <v>1.5</v>
      </c>
      <c r="AA183" s="409"/>
      <c r="AB183" s="409"/>
      <c r="AC183" s="409"/>
      <c r="AD183" s="409"/>
      <c r="AE183" s="409"/>
      <c r="AF183" s="409"/>
    </row>
    <row r="184" spans="1:32" x14ac:dyDescent="0.25">
      <c r="A184" s="343">
        <v>5705</v>
      </c>
      <c r="B184" s="335" t="s">
        <v>222</v>
      </c>
      <c r="C184" s="395">
        <v>2803585.53</v>
      </c>
      <c r="D184" s="395">
        <v>448770.36</v>
      </c>
      <c r="E184" s="395"/>
      <c r="F184" s="395"/>
      <c r="G184" s="385">
        <v>4249.2367660343252</v>
      </c>
      <c r="H184" s="385">
        <v>1598.75</v>
      </c>
      <c r="I184" s="385">
        <v>988.49948508934278</v>
      </c>
      <c r="J184" s="398">
        <v>28892.25</v>
      </c>
      <c r="K184" s="398">
        <v>-53624.73</v>
      </c>
      <c r="L184" s="398">
        <v>7025.25</v>
      </c>
      <c r="M184" s="398">
        <v>219093.65</v>
      </c>
      <c r="N184" s="336">
        <f t="shared" si="4"/>
        <v>3460578.7962511233</v>
      </c>
      <c r="O184" s="400">
        <v>29452.400000000001</v>
      </c>
      <c r="P184" s="401">
        <v>10503.3</v>
      </c>
      <c r="Q184" s="401">
        <v>187796.2</v>
      </c>
      <c r="R184" s="402"/>
      <c r="S184" s="402">
        <v>135719.29999999999</v>
      </c>
      <c r="T184" s="337">
        <f t="shared" si="5"/>
        <v>3824049.996251123</v>
      </c>
      <c r="U184" s="403">
        <v>70</v>
      </c>
      <c r="V184" s="406">
        <v>867</v>
      </c>
      <c r="W184" s="409">
        <v>-2199.0500000000002</v>
      </c>
      <c r="X184" s="410"/>
      <c r="Y184" s="410">
        <v>-3385.74</v>
      </c>
      <c r="Z184" s="416">
        <v>1</v>
      </c>
      <c r="AA184" s="409"/>
      <c r="AB184" s="409"/>
      <c r="AC184" s="409"/>
      <c r="AD184" s="409"/>
      <c r="AE184" s="409"/>
      <c r="AF184" s="409"/>
    </row>
    <row r="185" spans="1:32" x14ac:dyDescent="0.25">
      <c r="A185" s="343">
        <v>5706</v>
      </c>
      <c r="B185" s="335" t="s">
        <v>223</v>
      </c>
      <c r="C185" s="395">
        <v>3147550.04</v>
      </c>
      <c r="D185" s="395">
        <v>646311.06999999995</v>
      </c>
      <c r="E185" s="395"/>
      <c r="F185" s="395"/>
      <c r="G185" s="385">
        <v>8842.0787800919661</v>
      </c>
      <c r="H185" s="385">
        <v>469.79999999999995</v>
      </c>
      <c r="I185" s="385">
        <v>1574.0096117859885</v>
      </c>
      <c r="J185" s="398">
        <v>4648.2</v>
      </c>
      <c r="K185" s="398">
        <v>45392.639999999999</v>
      </c>
      <c r="L185" s="398">
        <v>3045.8</v>
      </c>
      <c r="M185" s="398">
        <v>384733.45</v>
      </c>
      <c r="N185" s="336">
        <f t="shared" si="4"/>
        <v>4242567.0883918777</v>
      </c>
      <c r="O185" s="400">
        <v>11748.1</v>
      </c>
      <c r="P185" s="401"/>
      <c r="Q185" s="401">
        <v>125385.4</v>
      </c>
      <c r="R185" s="402">
        <v>4438.34</v>
      </c>
      <c r="S185" s="402">
        <v>142766.79999999999</v>
      </c>
      <c r="T185" s="337">
        <f t="shared" si="5"/>
        <v>4526905.7283918774</v>
      </c>
      <c r="U185" s="403">
        <v>58</v>
      </c>
      <c r="V185" s="406">
        <v>1140</v>
      </c>
      <c r="W185" s="409">
        <v>-9397.85</v>
      </c>
      <c r="X185" s="410"/>
      <c r="Y185" s="410">
        <v>-2105.15</v>
      </c>
      <c r="Z185" s="416">
        <v>1.5</v>
      </c>
      <c r="AA185" s="409"/>
      <c r="AB185" s="409"/>
      <c r="AC185" s="409"/>
      <c r="AD185" s="409"/>
      <c r="AE185" s="409"/>
      <c r="AF185" s="409"/>
    </row>
    <row r="186" spans="1:32" x14ac:dyDescent="0.25">
      <c r="A186" s="343">
        <v>5707</v>
      </c>
      <c r="B186" s="335" t="s">
        <v>224</v>
      </c>
      <c r="C186" s="395">
        <v>2953912.08</v>
      </c>
      <c r="D186" s="395">
        <v>610880.14</v>
      </c>
      <c r="E186" s="395"/>
      <c r="F186" s="395"/>
      <c r="G186" s="385">
        <v>167622.99944134083</v>
      </c>
      <c r="H186" s="385">
        <v>20837.849999999999</v>
      </c>
      <c r="I186" s="385">
        <v>31855.997642517941</v>
      </c>
      <c r="J186" s="398">
        <v>77243.149999999994</v>
      </c>
      <c r="K186" s="398">
        <v>45640.66</v>
      </c>
      <c r="L186" s="398">
        <v>58171.199999999997</v>
      </c>
      <c r="M186" s="398">
        <v>696199.6</v>
      </c>
      <c r="N186" s="336">
        <f t="shared" si="4"/>
        <v>4662363.6770838592</v>
      </c>
      <c r="O186" s="400">
        <v>711866.65</v>
      </c>
      <c r="P186" s="401"/>
      <c r="Q186" s="401">
        <v>266950.3</v>
      </c>
      <c r="R186" s="402">
        <v>6532.38</v>
      </c>
      <c r="S186" s="402">
        <v>186449.3</v>
      </c>
      <c r="T186" s="337">
        <f t="shared" si="5"/>
        <v>5834162.3070838591</v>
      </c>
      <c r="U186" s="403">
        <v>59</v>
      </c>
      <c r="V186" s="406">
        <v>1281</v>
      </c>
      <c r="W186" s="409">
        <v>-12271.63</v>
      </c>
      <c r="X186" s="410"/>
      <c r="Y186" s="410">
        <v>-869.31</v>
      </c>
      <c r="Z186" s="416">
        <v>1.5</v>
      </c>
      <c r="AA186" s="409"/>
      <c r="AB186" s="409"/>
      <c r="AC186" s="409"/>
      <c r="AD186" s="409"/>
      <c r="AE186" s="409"/>
      <c r="AF186" s="409"/>
    </row>
    <row r="187" spans="1:32" x14ac:dyDescent="0.25">
      <c r="A187" s="343">
        <v>5708</v>
      </c>
      <c r="B187" s="335" t="s">
        <v>225</v>
      </c>
      <c r="C187" s="395">
        <v>2734890.04</v>
      </c>
      <c r="D187" s="395">
        <v>306865.74</v>
      </c>
      <c r="E187" s="395"/>
      <c r="F187" s="395"/>
      <c r="G187" s="385">
        <v>7322.7731451411428</v>
      </c>
      <c r="H187" s="385">
        <v>11656.900000000003</v>
      </c>
      <c r="I187" s="385">
        <v>3208.1805041187963</v>
      </c>
      <c r="J187" s="398">
        <v>86758.2</v>
      </c>
      <c r="K187" s="398">
        <v>175055.86</v>
      </c>
      <c r="L187" s="398">
        <v>14284.65</v>
      </c>
      <c r="M187" s="398">
        <v>395077.15</v>
      </c>
      <c r="N187" s="336">
        <f t="shared" si="4"/>
        <v>3735119.4936492601</v>
      </c>
      <c r="O187" s="400">
        <v>1605.75</v>
      </c>
      <c r="P187" s="401"/>
      <c r="Q187" s="401">
        <v>226630.85</v>
      </c>
      <c r="R187" s="402"/>
      <c r="S187" s="402">
        <v>115434.65</v>
      </c>
      <c r="T187" s="337">
        <f t="shared" si="5"/>
        <v>4078790.7436492601</v>
      </c>
      <c r="U187" s="403">
        <v>63</v>
      </c>
      <c r="V187" s="406">
        <v>964</v>
      </c>
      <c r="W187" s="409">
        <v>-8448.23</v>
      </c>
      <c r="X187" s="410"/>
      <c r="Y187" s="410">
        <v>-1209.3800000000001</v>
      </c>
      <c r="Z187" s="416">
        <v>1.5</v>
      </c>
      <c r="AA187" s="409"/>
      <c r="AB187" s="409"/>
      <c r="AC187" s="409"/>
      <c r="AD187" s="409"/>
      <c r="AE187" s="409"/>
      <c r="AF187" s="409"/>
    </row>
    <row r="188" spans="1:32" x14ac:dyDescent="0.25">
      <c r="A188" s="343">
        <v>5709</v>
      </c>
      <c r="B188" s="335" t="s">
        <v>226</v>
      </c>
      <c r="C188" s="395">
        <v>4221803.46</v>
      </c>
      <c r="D188" s="395">
        <v>725475.28</v>
      </c>
      <c r="E188" s="395"/>
      <c r="F188" s="395"/>
      <c r="G188" s="385">
        <v>148066.84191419143</v>
      </c>
      <c r="H188" s="385">
        <v>13790.7</v>
      </c>
      <c r="I188" s="385">
        <v>27359.175600272876</v>
      </c>
      <c r="J188" s="398">
        <v>505157.95</v>
      </c>
      <c r="K188" s="398">
        <v>110333.97</v>
      </c>
      <c r="L188" s="398">
        <v>3009.2</v>
      </c>
      <c r="M188" s="398">
        <v>340100.1</v>
      </c>
      <c r="N188" s="336">
        <f t="shared" si="4"/>
        <v>6095096.6775144646</v>
      </c>
      <c r="O188" s="400">
        <v>51557.85</v>
      </c>
      <c r="P188" s="401"/>
      <c r="Q188" s="401">
        <v>115247</v>
      </c>
      <c r="R188" s="402">
        <v>49327.51</v>
      </c>
      <c r="S188" s="402">
        <v>238286.9</v>
      </c>
      <c r="T188" s="337">
        <f t="shared" si="5"/>
        <v>6549515.9375144644</v>
      </c>
      <c r="U188" s="403">
        <v>57</v>
      </c>
      <c r="V188" s="406">
        <v>1227</v>
      </c>
      <c r="W188" s="409">
        <v>-94721.98</v>
      </c>
      <c r="X188" s="410"/>
      <c r="Y188" s="410">
        <v>-1095.52</v>
      </c>
      <c r="Z188" s="416">
        <v>1</v>
      </c>
      <c r="AA188" s="409"/>
      <c r="AB188" s="409"/>
      <c r="AC188" s="409"/>
      <c r="AD188" s="409"/>
      <c r="AE188" s="409"/>
      <c r="AF188" s="409"/>
    </row>
    <row r="189" spans="1:32" x14ac:dyDescent="0.25">
      <c r="A189" s="343">
        <v>5710</v>
      </c>
      <c r="B189" s="335" t="s">
        <v>227</v>
      </c>
      <c r="C189" s="395">
        <v>2223869.9500000002</v>
      </c>
      <c r="D189" s="395">
        <v>285726.65999999997</v>
      </c>
      <c r="E189" s="395"/>
      <c r="F189" s="395"/>
      <c r="G189" s="385">
        <v>1298681.0147887324</v>
      </c>
      <c r="H189" s="385">
        <v>2242766.6</v>
      </c>
      <c r="I189" s="385">
        <v>598619.5392954821</v>
      </c>
      <c r="J189" s="398">
        <v>110957.8</v>
      </c>
      <c r="K189" s="398">
        <v>50415.31</v>
      </c>
      <c r="L189" s="398">
        <v>8857.0499999999993</v>
      </c>
      <c r="M189" s="398">
        <v>127659.6</v>
      </c>
      <c r="N189" s="336">
        <f t="shared" si="4"/>
        <v>6947553.5240842141</v>
      </c>
      <c r="O189" s="400">
        <v>87982.2</v>
      </c>
      <c r="P189" s="401">
        <v>53318.400000000001</v>
      </c>
      <c r="Q189" s="401">
        <v>14684.75</v>
      </c>
      <c r="R189" s="402">
        <v>2685.93</v>
      </c>
      <c r="S189" s="402"/>
      <c r="T189" s="337">
        <f t="shared" si="5"/>
        <v>7106224.8040842144</v>
      </c>
      <c r="U189" s="403">
        <v>51</v>
      </c>
      <c r="V189" s="406">
        <v>499</v>
      </c>
      <c r="W189" s="409">
        <v>-6577.4</v>
      </c>
      <c r="X189" s="410"/>
      <c r="Y189" s="410">
        <v>-2026.88</v>
      </c>
      <c r="Z189" s="416">
        <v>1</v>
      </c>
      <c r="AA189" s="409"/>
      <c r="AB189" s="409"/>
      <c r="AC189" s="409"/>
      <c r="AD189" s="409"/>
      <c r="AE189" s="409"/>
      <c r="AF189" s="409"/>
    </row>
    <row r="190" spans="1:32" x14ac:dyDescent="0.25">
      <c r="A190" s="343">
        <v>5711</v>
      </c>
      <c r="B190" s="335" t="s">
        <v>228</v>
      </c>
      <c r="C190" s="395">
        <v>11949125.949999999</v>
      </c>
      <c r="D190" s="395">
        <v>2551790.9900000002</v>
      </c>
      <c r="E190" s="395"/>
      <c r="F190" s="395"/>
      <c r="G190" s="385">
        <v>25427.392904290431</v>
      </c>
      <c r="H190" s="385">
        <v>32628.749999999985</v>
      </c>
      <c r="I190" s="385">
        <v>9813.3716205519104</v>
      </c>
      <c r="J190" s="398">
        <v>221369.65</v>
      </c>
      <c r="K190" s="398">
        <v>211220.59</v>
      </c>
      <c r="L190" s="398">
        <v>16027.15</v>
      </c>
      <c r="M190" s="398">
        <v>1131460.95</v>
      </c>
      <c r="N190" s="336">
        <f t="shared" si="4"/>
        <v>16148864.794524843</v>
      </c>
      <c r="O190" s="400">
        <v>38875.550000000003</v>
      </c>
      <c r="P190" s="401">
        <v>247013.4</v>
      </c>
      <c r="Q190" s="401">
        <v>571311.75</v>
      </c>
      <c r="R190" s="402">
        <v>-7742.29</v>
      </c>
      <c r="S190" s="402">
        <v>498530.35</v>
      </c>
      <c r="T190" s="337">
        <f t="shared" si="5"/>
        <v>17496853.554524846</v>
      </c>
      <c r="U190" s="403">
        <v>57</v>
      </c>
      <c r="V190" s="406">
        <v>2877</v>
      </c>
      <c r="W190" s="409">
        <v>-44573.37</v>
      </c>
      <c r="X190" s="410"/>
      <c r="Y190" s="410">
        <v>-6033.73</v>
      </c>
      <c r="Z190" s="416">
        <v>1.3</v>
      </c>
      <c r="AA190" s="409"/>
      <c r="AB190" s="409"/>
      <c r="AC190" s="409"/>
      <c r="AD190" s="409"/>
      <c r="AE190" s="409"/>
      <c r="AF190" s="409"/>
    </row>
    <row r="191" spans="1:32" x14ac:dyDescent="0.25">
      <c r="A191" s="343">
        <v>5712</v>
      </c>
      <c r="B191" s="335" t="s">
        <v>229</v>
      </c>
      <c r="C191" s="395">
        <v>11987505.33</v>
      </c>
      <c r="D191" s="395">
        <v>3465158.4</v>
      </c>
      <c r="E191" s="395"/>
      <c r="F191" s="395"/>
      <c r="G191" s="385">
        <v>78014.817792859263</v>
      </c>
      <c r="H191" s="385">
        <v>76107.20000000007</v>
      </c>
      <c r="I191" s="385">
        <v>26051.621066250169</v>
      </c>
      <c r="J191" s="398">
        <v>1104233.68</v>
      </c>
      <c r="K191" s="398">
        <v>89537.61</v>
      </c>
      <c r="L191" s="398">
        <v>32342.7</v>
      </c>
      <c r="M191" s="398">
        <v>1696199.7</v>
      </c>
      <c r="N191" s="336">
        <f t="shared" si="4"/>
        <v>18555151.058859106</v>
      </c>
      <c r="O191" s="400">
        <v>185740.55</v>
      </c>
      <c r="P191" s="401">
        <v>2468250</v>
      </c>
      <c r="Q191" s="401">
        <v>858477.1</v>
      </c>
      <c r="R191" s="402">
        <v>5805.66</v>
      </c>
      <c r="S191" s="402">
        <v>493091.6</v>
      </c>
      <c r="T191" s="337">
        <f t="shared" si="5"/>
        <v>22566515.96885911</v>
      </c>
      <c r="U191" s="403">
        <v>53</v>
      </c>
      <c r="V191" s="406">
        <v>3126</v>
      </c>
      <c r="W191" s="409">
        <v>-83484.960000000006</v>
      </c>
      <c r="X191" s="410"/>
      <c r="Y191" s="410">
        <v>-22733.16</v>
      </c>
      <c r="Z191" s="416">
        <v>1.5</v>
      </c>
      <c r="AA191" s="409"/>
      <c r="AB191" s="409"/>
      <c r="AC191" s="409"/>
      <c r="AD191" s="409"/>
      <c r="AE191" s="409"/>
      <c r="AF191" s="409"/>
    </row>
    <row r="192" spans="1:32" x14ac:dyDescent="0.25">
      <c r="A192" s="343">
        <v>5713</v>
      </c>
      <c r="B192" s="335" t="s">
        <v>230</v>
      </c>
      <c r="C192" s="395">
        <v>8428804.1099999994</v>
      </c>
      <c r="D192" s="395">
        <v>3886284.26</v>
      </c>
      <c r="E192" s="395"/>
      <c r="F192" s="395"/>
      <c r="G192" s="385">
        <v>7789.6683682502235</v>
      </c>
      <c r="H192" s="385">
        <v>12649.549999999996</v>
      </c>
      <c r="I192" s="385">
        <v>3454.8909977005565</v>
      </c>
      <c r="J192" s="398">
        <v>1066433.3899999999</v>
      </c>
      <c r="K192" s="398">
        <v>388834.04</v>
      </c>
      <c r="L192" s="398">
        <v>6205.5</v>
      </c>
      <c r="M192" s="398">
        <v>804128.25</v>
      </c>
      <c r="N192" s="336">
        <f t="shared" si="4"/>
        <v>14604583.65936595</v>
      </c>
      <c r="O192" s="400">
        <v>36107.35</v>
      </c>
      <c r="P192" s="401"/>
      <c r="Q192" s="401">
        <v>621777.19999999995</v>
      </c>
      <c r="R192" s="402">
        <v>10767.32</v>
      </c>
      <c r="S192" s="402">
        <v>730021.3</v>
      </c>
      <c r="T192" s="337">
        <f t="shared" si="5"/>
        <v>16003256.82936595</v>
      </c>
      <c r="U192" s="403">
        <v>53</v>
      </c>
      <c r="V192" s="406">
        <v>2193</v>
      </c>
      <c r="W192" s="409">
        <v>-132729.20000000001</v>
      </c>
      <c r="X192" s="410"/>
      <c r="Y192" s="410">
        <v>-5206.8500000000004</v>
      </c>
      <c r="Z192" s="416">
        <v>1</v>
      </c>
      <c r="AA192" s="409"/>
      <c r="AB192" s="409"/>
      <c r="AC192" s="409"/>
      <c r="AD192" s="409"/>
      <c r="AE192" s="409"/>
      <c r="AF192" s="409"/>
    </row>
    <row r="193" spans="1:32" x14ac:dyDescent="0.25">
      <c r="A193" s="343">
        <v>5714</v>
      </c>
      <c r="B193" s="335" t="s">
        <v>231</v>
      </c>
      <c r="C193" s="395">
        <v>3665495.58</v>
      </c>
      <c r="D193" s="395">
        <v>490370.28</v>
      </c>
      <c r="E193" s="395"/>
      <c r="F193" s="395"/>
      <c r="G193" s="385">
        <v>156217.73562992128</v>
      </c>
      <c r="H193" s="385">
        <v>-472.6999999999997</v>
      </c>
      <c r="I193" s="385">
        <v>26325.963735003243</v>
      </c>
      <c r="J193" s="398">
        <v>106396.26</v>
      </c>
      <c r="K193" s="398">
        <v>34035.050000000003</v>
      </c>
      <c r="L193" s="398">
        <v>5525.5</v>
      </c>
      <c r="M193" s="398">
        <v>271993.3</v>
      </c>
      <c r="N193" s="336">
        <f t="shared" si="4"/>
        <v>4755886.9693649234</v>
      </c>
      <c r="O193" s="400">
        <v>86331.8</v>
      </c>
      <c r="P193" s="401"/>
      <c r="Q193" s="401">
        <v>151786.45000000001</v>
      </c>
      <c r="R193" s="402">
        <v>14308.46</v>
      </c>
      <c r="S193" s="402">
        <v>123400.25</v>
      </c>
      <c r="T193" s="337">
        <f t="shared" si="5"/>
        <v>5131713.9293649234</v>
      </c>
      <c r="U193" s="403">
        <v>64</v>
      </c>
      <c r="V193" s="406">
        <v>1175</v>
      </c>
      <c r="W193" s="409">
        <v>-2896.78</v>
      </c>
      <c r="X193" s="410"/>
      <c r="Y193" s="410">
        <v>-1593.2</v>
      </c>
      <c r="Z193" s="416">
        <v>1</v>
      </c>
      <c r="AA193" s="409"/>
      <c r="AB193" s="409"/>
      <c r="AC193" s="409"/>
      <c r="AD193" s="409"/>
      <c r="AE193" s="409"/>
      <c r="AF193" s="409"/>
    </row>
    <row r="194" spans="1:32" x14ac:dyDescent="0.25">
      <c r="A194" s="343">
        <v>5715</v>
      </c>
      <c r="B194" s="335" t="s">
        <v>232</v>
      </c>
      <c r="C194" s="395">
        <v>4121384.33</v>
      </c>
      <c r="D194" s="395">
        <v>649190.18999999994</v>
      </c>
      <c r="E194" s="395"/>
      <c r="F194" s="395"/>
      <c r="G194" s="385">
        <v>-2884.248017200186</v>
      </c>
      <c r="H194" s="385">
        <v>6818.5999999999985</v>
      </c>
      <c r="I194" s="385">
        <v>665.03312417636596</v>
      </c>
      <c r="J194" s="398">
        <v>32824.75</v>
      </c>
      <c r="K194" s="398">
        <v>106227.66</v>
      </c>
      <c r="L194" s="398">
        <v>2815.5</v>
      </c>
      <c r="M194" s="398">
        <v>256360.15</v>
      </c>
      <c r="N194" s="336">
        <f t="shared" si="4"/>
        <v>5173401.9651069762</v>
      </c>
      <c r="O194" s="400">
        <v>68196.2</v>
      </c>
      <c r="P194" s="401"/>
      <c r="Q194" s="401">
        <v>336462.75</v>
      </c>
      <c r="R194" s="402">
        <v>3941.24</v>
      </c>
      <c r="S194" s="402">
        <v>214314.8</v>
      </c>
      <c r="T194" s="337">
        <f t="shared" si="5"/>
        <v>5796316.9551069764</v>
      </c>
      <c r="U194" s="403">
        <v>66</v>
      </c>
      <c r="V194" s="406">
        <v>1085</v>
      </c>
      <c r="W194" s="409">
        <v>-58013.81</v>
      </c>
      <c r="X194" s="410"/>
      <c r="Y194" s="410">
        <v>-594.6</v>
      </c>
      <c r="Z194" s="416">
        <v>1</v>
      </c>
      <c r="AA194" s="409"/>
      <c r="AB194" s="409"/>
      <c r="AC194" s="409"/>
      <c r="AD194" s="409"/>
      <c r="AE194" s="409"/>
      <c r="AF194" s="409"/>
    </row>
    <row r="195" spans="1:32" x14ac:dyDescent="0.25">
      <c r="A195" s="343">
        <v>5716</v>
      </c>
      <c r="B195" s="335" t="s">
        <v>233</v>
      </c>
      <c r="C195" s="395">
        <v>3831984.82</v>
      </c>
      <c r="D195" s="395">
        <v>473604.92</v>
      </c>
      <c r="E195" s="395"/>
      <c r="F195" s="395"/>
      <c r="G195" s="385">
        <v>4551725.8106544698</v>
      </c>
      <c r="H195" s="385">
        <v>325460.30000000016</v>
      </c>
      <c r="I195" s="385">
        <v>824402.67940896016</v>
      </c>
      <c r="J195" s="398">
        <v>25107.85</v>
      </c>
      <c r="K195" s="398">
        <v>110611.58</v>
      </c>
      <c r="L195" s="398">
        <v>197869.5</v>
      </c>
      <c r="M195" s="398">
        <v>605535.44999999995</v>
      </c>
      <c r="N195" s="336">
        <f t="shared" si="4"/>
        <v>10946302.910063431</v>
      </c>
      <c r="O195" s="400">
        <v>679442.25</v>
      </c>
      <c r="P195" s="401">
        <v>16079.1</v>
      </c>
      <c r="Q195" s="401">
        <v>436710.45</v>
      </c>
      <c r="R195" s="402"/>
      <c r="S195" s="402">
        <v>31218.5</v>
      </c>
      <c r="T195" s="337">
        <f t="shared" si="5"/>
        <v>12109753.21006343</v>
      </c>
      <c r="U195" s="403">
        <v>61</v>
      </c>
      <c r="V195" s="406">
        <v>1618</v>
      </c>
      <c r="W195" s="409">
        <v>-88294.3</v>
      </c>
      <c r="X195" s="410"/>
      <c r="Y195" s="410">
        <v>-1114.95</v>
      </c>
      <c r="Z195" s="416">
        <v>1</v>
      </c>
      <c r="AA195" s="409"/>
      <c r="AB195" s="409"/>
      <c r="AC195" s="409"/>
      <c r="AD195" s="409"/>
      <c r="AE195" s="409"/>
      <c r="AF195" s="409"/>
    </row>
    <row r="196" spans="1:32" x14ac:dyDescent="0.25">
      <c r="A196" s="343">
        <v>5717</v>
      </c>
      <c r="B196" s="335" t="s">
        <v>234</v>
      </c>
      <c r="C196" s="395">
        <v>14418866.91</v>
      </c>
      <c r="D196" s="395">
        <v>4072092.7</v>
      </c>
      <c r="E196" s="395"/>
      <c r="F196" s="395"/>
      <c r="G196" s="385">
        <v>211437.72920792078</v>
      </c>
      <c r="H196" s="385">
        <v>51652.55</v>
      </c>
      <c r="I196" s="385">
        <v>44470.792416891505</v>
      </c>
      <c r="J196" s="398">
        <v>913524.5</v>
      </c>
      <c r="K196" s="398">
        <v>433261.74</v>
      </c>
      <c r="L196" s="398">
        <v>47633.5</v>
      </c>
      <c r="M196" s="398">
        <v>1257401.45</v>
      </c>
      <c r="N196" s="336">
        <f t="shared" si="4"/>
        <v>21450341.871624812</v>
      </c>
      <c r="O196" s="400">
        <v>249276.3</v>
      </c>
      <c r="P196" s="401">
        <v>5114.3999999999996</v>
      </c>
      <c r="Q196" s="401">
        <v>734333.6</v>
      </c>
      <c r="R196" s="402">
        <v>1272.4000000000001</v>
      </c>
      <c r="S196" s="402">
        <v>330130.15000000002</v>
      </c>
      <c r="T196" s="337">
        <f t="shared" si="5"/>
        <v>22770468.72162481</v>
      </c>
      <c r="U196" s="403">
        <v>57</v>
      </c>
      <c r="V196" s="406">
        <v>3790</v>
      </c>
      <c r="W196" s="409">
        <v>-137980.42000000001</v>
      </c>
      <c r="X196" s="410">
        <v>-18432</v>
      </c>
      <c r="Y196" s="410">
        <v>-49792.18</v>
      </c>
      <c r="Z196" s="416">
        <v>1</v>
      </c>
      <c r="AA196" s="409"/>
      <c r="AB196" s="409"/>
      <c r="AC196" s="409"/>
      <c r="AD196" s="409"/>
      <c r="AE196" s="409"/>
      <c r="AF196" s="409"/>
    </row>
    <row r="197" spans="1:32" x14ac:dyDescent="0.25">
      <c r="A197" s="343">
        <v>5718</v>
      </c>
      <c r="B197" s="335" t="s">
        <v>235</v>
      </c>
      <c r="C197" s="395">
        <v>6837075.1500000004</v>
      </c>
      <c r="D197" s="395">
        <v>1567912.12</v>
      </c>
      <c r="E197" s="395"/>
      <c r="F197" s="395"/>
      <c r="G197" s="385">
        <v>-730.59372331337443</v>
      </c>
      <c r="H197" s="385">
        <v>8937.7500000000055</v>
      </c>
      <c r="I197" s="385">
        <v>1387.2756690682438</v>
      </c>
      <c r="J197" s="398">
        <v>99698.29</v>
      </c>
      <c r="K197" s="398">
        <v>220212.97</v>
      </c>
      <c r="L197" s="398">
        <v>44288.6</v>
      </c>
      <c r="M197" s="398">
        <v>647274.80000000005</v>
      </c>
      <c r="N197" s="336">
        <f t="shared" si="4"/>
        <v>9426056.3619457539</v>
      </c>
      <c r="O197" s="400">
        <v>325758.59999999998</v>
      </c>
      <c r="P197" s="401">
        <v>714881.3</v>
      </c>
      <c r="Q197" s="401">
        <v>353965.8</v>
      </c>
      <c r="R197" s="402">
        <v>27852.79</v>
      </c>
      <c r="S197" s="402">
        <v>221900.85</v>
      </c>
      <c r="T197" s="337">
        <f t="shared" si="5"/>
        <v>11070415.701945754</v>
      </c>
      <c r="U197" s="403">
        <v>55</v>
      </c>
      <c r="V197" s="406">
        <v>1961</v>
      </c>
      <c r="W197" s="409">
        <v>-64682.38</v>
      </c>
      <c r="X197" s="410"/>
      <c r="Y197" s="410">
        <v>-2573.77</v>
      </c>
      <c r="Z197" s="416">
        <v>1</v>
      </c>
      <c r="AA197" s="409"/>
      <c r="AB197" s="409"/>
      <c r="AC197" s="409"/>
      <c r="AD197" s="409"/>
      <c r="AE197" s="409"/>
      <c r="AF197" s="409"/>
    </row>
    <row r="198" spans="1:32" x14ac:dyDescent="0.25">
      <c r="A198" s="343">
        <v>5719</v>
      </c>
      <c r="B198" s="335" t="s">
        <v>236</v>
      </c>
      <c r="C198" s="395">
        <v>4052934.66</v>
      </c>
      <c r="D198" s="395">
        <v>2069321</v>
      </c>
      <c r="E198" s="395"/>
      <c r="F198" s="395"/>
      <c r="G198" s="385">
        <v>46436.896039603969</v>
      </c>
      <c r="H198" s="385">
        <v>3012.3999999999996</v>
      </c>
      <c r="I198" s="385">
        <v>8358.5352752646941</v>
      </c>
      <c r="J198" s="398">
        <v>-334493.95</v>
      </c>
      <c r="K198" s="398">
        <v>48542.879999999997</v>
      </c>
      <c r="L198" s="398">
        <v>9138.35</v>
      </c>
      <c r="M198" s="398">
        <v>232841.4</v>
      </c>
      <c r="N198" s="336">
        <f t="shared" si="4"/>
        <v>6136092.1713148691</v>
      </c>
      <c r="O198" s="400">
        <v>59727.15</v>
      </c>
      <c r="P198" s="401">
        <v>159463.1</v>
      </c>
      <c r="Q198" s="401">
        <v>527321.5</v>
      </c>
      <c r="R198" s="402">
        <v>26669.83</v>
      </c>
      <c r="S198" s="402">
        <v>191782</v>
      </c>
      <c r="T198" s="337">
        <f t="shared" si="5"/>
        <v>7101055.7513148692</v>
      </c>
      <c r="U198" s="403">
        <v>57</v>
      </c>
      <c r="V198" s="406">
        <v>1226</v>
      </c>
      <c r="W198" s="409">
        <v>-17242.27</v>
      </c>
      <c r="X198" s="410"/>
      <c r="Y198" s="410">
        <v>-1925.1</v>
      </c>
      <c r="Z198" s="416">
        <v>0.6</v>
      </c>
      <c r="AA198" s="409"/>
      <c r="AB198" s="409"/>
      <c r="AC198" s="409"/>
      <c r="AD198" s="409"/>
      <c r="AE198" s="409"/>
      <c r="AF198" s="409"/>
    </row>
    <row r="199" spans="1:32" x14ac:dyDescent="0.25">
      <c r="A199" s="343">
        <v>5720</v>
      </c>
      <c r="B199" s="335" t="s">
        <v>237</v>
      </c>
      <c r="C199" s="395">
        <v>2954619.79</v>
      </c>
      <c r="D199" s="395">
        <v>852364.55</v>
      </c>
      <c r="E199" s="395"/>
      <c r="F199" s="395"/>
      <c r="G199" s="385">
        <v>22143.833093948677</v>
      </c>
      <c r="H199" s="385">
        <v>11002.449999999997</v>
      </c>
      <c r="I199" s="385">
        <v>5602.7971816380714</v>
      </c>
      <c r="J199" s="398">
        <v>362718.47</v>
      </c>
      <c r="K199" s="398">
        <v>32265.08</v>
      </c>
      <c r="L199" s="398"/>
      <c r="M199" s="398">
        <v>261671.8</v>
      </c>
      <c r="N199" s="336">
        <f t="shared" ref="N199:N262" si="6">SUM(C199:M199)</f>
        <v>4502388.7702755863</v>
      </c>
      <c r="O199" s="400">
        <v>9158.4500000000007</v>
      </c>
      <c r="P199" s="401"/>
      <c r="Q199" s="401">
        <v>256919.55</v>
      </c>
      <c r="R199" s="402">
        <v>1129.56</v>
      </c>
      <c r="S199" s="402">
        <v>63426.55</v>
      </c>
      <c r="T199" s="337">
        <f t="shared" ref="T199:T262" si="7">SUM(N199:S199)</f>
        <v>4833022.8802755857</v>
      </c>
      <c r="U199" s="403">
        <v>67</v>
      </c>
      <c r="V199" s="406">
        <v>1033</v>
      </c>
      <c r="W199" s="409">
        <v>-42411.87</v>
      </c>
      <c r="X199" s="410"/>
      <c r="Y199" s="410">
        <v>-2502.3200000000002</v>
      </c>
      <c r="Z199" s="416">
        <v>0.9</v>
      </c>
      <c r="AA199" s="409"/>
      <c r="AB199" s="409"/>
      <c r="AC199" s="409"/>
      <c r="AD199" s="409"/>
      <c r="AE199" s="409"/>
      <c r="AF199" s="409"/>
    </row>
    <row r="200" spans="1:32" x14ac:dyDescent="0.25">
      <c r="A200" s="343">
        <v>5721</v>
      </c>
      <c r="B200" s="335" t="s">
        <v>238</v>
      </c>
      <c r="C200" s="395">
        <v>25476459.789999999</v>
      </c>
      <c r="D200" s="395">
        <v>7080656.1799999997</v>
      </c>
      <c r="E200" s="395"/>
      <c r="F200" s="395"/>
      <c r="G200" s="385">
        <v>1535397.0423231805</v>
      </c>
      <c r="H200" s="385">
        <v>583872.09999999963</v>
      </c>
      <c r="I200" s="385">
        <v>358225.23883254302</v>
      </c>
      <c r="J200" s="398">
        <v>833670.55</v>
      </c>
      <c r="K200" s="398">
        <v>1044042.29</v>
      </c>
      <c r="L200" s="398">
        <v>474228.4</v>
      </c>
      <c r="M200" s="398">
        <v>2749543.9</v>
      </c>
      <c r="N200" s="336">
        <f t="shared" si="6"/>
        <v>40136095.491155714</v>
      </c>
      <c r="O200" s="400">
        <v>1948987.2</v>
      </c>
      <c r="P200" s="401">
        <v>78513.899999999994</v>
      </c>
      <c r="Q200" s="401">
        <v>1969702.8</v>
      </c>
      <c r="R200" s="402">
        <v>155502.67000000001</v>
      </c>
      <c r="S200" s="402">
        <v>952805.75</v>
      </c>
      <c r="T200" s="337">
        <f t="shared" si="7"/>
        <v>45241607.811155714</v>
      </c>
      <c r="U200" s="403">
        <v>62.5</v>
      </c>
      <c r="V200" s="406">
        <v>13101</v>
      </c>
      <c r="W200" s="409">
        <v>-497857.2</v>
      </c>
      <c r="X200" s="410"/>
      <c r="Y200" s="410">
        <v>-36214.92</v>
      </c>
      <c r="Z200" s="416">
        <v>1</v>
      </c>
      <c r="AA200" s="409"/>
      <c r="AB200" s="409"/>
      <c r="AC200" s="409"/>
      <c r="AD200" s="409"/>
      <c r="AE200" s="409"/>
      <c r="AF200" s="409"/>
    </row>
    <row r="201" spans="1:32" x14ac:dyDescent="0.25">
      <c r="A201" s="343">
        <v>5722</v>
      </c>
      <c r="B201" s="335" t="s">
        <v>239</v>
      </c>
      <c r="C201" s="395">
        <v>1083746.43</v>
      </c>
      <c r="D201" s="395">
        <v>161145.69</v>
      </c>
      <c r="E201" s="395"/>
      <c r="F201" s="395"/>
      <c r="G201" s="385">
        <v>9521.3010147133409</v>
      </c>
      <c r="H201" s="385">
        <v>2687.3</v>
      </c>
      <c r="I201" s="385">
        <v>2063.6496455153797</v>
      </c>
      <c r="J201" s="398"/>
      <c r="K201" s="398">
        <v>19748.900000000001</v>
      </c>
      <c r="L201" s="398">
        <v>5655.6</v>
      </c>
      <c r="M201" s="398">
        <v>83898.1</v>
      </c>
      <c r="N201" s="336">
        <f t="shared" si="6"/>
        <v>1368466.9706602287</v>
      </c>
      <c r="O201" s="400">
        <v>21808.65</v>
      </c>
      <c r="P201" s="401"/>
      <c r="Q201" s="401">
        <v>17710</v>
      </c>
      <c r="R201" s="402">
        <v>226.44</v>
      </c>
      <c r="S201" s="402"/>
      <c r="T201" s="337">
        <f t="shared" si="7"/>
        <v>1408212.0606602286</v>
      </c>
      <c r="U201" s="403">
        <v>62</v>
      </c>
      <c r="V201" s="406">
        <v>391</v>
      </c>
      <c r="W201" s="409">
        <v>-487.43</v>
      </c>
      <c r="X201" s="410"/>
      <c r="Y201" s="410">
        <v>-369.17</v>
      </c>
      <c r="Z201" s="416">
        <v>1</v>
      </c>
      <c r="AA201" s="409"/>
      <c r="AB201" s="409"/>
      <c r="AC201" s="409"/>
      <c r="AD201" s="409"/>
      <c r="AE201" s="409"/>
      <c r="AF201" s="409"/>
    </row>
    <row r="202" spans="1:32" x14ac:dyDescent="0.25">
      <c r="A202" s="343">
        <v>5723</v>
      </c>
      <c r="B202" s="335" t="s">
        <v>240</v>
      </c>
      <c r="C202" s="395">
        <v>17922839.690000001</v>
      </c>
      <c r="D202" s="395">
        <v>5272659.1100000003</v>
      </c>
      <c r="E202" s="395"/>
      <c r="F202" s="395"/>
      <c r="G202" s="385">
        <v>89163.398599618085</v>
      </c>
      <c r="H202" s="385">
        <v>15691.399999999996</v>
      </c>
      <c r="I202" s="385">
        <v>17723.862684996515</v>
      </c>
      <c r="J202" s="398">
        <v>660346.09</v>
      </c>
      <c r="K202" s="398">
        <v>285927.71999999997</v>
      </c>
      <c r="L202" s="398">
        <v>38632.5</v>
      </c>
      <c r="M202" s="398">
        <v>780501.05</v>
      </c>
      <c r="N202" s="336">
        <f t="shared" si="6"/>
        <v>25083484.821284611</v>
      </c>
      <c r="O202" s="400">
        <v>138805.70000000001</v>
      </c>
      <c r="P202" s="401">
        <v>184858.9</v>
      </c>
      <c r="Q202" s="401">
        <v>687447</v>
      </c>
      <c r="R202" s="402">
        <v>-26852.25</v>
      </c>
      <c r="S202" s="402">
        <v>739305.05</v>
      </c>
      <c r="T202" s="337">
        <f t="shared" si="7"/>
        <v>26807049.221284609</v>
      </c>
      <c r="U202" s="403">
        <v>49</v>
      </c>
      <c r="V202" s="406">
        <v>2075</v>
      </c>
      <c r="W202" s="409">
        <v>-118848.2</v>
      </c>
      <c r="X202" s="410"/>
      <c r="Y202" s="410">
        <v>-8877.7999999999993</v>
      </c>
      <c r="Z202" s="416">
        <v>1</v>
      </c>
      <c r="AA202" s="409"/>
      <c r="AB202" s="409"/>
      <c r="AC202" s="409"/>
      <c r="AD202" s="409"/>
      <c r="AE202" s="409"/>
      <c r="AF202" s="409"/>
    </row>
    <row r="203" spans="1:32" x14ac:dyDescent="0.25">
      <c r="A203" s="343">
        <v>5724</v>
      </c>
      <c r="B203" s="335" t="s">
        <v>69</v>
      </c>
      <c r="C203" s="395">
        <v>51644745.579999998</v>
      </c>
      <c r="D203" s="395">
        <v>9186672.8599999994</v>
      </c>
      <c r="E203" s="395"/>
      <c r="F203" s="395"/>
      <c r="G203" s="385">
        <v>4989945.0877608946</v>
      </c>
      <c r="H203" s="385">
        <v>1414261.6000000059</v>
      </c>
      <c r="I203" s="385">
        <v>1082518.6968660487</v>
      </c>
      <c r="J203" s="398">
        <v>1858366.67</v>
      </c>
      <c r="K203" s="398">
        <v>3157761.54</v>
      </c>
      <c r="L203" s="398">
        <v>783807.75</v>
      </c>
      <c r="M203" s="398">
        <v>6698220.7999999998</v>
      </c>
      <c r="N203" s="336">
        <f t="shared" si="6"/>
        <v>80816300.584626958</v>
      </c>
      <c r="O203" s="400">
        <v>4786782.4000000004</v>
      </c>
      <c r="P203" s="401">
        <v>2626556.1</v>
      </c>
      <c r="Q203" s="401">
        <v>3941160</v>
      </c>
      <c r="R203" s="402">
        <v>197746.37</v>
      </c>
      <c r="S203" s="402">
        <v>2156509.5</v>
      </c>
      <c r="T203" s="337">
        <f t="shared" si="7"/>
        <v>94525054.954626963</v>
      </c>
      <c r="U203" s="403">
        <v>61</v>
      </c>
      <c r="V203" s="406">
        <v>21239</v>
      </c>
      <c r="W203" s="409">
        <v>-1082531.98</v>
      </c>
      <c r="X203" s="410"/>
      <c r="Y203" s="410">
        <v>-22185.85</v>
      </c>
      <c r="Z203" s="416">
        <v>1.3</v>
      </c>
      <c r="AA203" s="409"/>
      <c r="AB203" s="409"/>
      <c r="AC203" s="409"/>
      <c r="AD203" s="409"/>
      <c r="AE203" s="409"/>
      <c r="AF203" s="409"/>
    </row>
    <row r="204" spans="1:32" x14ac:dyDescent="0.25">
      <c r="A204" s="343">
        <v>5725</v>
      </c>
      <c r="B204" s="335" t="s">
        <v>70</v>
      </c>
      <c r="C204" s="395">
        <v>10725974.93</v>
      </c>
      <c r="D204" s="395">
        <v>3065394.73</v>
      </c>
      <c r="E204" s="395"/>
      <c r="F204" s="395"/>
      <c r="G204" s="385">
        <v>2409402.4516508114</v>
      </c>
      <c r="H204" s="385">
        <v>39176</v>
      </c>
      <c r="I204" s="385">
        <v>413889.1956315143</v>
      </c>
      <c r="J204" s="398">
        <v>319262.40999999997</v>
      </c>
      <c r="K204" s="398">
        <v>447458.24</v>
      </c>
      <c r="L204" s="398">
        <v>63987.5</v>
      </c>
      <c r="M204" s="398">
        <v>1577485.15</v>
      </c>
      <c r="N204" s="336">
        <f t="shared" si="6"/>
        <v>19062030.607282322</v>
      </c>
      <c r="O204" s="400">
        <v>1330506.95</v>
      </c>
      <c r="P204" s="401">
        <v>242941.7</v>
      </c>
      <c r="Q204" s="401">
        <v>1054492.7</v>
      </c>
      <c r="R204" s="402">
        <v>32640.560000000001</v>
      </c>
      <c r="S204" s="402">
        <v>773222.15</v>
      </c>
      <c r="T204" s="337">
        <f t="shared" si="7"/>
        <v>22495834.667282317</v>
      </c>
      <c r="U204" s="403">
        <v>56</v>
      </c>
      <c r="V204" s="406">
        <v>4040</v>
      </c>
      <c r="W204" s="409">
        <v>-77679.02</v>
      </c>
      <c r="X204" s="410"/>
      <c r="Y204" s="410">
        <v>-6502.76</v>
      </c>
      <c r="Z204" s="416">
        <v>1.4</v>
      </c>
      <c r="AA204" s="409"/>
      <c r="AB204" s="409"/>
      <c r="AC204" s="409"/>
      <c r="AD204" s="409"/>
      <c r="AE204" s="409"/>
      <c r="AF204" s="409"/>
    </row>
    <row r="205" spans="1:32" x14ac:dyDescent="0.25">
      <c r="A205" s="343">
        <v>5726</v>
      </c>
      <c r="B205" s="335" t="s">
        <v>319</v>
      </c>
      <c r="C205" s="395">
        <v>2919203.87</v>
      </c>
      <c r="D205" s="395">
        <v>701866.66</v>
      </c>
      <c r="E205" s="395"/>
      <c r="F205" s="395"/>
      <c r="G205" s="385">
        <v>6091.4770666666664</v>
      </c>
      <c r="H205" s="385">
        <v>15400.350000000002</v>
      </c>
      <c r="I205" s="385">
        <v>3632.8160166880425</v>
      </c>
      <c r="J205" s="398"/>
      <c r="K205" s="398">
        <v>41769.72</v>
      </c>
      <c r="L205" s="398">
        <v>4195.1499999999996</v>
      </c>
      <c r="M205" s="398">
        <v>256589.05</v>
      </c>
      <c r="N205" s="336">
        <f t="shared" si="6"/>
        <v>3948749.0930833551</v>
      </c>
      <c r="O205" s="400">
        <v>45807</v>
      </c>
      <c r="P205" s="401">
        <v>10.5</v>
      </c>
      <c r="Q205" s="401">
        <v>45483.5</v>
      </c>
      <c r="R205" s="402">
        <v>3.44</v>
      </c>
      <c r="S205" s="402">
        <v>43632.5</v>
      </c>
      <c r="T205" s="337">
        <f t="shared" si="7"/>
        <v>4083686.0330833551</v>
      </c>
      <c r="U205" s="403">
        <v>65</v>
      </c>
      <c r="V205" s="406">
        <v>1161</v>
      </c>
      <c r="W205" s="409">
        <v>-62865.88</v>
      </c>
      <c r="X205" s="410"/>
      <c r="Y205" s="410">
        <v>-469.14</v>
      </c>
      <c r="Z205" s="416">
        <v>1</v>
      </c>
      <c r="AA205" s="409"/>
      <c r="AB205" s="409"/>
      <c r="AC205" s="409"/>
      <c r="AD205" s="409"/>
      <c r="AE205" s="409"/>
      <c r="AF205" s="409"/>
    </row>
    <row r="206" spans="1:32" x14ac:dyDescent="0.25">
      <c r="A206" s="343">
        <v>5727</v>
      </c>
      <c r="B206" s="335" t="s">
        <v>320</v>
      </c>
      <c r="C206" s="395">
        <v>4212994.8899999997</v>
      </c>
      <c r="D206" s="395">
        <v>710471.55</v>
      </c>
      <c r="E206" s="395"/>
      <c r="F206" s="395"/>
      <c r="G206" s="385">
        <v>249.9185618729031</v>
      </c>
      <c r="H206" s="385">
        <v>9226.0000000000036</v>
      </c>
      <c r="I206" s="385">
        <v>1601.7376567204317</v>
      </c>
      <c r="J206" s="398">
        <v>100543.52</v>
      </c>
      <c r="K206" s="398">
        <v>176318.03</v>
      </c>
      <c r="L206" s="398">
        <v>12254.2</v>
      </c>
      <c r="M206" s="398">
        <v>743934.55</v>
      </c>
      <c r="N206" s="336">
        <f t="shared" si="6"/>
        <v>5967594.3962185923</v>
      </c>
      <c r="O206" s="400">
        <v>153366.29999999999</v>
      </c>
      <c r="P206" s="401">
        <v>1077.8</v>
      </c>
      <c r="Q206" s="401">
        <v>317573.84999999998</v>
      </c>
      <c r="R206" s="402">
        <v>14790.08</v>
      </c>
      <c r="S206" s="402">
        <v>211195.35</v>
      </c>
      <c r="T206" s="337">
        <f t="shared" si="7"/>
        <v>6665597.7762185913</v>
      </c>
      <c r="U206" s="403">
        <v>66</v>
      </c>
      <c r="V206" s="406">
        <v>2583</v>
      </c>
      <c r="W206" s="409">
        <v>-134729.07999999999</v>
      </c>
      <c r="X206" s="410"/>
      <c r="Y206" s="410">
        <v>-394.5</v>
      </c>
      <c r="Z206" s="416">
        <v>1.5</v>
      </c>
      <c r="AA206" s="409"/>
      <c r="AB206" s="409"/>
      <c r="AC206" s="409"/>
      <c r="AD206" s="409"/>
      <c r="AE206" s="409"/>
      <c r="AF206" s="409"/>
    </row>
    <row r="207" spans="1:32" x14ac:dyDescent="0.25">
      <c r="A207" s="343">
        <v>5728</v>
      </c>
      <c r="B207" s="335" t="s">
        <v>321</v>
      </c>
      <c r="C207" s="395">
        <v>1584363.71</v>
      </c>
      <c r="D207" s="395">
        <v>199504.1</v>
      </c>
      <c r="E207" s="395"/>
      <c r="F207" s="395"/>
      <c r="G207" s="385">
        <v>201127.71714903973</v>
      </c>
      <c r="H207" s="385">
        <v>9099.9999999999982</v>
      </c>
      <c r="I207" s="385">
        <v>35535.30445046736</v>
      </c>
      <c r="J207" s="398">
        <v>26389.15</v>
      </c>
      <c r="K207" s="398">
        <v>222859.4</v>
      </c>
      <c r="L207" s="398">
        <v>51296.45</v>
      </c>
      <c r="M207" s="398">
        <v>213094</v>
      </c>
      <c r="N207" s="336">
        <f t="shared" si="6"/>
        <v>2543269.8315995075</v>
      </c>
      <c r="O207" s="400">
        <v>225885.4</v>
      </c>
      <c r="P207" s="401"/>
      <c r="Q207" s="401">
        <v>86005.85</v>
      </c>
      <c r="R207" s="402">
        <v>384.21</v>
      </c>
      <c r="S207" s="402">
        <v>110099.6</v>
      </c>
      <c r="T207" s="337">
        <f t="shared" si="7"/>
        <v>2965644.8915995075</v>
      </c>
      <c r="U207" s="403">
        <v>58</v>
      </c>
      <c r="V207" s="406">
        <v>592</v>
      </c>
      <c r="W207" s="409">
        <v>-12280.52</v>
      </c>
      <c r="X207" s="410"/>
      <c r="Y207" s="410">
        <v>-129.99</v>
      </c>
      <c r="Z207" s="416">
        <v>1</v>
      </c>
      <c r="AA207" s="409"/>
      <c r="AB207" s="409"/>
      <c r="AC207" s="409"/>
      <c r="AD207" s="409"/>
      <c r="AE207" s="409"/>
      <c r="AF207" s="409"/>
    </row>
    <row r="208" spans="1:32" x14ac:dyDescent="0.25">
      <c r="A208" s="343">
        <v>5729</v>
      </c>
      <c r="B208" s="335" t="s">
        <v>322</v>
      </c>
      <c r="C208" s="395">
        <v>6021217.2199999997</v>
      </c>
      <c r="D208" s="395">
        <v>1455667.41</v>
      </c>
      <c r="E208" s="395"/>
      <c r="F208" s="395"/>
      <c r="G208" s="385">
        <v>362351.17879412521</v>
      </c>
      <c r="H208" s="385">
        <v>5326.7999999999993</v>
      </c>
      <c r="I208" s="385">
        <v>62149.506703338149</v>
      </c>
      <c r="J208" s="398">
        <v>150067.6</v>
      </c>
      <c r="K208" s="398">
        <v>38776.949999999997</v>
      </c>
      <c r="L208" s="398">
        <v>2658.25</v>
      </c>
      <c r="M208" s="398">
        <v>801514.1</v>
      </c>
      <c r="N208" s="336">
        <f t="shared" si="6"/>
        <v>8899729.0154974628</v>
      </c>
      <c r="O208" s="400">
        <v>26471.25</v>
      </c>
      <c r="P208" s="401">
        <v>0</v>
      </c>
      <c r="Q208" s="401">
        <v>354462.1</v>
      </c>
      <c r="R208" s="402">
        <v>6420.02</v>
      </c>
      <c r="S208" s="402">
        <v>168773.95</v>
      </c>
      <c r="T208" s="337">
        <f t="shared" si="7"/>
        <v>9455856.3354974613</v>
      </c>
      <c r="U208" s="403">
        <v>61</v>
      </c>
      <c r="V208" s="406">
        <v>1593</v>
      </c>
      <c r="W208" s="409">
        <v>-47005.3</v>
      </c>
      <c r="X208" s="410"/>
      <c r="Y208" s="410">
        <v>-3848.53</v>
      </c>
      <c r="Z208" s="416">
        <v>1.5</v>
      </c>
      <c r="AA208" s="409"/>
      <c r="AB208" s="409"/>
      <c r="AC208" s="409"/>
      <c r="AD208" s="409"/>
      <c r="AE208" s="409"/>
      <c r="AF208" s="409"/>
    </row>
    <row r="209" spans="1:32" x14ac:dyDescent="0.25">
      <c r="A209" s="343">
        <v>5730</v>
      </c>
      <c r="B209" s="335" t="s">
        <v>323</v>
      </c>
      <c r="C209" s="395">
        <v>6602565.0899999999</v>
      </c>
      <c r="D209" s="395">
        <v>1887225.68</v>
      </c>
      <c r="E209" s="395"/>
      <c r="F209" s="395"/>
      <c r="G209" s="385">
        <v>35312.134323432343</v>
      </c>
      <c r="H209" s="385">
        <v>1254.6500000000001</v>
      </c>
      <c r="I209" s="385">
        <v>6180.9728580486608</v>
      </c>
      <c r="J209" s="398">
        <v>69731.100000000006</v>
      </c>
      <c r="K209" s="398">
        <v>87946.76</v>
      </c>
      <c r="L209" s="398">
        <v>6328.2</v>
      </c>
      <c r="M209" s="398">
        <v>372721.05</v>
      </c>
      <c r="N209" s="336">
        <f t="shared" si="6"/>
        <v>9069265.6371814813</v>
      </c>
      <c r="O209" s="400">
        <v>9936.85</v>
      </c>
      <c r="P209" s="401">
        <v>57748.2</v>
      </c>
      <c r="Q209" s="401">
        <v>243542.15</v>
      </c>
      <c r="R209" s="402">
        <v>449.9</v>
      </c>
      <c r="S209" s="402">
        <v>242722.65</v>
      </c>
      <c r="T209" s="337">
        <f t="shared" si="7"/>
        <v>9623665.3871814813</v>
      </c>
      <c r="U209" s="403">
        <v>57</v>
      </c>
      <c r="V209" s="406">
        <v>1408</v>
      </c>
      <c r="W209" s="409">
        <v>-15810.83</v>
      </c>
      <c r="X209" s="410"/>
      <c r="Y209" s="410">
        <v>-10364.26</v>
      </c>
      <c r="Z209" s="416">
        <v>0.9</v>
      </c>
      <c r="AA209" s="409"/>
      <c r="AB209" s="409"/>
      <c r="AC209" s="409"/>
      <c r="AD209" s="409"/>
      <c r="AE209" s="409"/>
      <c r="AF209" s="409"/>
    </row>
    <row r="210" spans="1:32" x14ac:dyDescent="0.25">
      <c r="A210" s="343">
        <v>5731</v>
      </c>
      <c r="B210" s="335" t="s">
        <v>324</v>
      </c>
      <c r="C210" s="395">
        <v>3302856.24</v>
      </c>
      <c r="D210" s="395">
        <v>403233.34</v>
      </c>
      <c r="E210" s="395"/>
      <c r="F210" s="395"/>
      <c r="G210" s="385">
        <v>4332.4604426654114</v>
      </c>
      <c r="H210" s="385">
        <v>1367.6000000000001</v>
      </c>
      <c r="I210" s="385">
        <v>963.49513738277483</v>
      </c>
      <c r="J210" s="398"/>
      <c r="K210" s="398">
        <v>2853.35</v>
      </c>
      <c r="L210" s="398">
        <v>5195.5</v>
      </c>
      <c r="M210" s="398">
        <v>377239.15</v>
      </c>
      <c r="N210" s="336">
        <f t="shared" si="6"/>
        <v>4098041.1355800484</v>
      </c>
      <c r="O210" s="400">
        <v>31194.65</v>
      </c>
      <c r="P210" s="401">
        <v>362519.3</v>
      </c>
      <c r="Q210" s="401">
        <v>192199.85</v>
      </c>
      <c r="R210" s="402">
        <v>6738.99</v>
      </c>
      <c r="S210" s="402">
        <v>170338.2</v>
      </c>
      <c r="T210" s="337">
        <f t="shared" si="7"/>
        <v>4861032.1255800482</v>
      </c>
      <c r="U210" s="403">
        <v>75</v>
      </c>
      <c r="V210" s="406">
        <v>1319</v>
      </c>
      <c r="W210" s="409">
        <v>-19927.46</v>
      </c>
      <c r="X210" s="410"/>
      <c r="Y210" s="410">
        <v>-74.930000000000007</v>
      </c>
      <c r="Z210" s="416">
        <v>1.5</v>
      </c>
      <c r="AA210" s="409"/>
      <c r="AB210" s="409"/>
      <c r="AC210" s="409"/>
      <c r="AD210" s="409"/>
      <c r="AE210" s="409"/>
      <c r="AF210" s="409"/>
    </row>
    <row r="211" spans="1:32" x14ac:dyDescent="0.25">
      <c r="A211" s="343">
        <v>5732</v>
      </c>
      <c r="B211" s="335" t="s">
        <v>325</v>
      </c>
      <c r="C211" s="395">
        <v>2836834.71</v>
      </c>
      <c r="D211" s="395">
        <v>676078.82</v>
      </c>
      <c r="E211" s="395"/>
      <c r="F211" s="395"/>
      <c r="G211" s="385">
        <v>91388.873926166692</v>
      </c>
      <c r="H211" s="385">
        <v>53863</v>
      </c>
      <c r="I211" s="385">
        <v>24552.2789856866</v>
      </c>
      <c r="J211" s="398">
        <v>125649.60000000001</v>
      </c>
      <c r="K211" s="398">
        <v>140975.57</v>
      </c>
      <c r="L211" s="398">
        <v>16095.4</v>
      </c>
      <c r="M211" s="398">
        <v>310281.3</v>
      </c>
      <c r="N211" s="336">
        <f t="shared" si="6"/>
        <v>4275719.5529118534</v>
      </c>
      <c r="O211" s="400">
        <v>94359.45</v>
      </c>
      <c r="P211" s="401"/>
      <c r="Q211" s="401">
        <v>484733.35</v>
      </c>
      <c r="R211" s="402">
        <v>11623.78</v>
      </c>
      <c r="S211" s="402">
        <v>264370.5</v>
      </c>
      <c r="T211" s="337">
        <f t="shared" si="7"/>
        <v>5130806.6329118535</v>
      </c>
      <c r="U211" s="403">
        <v>67</v>
      </c>
      <c r="V211" s="406">
        <v>1039</v>
      </c>
      <c r="W211" s="409">
        <v>-17198.080000000002</v>
      </c>
      <c r="X211" s="410"/>
      <c r="Y211" s="410">
        <v>-3641.54</v>
      </c>
      <c r="Z211" s="416">
        <v>1</v>
      </c>
      <c r="AA211" s="409"/>
      <c r="AB211" s="409"/>
      <c r="AC211" s="409"/>
      <c r="AD211" s="409"/>
      <c r="AE211" s="409"/>
      <c r="AF211" s="409"/>
    </row>
    <row r="212" spans="1:32" x14ac:dyDescent="0.25">
      <c r="A212" s="343">
        <v>5741</v>
      </c>
      <c r="B212" s="335" t="s">
        <v>326</v>
      </c>
      <c r="C212" s="395">
        <v>519089.64</v>
      </c>
      <c r="D212" s="395">
        <v>57764.25</v>
      </c>
      <c r="E212" s="395"/>
      <c r="F212" s="395">
        <v>1430</v>
      </c>
      <c r="G212" s="385">
        <v>3776.4393790528584</v>
      </c>
      <c r="H212" s="385">
        <v>156.69999999999999</v>
      </c>
      <c r="I212" s="385">
        <v>664.82815480358215</v>
      </c>
      <c r="J212" s="398"/>
      <c r="K212" s="398">
        <v>1758.91</v>
      </c>
      <c r="L212" s="398"/>
      <c r="M212" s="398">
        <v>42828.3</v>
      </c>
      <c r="N212" s="336">
        <f t="shared" si="6"/>
        <v>627469.06753385649</v>
      </c>
      <c r="O212" s="400">
        <v>6488.75</v>
      </c>
      <c r="P212" s="401"/>
      <c r="Q212" s="401">
        <v>19970.599999999999</v>
      </c>
      <c r="R212" s="402">
        <v>1982.75</v>
      </c>
      <c r="S212" s="402">
        <v>23772.9</v>
      </c>
      <c r="T212" s="337">
        <f t="shared" si="7"/>
        <v>679684.06753385649</v>
      </c>
      <c r="U212" s="403">
        <v>81</v>
      </c>
      <c r="V212" s="406">
        <v>248</v>
      </c>
      <c r="W212" s="409">
        <v>-21458.67</v>
      </c>
      <c r="X212" s="410"/>
      <c r="Y212" s="410">
        <v>-8.48</v>
      </c>
      <c r="Z212" s="416">
        <v>1.2</v>
      </c>
      <c r="AA212" s="409"/>
      <c r="AB212" s="409"/>
      <c r="AC212" s="409"/>
      <c r="AD212" s="409"/>
      <c r="AE212" s="409"/>
      <c r="AF212" s="409"/>
    </row>
    <row r="213" spans="1:32" x14ac:dyDescent="0.25">
      <c r="A213" s="343">
        <v>5742</v>
      </c>
      <c r="B213" s="335" t="s">
        <v>327</v>
      </c>
      <c r="C213" s="395">
        <v>554552.49</v>
      </c>
      <c r="D213" s="395">
        <v>51359.13</v>
      </c>
      <c r="E213" s="395"/>
      <c r="F213" s="395"/>
      <c r="G213" s="385">
        <v>6726.8018789144071</v>
      </c>
      <c r="H213" s="385">
        <v>310.60000000000002</v>
      </c>
      <c r="I213" s="385">
        <v>1189.5492264239563</v>
      </c>
      <c r="J213" s="398"/>
      <c r="K213" s="398">
        <v>24860.81</v>
      </c>
      <c r="L213" s="398">
        <v>743.3</v>
      </c>
      <c r="M213" s="398">
        <v>25016.25</v>
      </c>
      <c r="N213" s="336">
        <f t="shared" si="6"/>
        <v>664758.93110533839</v>
      </c>
      <c r="O213" s="400"/>
      <c r="P213" s="401">
        <v>74.599999999999994</v>
      </c>
      <c r="Q213" s="401">
        <v>8781.7000000000007</v>
      </c>
      <c r="R213" s="402"/>
      <c r="S213" s="402">
        <v>13127.9</v>
      </c>
      <c r="T213" s="337">
        <f t="shared" si="7"/>
        <v>686743.13110533834</v>
      </c>
      <c r="U213" s="403">
        <v>76</v>
      </c>
      <c r="V213" s="406">
        <v>327</v>
      </c>
      <c r="W213" s="409">
        <v>-2413.75</v>
      </c>
      <c r="X213" s="410"/>
      <c r="Y213" s="410">
        <v>0</v>
      </c>
      <c r="Z213" s="416">
        <v>0.5</v>
      </c>
      <c r="AA213" s="409"/>
      <c r="AB213" s="409"/>
      <c r="AC213" s="409"/>
      <c r="AD213" s="409"/>
      <c r="AE213" s="409"/>
      <c r="AF213" s="409"/>
    </row>
    <row r="214" spans="1:32" x14ac:dyDescent="0.25">
      <c r="A214" s="343">
        <v>5743</v>
      </c>
      <c r="B214" s="335" t="s">
        <v>265</v>
      </c>
      <c r="C214" s="395">
        <v>1099020.1399999999</v>
      </c>
      <c r="D214" s="395">
        <v>133154.35</v>
      </c>
      <c r="E214" s="395"/>
      <c r="F214" s="395"/>
      <c r="G214" s="385">
        <v>-487.57353004990262</v>
      </c>
      <c r="H214" s="385">
        <v>1122.8000000000002</v>
      </c>
      <c r="I214" s="385">
        <v>107.37388157370991</v>
      </c>
      <c r="J214" s="398"/>
      <c r="K214" s="398">
        <v>26297.83</v>
      </c>
      <c r="L214" s="398"/>
      <c r="M214" s="398">
        <v>66987.95</v>
      </c>
      <c r="N214" s="336">
        <f t="shared" si="6"/>
        <v>1326202.8703515239</v>
      </c>
      <c r="O214" s="400">
        <v>28250.799999999999</v>
      </c>
      <c r="P214" s="401">
        <v>210098.3</v>
      </c>
      <c r="Q214" s="401">
        <v>23557.8</v>
      </c>
      <c r="R214" s="402">
        <v>9230.08</v>
      </c>
      <c r="S214" s="402">
        <v>49618.7</v>
      </c>
      <c r="T214" s="337">
        <f t="shared" si="7"/>
        <v>1646958.550351524</v>
      </c>
      <c r="U214" s="403">
        <v>73</v>
      </c>
      <c r="V214" s="406">
        <v>631</v>
      </c>
      <c r="W214" s="409">
        <v>-10345.41</v>
      </c>
      <c r="X214" s="410"/>
      <c r="Y214" s="410">
        <v>-89.1</v>
      </c>
      <c r="Z214" s="416">
        <v>0.8</v>
      </c>
      <c r="AA214" s="409"/>
      <c r="AB214" s="409"/>
      <c r="AC214" s="409"/>
      <c r="AD214" s="409"/>
      <c r="AE214" s="409"/>
      <c r="AF214" s="409"/>
    </row>
    <row r="215" spans="1:32" x14ac:dyDescent="0.25">
      <c r="A215" s="343">
        <v>5744</v>
      </c>
      <c r="B215" s="335" t="s">
        <v>266</v>
      </c>
      <c r="C215" s="395">
        <v>1387017.55</v>
      </c>
      <c r="D215" s="395">
        <v>218820.59</v>
      </c>
      <c r="E215" s="395"/>
      <c r="F215" s="395">
        <v>6180</v>
      </c>
      <c r="G215" s="385">
        <v>799214.20437171508</v>
      </c>
      <c r="H215" s="385">
        <v>-210021.95000000004</v>
      </c>
      <c r="I215" s="385">
        <v>99592.605689157761</v>
      </c>
      <c r="J215" s="398"/>
      <c r="K215" s="398">
        <v>20499.759999999998</v>
      </c>
      <c r="L215" s="398"/>
      <c r="M215" s="398">
        <v>168929.9</v>
      </c>
      <c r="N215" s="336">
        <f t="shared" si="6"/>
        <v>2490232.6600608723</v>
      </c>
      <c r="O215" s="400">
        <v>1259054.6499999999</v>
      </c>
      <c r="P215" s="401">
        <v>48906</v>
      </c>
      <c r="Q215" s="401">
        <v>37562.1</v>
      </c>
      <c r="R215" s="402">
        <v>-2184.1</v>
      </c>
      <c r="S215" s="402">
        <v>31561.599999999999</v>
      </c>
      <c r="T215" s="337">
        <f t="shared" si="7"/>
        <v>3865132.9100608723</v>
      </c>
      <c r="U215" s="403">
        <v>66</v>
      </c>
      <c r="V215" s="406">
        <v>1075</v>
      </c>
      <c r="W215" s="409">
        <v>-67670.95</v>
      </c>
      <c r="X215" s="410"/>
      <c r="Y215" s="410">
        <v>-515.66</v>
      </c>
      <c r="Z215" s="416">
        <v>1</v>
      </c>
      <c r="AA215" s="409"/>
      <c r="AB215" s="409"/>
      <c r="AC215" s="409"/>
      <c r="AD215" s="409"/>
      <c r="AE215" s="409"/>
      <c r="AF215" s="409"/>
    </row>
    <row r="216" spans="1:32" x14ac:dyDescent="0.25">
      <c r="A216" s="343">
        <v>5745</v>
      </c>
      <c r="B216" s="335" t="s">
        <v>267</v>
      </c>
      <c r="C216" s="395">
        <v>1690969.85</v>
      </c>
      <c r="D216" s="395">
        <v>232470.76</v>
      </c>
      <c r="E216" s="395"/>
      <c r="F216" s="395"/>
      <c r="G216" s="385">
        <v>43744.37991853361</v>
      </c>
      <c r="H216" s="385">
        <v>669.40000000000032</v>
      </c>
      <c r="I216" s="385">
        <v>7507.3696875196001</v>
      </c>
      <c r="J216" s="398"/>
      <c r="K216" s="398">
        <v>20439.599999999999</v>
      </c>
      <c r="L216" s="398"/>
      <c r="M216" s="398">
        <v>124424.6</v>
      </c>
      <c r="N216" s="336">
        <f t="shared" si="6"/>
        <v>2120225.9596060533</v>
      </c>
      <c r="O216" s="400">
        <v>206170.15</v>
      </c>
      <c r="P216" s="401">
        <v>115901.1</v>
      </c>
      <c r="Q216" s="401">
        <v>79709.55</v>
      </c>
      <c r="R216" s="402">
        <v>10009.02</v>
      </c>
      <c r="S216" s="402">
        <v>107866.15</v>
      </c>
      <c r="T216" s="337">
        <f t="shared" si="7"/>
        <v>2639881.929606053</v>
      </c>
      <c r="U216" s="403">
        <v>78</v>
      </c>
      <c r="V216" s="406">
        <v>1027</v>
      </c>
      <c r="W216" s="409">
        <v>-66102.69</v>
      </c>
      <c r="X216" s="410"/>
      <c r="Y216" s="410">
        <v>-24.58</v>
      </c>
      <c r="Z216" s="416">
        <v>1</v>
      </c>
      <c r="AA216" s="409"/>
      <c r="AB216" s="409"/>
      <c r="AC216" s="409"/>
      <c r="AD216" s="409"/>
      <c r="AE216" s="409"/>
      <c r="AF216" s="409"/>
    </row>
    <row r="217" spans="1:32" x14ac:dyDescent="0.25">
      <c r="A217" s="343">
        <v>5746</v>
      </c>
      <c r="B217" s="335" t="s">
        <v>268</v>
      </c>
      <c r="C217" s="395">
        <v>1613870.55</v>
      </c>
      <c r="D217" s="395">
        <v>161623.41</v>
      </c>
      <c r="E217" s="395"/>
      <c r="F217" s="395"/>
      <c r="G217" s="385">
        <v>14767.86391842048</v>
      </c>
      <c r="H217" s="385">
        <v>958.1</v>
      </c>
      <c r="I217" s="385">
        <v>2658.1980872767572</v>
      </c>
      <c r="J217" s="398"/>
      <c r="K217" s="398">
        <v>21384.93</v>
      </c>
      <c r="L217" s="398"/>
      <c r="M217" s="398">
        <v>204317.3</v>
      </c>
      <c r="N217" s="336">
        <f t="shared" si="6"/>
        <v>2019580.3520056971</v>
      </c>
      <c r="O217" s="400">
        <v>25740.55</v>
      </c>
      <c r="P217" s="401">
        <v>3444.1</v>
      </c>
      <c r="Q217" s="401">
        <v>92831.15</v>
      </c>
      <c r="R217" s="402">
        <v>18143.740000000002</v>
      </c>
      <c r="S217" s="402">
        <v>31771.25</v>
      </c>
      <c r="T217" s="337">
        <f t="shared" si="7"/>
        <v>2191511.1420056974</v>
      </c>
      <c r="U217" s="403">
        <v>73</v>
      </c>
      <c r="V217" s="406">
        <v>942</v>
      </c>
      <c r="W217" s="409">
        <v>-65197.52</v>
      </c>
      <c r="X217" s="410"/>
      <c r="Y217" s="410">
        <v>-34.4</v>
      </c>
      <c r="Z217" s="416">
        <v>1.2</v>
      </c>
      <c r="AA217" s="409"/>
      <c r="AB217" s="409"/>
      <c r="AC217" s="409"/>
      <c r="AD217" s="409"/>
      <c r="AE217" s="409"/>
      <c r="AF217" s="409"/>
    </row>
    <row r="218" spans="1:32" x14ac:dyDescent="0.25">
      <c r="A218" s="343">
        <v>5747</v>
      </c>
      <c r="B218" s="335" t="s">
        <v>269</v>
      </c>
      <c r="C218" s="395">
        <v>278681.28999999998</v>
      </c>
      <c r="D218" s="395">
        <v>37399.050000000003</v>
      </c>
      <c r="E218" s="395"/>
      <c r="F218" s="395"/>
      <c r="G218" s="385">
        <v>935.70542582417602</v>
      </c>
      <c r="H218" s="385">
        <v>466.29999999999984</v>
      </c>
      <c r="I218" s="385">
        <v>236.98440112227985</v>
      </c>
      <c r="J218" s="398"/>
      <c r="K218" s="398">
        <v>120.99</v>
      </c>
      <c r="L218" s="398"/>
      <c r="M218" s="398">
        <v>28996.75</v>
      </c>
      <c r="N218" s="336">
        <f t="shared" si="6"/>
        <v>346837.06982694636</v>
      </c>
      <c r="O218" s="400"/>
      <c r="P218" s="401">
        <v>4093.2</v>
      </c>
      <c r="Q218" s="401">
        <v>25300</v>
      </c>
      <c r="R218" s="402"/>
      <c r="S218" s="402">
        <v>9631.4</v>
      </c>
      <c r="T218" s="337">
        <f t="shared" si="7"/>
        <v>385861.6698269464</v>
      </c>
      <c r="U218" s="403">
        <v>69</v>
      </c>
      <c r="V218" s="406">
        <v>196</v>
      </c>
      <c r="W218" s="409">
        <v>-3497.6</v>
      </c>
      <c r="X218" s="410"/>
      <c r="Y218" s="410">
        <v>0</v>
      </c>
      <c r="Z218" s="416">
        <v>1</v>
      </c>
      <c r="AA218" s="409"/>
      <c r="AB218" s="409"/>
      <c r="AC218" s="409"/>
      <c r="AD218" s="409"/>
      <c r="AE218" s="409"/>
      <c r="AF218" s="409"/>
    </row>
    <row r="219" spans="1:32" x14ac:dyDescent="0.25">
      <c r="A219" s="343">
        <v>5748</v>
      </c>
      <c r="B219" s="335" t="s">
        <v>270</v>
      </c>
      <c r="C219" s="395">
        <v>334437.09000000003</v>
      </c>
      <c r="D219" s="395">
        <v>35082.21</v>
      </c>
      <c r="E219" s="395"/>
      <c r="F219" s="395">
        <v>2110</v>
      </c>
      <c r="G219" s="385">
        <v>451.85504506484972</v>
      </c>
      <c r="H219" s="385">
        <v>106.9</v>
      </c>
      <c r="I219" s="385">
        <v>94.447729865884341</v>
      </c>
      <c r="J219" s="398"/>
      <c r="K219" s="398">
        <v>1202.69</v>
      </c>
      <c r="L219" s="398"/>
      <c r="M219" s="398">
        <v>21433.75</v>
      </c>
      <c r="N219" s="336">
        <f t="shared" si="6"/>
        <v>394918.94277493085</v>
      </c>
      <c r="O219" s="400">
        <v>5549.6</v>
      </c>
      <c r="P219" s="401">
        <v>27639.599999999999</v>
      </c>
      <c r="Q219" s="401">
        <v>11385</v>
      </c>
      <c r="R219" s="402"/>
      <c r="S219" s="402">
        <v>5162.5</v>
      </c>
      <c r="T219" s="337">
        <f t="shared" si="7"/>
        <v>444655.64277493081</v>
      </c>
      <c r="U219" s="403">
        <v>72</v>
      </c>
      <c r="V219" s="406">
        <v>265</v>
      </c>
      <c r="W219" s="409">
        <v>-9761.6299999999992</v>
      </c>
      <c r="X219" s="410"/>
      <c r="Y219" s="410">
        <v>0</v>
      </c>
      <c r="Z219" s="416">
        <v>0.6</v>
      </c>
      <c r="AA219" s="409"/>
      <c r="AB219" s="409"/>
      <c r="AC219" s="409"/>
      <c r="AD219" s="409"/>
      <c r="AE219" s="409"/>
      <c r="AF219" s="409"/>
    </row>
    <row r="220" spans="1:32" x14ac:dyDescent="0.25">
      <c r="A220" s="343">
        <v>5749</v>
      </c>
      <c r="B220" s="335" t="s">
        <v>271</v>
      </c>
      <c r="C220" s="395">
        <v>7831525.5999999996</v>
      </c>
      <c r="D220" s="395">
        <v>738004.66</v>
      </c>
      <c r="E220" s="395"/>
      <c r="F220" s="395"/>
      <c r="G220" s="385">
        <v>302673.41648714006</v>
      </c>
      <c r="H220" s="385">
        <v>29100.799999999999</v>
      </c>
      <c r="I220" s="385">
        <v>56080.606075970238</v>
      </c>
      <c r="J220" s="398"/>
      <c r="K220" s="398">
        <v>194960.79</v>
      </c>
      <c r="L220" s="398">
        <v>68217.850000000006</v>
      </c>
      <c r="M220" s="398">
        <v>771803.55</v>
      </c>
      <c r="N220" s="336">
        <f t="shared" si="6"/>
        <v>9992367.272563111</v>
      </c>
      <c r="O220" s="400">
        <v>656402.80000000005</v>
      </c>
      <c r="P220" s="401">
        <v>5808</v>
      </c>
      <c r="Q220" s="401">
        <v>243609.45</v>
      </c>
      <c r="R220" s="402">
        <v>66804.34</v>
      </c>
      <c r="S220" s="402">
        <v>140242.1</v>
      </c>
      <c r="T220" s="337">
        <f t="shared" si="7"/>
        <v>11105233.962563111</v>
      </c>
      <c r="U220" s="403">
        <v>72</v>
      </c>
      <c r="V220" s="406">
        <v>4996</v>
      </c>
      <c r="W220" s="409">
        <v>-215149.95</v>
      </c>
      <c r="X220" s="410"/>
      <c r="Y220" s="410">
        <v>-696.82</v>
      </c>
      <c r="Z220" s="416">
        <v>1</v>
      </c>
      <c r="AA220" s="409"/>
      <c r="AB220" s="409"/>
      <c r="AC220" s="409"/>
      <c r="AD220" s="409"/>
      <c r="AE220" s="409"/>
      <c r="AF220" s="409"/>
    </row>
    <row r="221" spans="1:32" x14ac:dyDescent="0.25">
      <c r="A221" s="343">
        <v>5750</v>
      </c>
      <c r="B221" s="335" t="s">
        <v>272</v>
      </c>
      <c r="C221" s="395">
        <v>361478.21</v>
      </c>
      <c r="D221" s="395">
        <v>46803.76</v>
      </c>
      <c r="E221" s="395"/>
      <c r="F221" s="395">
        <v>1070</v>
      </c>
      <c r="G221" s="385">
        <v>-335.23177570093446</v>
      </c>
      <c r="H221" s="385">
        <v>166.7</v>
      </c>
      <c r="I221" s="385">
        <v>0</v>
      </c>
      <c r="J221" s="398"/>
      <c r="K221" s="398">
        <v>10349.67</v>
      </c>
      <c r="L221" s="398">
        <v>230.65</v>
      </c>
      <c r="M221" s="398">
        <v>13456.95</v>
      </c>
      <c r="N221" s="336">
        <f t="shared" si="6"/>
        <v>433220.70822429913</v>
      </c>
      <c r="O221" s="400"/>
      <c r="P221" s="401"/>
      <c r="Q221" s="401"/>
      <c r="R221" s="402">
        <v>31379.14</v>
      </c>
      <c r="S221" s="402">
        <v>174.95</v>
      </c>
      <c r="T221" s="337">
        <f t="shared" si="7"/>
        <v>464774.79822429916</v>
      </c>
      <c r="U221" s="403">
        <v>80</v>
      </c>
      <c r="V221" s="406">
        <v>185</v>
      </c>
      <c r="W221" s="409">
        <v>-60324.88</v>
      </c>
      <c r="X221" s="410"/>
      <c r="Y221" s="410">
        <v>-337.25</v>
      </c>
      <c r="Z221" s="416">
        <v>0.6</v>
      </c>
      <c r="AA221" s="409"/>
      <c r="AB221" s="409"/>
      <c r="AC221" s="409"/>
      <c r="AD221" s="409"/>
      <c r="AE221" s="409"/>
      <c r="AF221" s="409"/>
    </row>
    <row r="222" spans="1:32" x14ac:dyDescent="0.25">
      <c r="A222" s="343">
        <v>5752</v>
      </c>
      <c r="B222" s="335" t="s">
        <v>332</v>
      </c>
      <c r="C222" s="395">
        <v>677979.36</v>
      </c>
      <c r="D222" s="395">
        <v>89370.63</v>
      </c>
      <c r="E222" s="395"/>
      <c r="F222" s="395"/>
      <c r="G222" s="385">
        <v>524.58706638115621</v>
      </c>
      <c r="H222" s="385">
        <v>1266.7</v>
      </c>
      <c r="I222" s="385">
        <v>302.78562753412689</v>
      </c>
      <c r="J222" s="398"/>
      <c r="K222" s="398">
        <v>16741.73</v>
      </c>
      <c r="L222" s="398">
        <v>741.3</v>
      </c>
      <c r="M222" s="398">
        <v>37278.199999999997</v>
      </c>
      <c r="N222" s="336">
        <f t="shared" si="6"/>
        <v>824205.29269391519</v>
      </c>
      <c r="O222" s="400">
        <v>27809.35</v>
      </c>
      <c r="P222" s="401">
        <v>6783.4</v>
      </c>
      <c r="Q222" s="401">
        <v>16997.2</v>
      </c>
      <c r="R222" s="402">
        <v>4712.21</v>
      </c>
      <c r="S222" s="402">
        <v>13223.5</v>
      </c>
      <c r="T222" s="337">
        <f t="shared" si="7"/>
        <v>893730.95269391511</v>
      </c>
      <c r="U222" s="403">
        <v>74</v>
      </c>
      <c r="V222" s="406">
        <v>404</v>
      </c>
      <c r="W222" s="409">
        <v>-47433.3</v>
      </c>
      <c r="X222" s="410"/>
      <c r="Y222" s="410">
        <v>-1430.85</v>
      </c>
      <c r="Z222" s="416">
        <v>0.7</v>
      </c>
      <c r="AA222" s="409"/>
      <c r="AB222" s="409"/>
      <c r="AC222" s="409"/>
      <c r="AD222" s="409"/>
      <c r="AE222" s="409"/>
      <c r="AF222" s="409"/>
    </row>
    <row r="223" spans="1:32" x14ac:dyDescent="0.25">
      <c r="A223" s="343">
        <v>5754</v>
      </c>
      <c r="B223" s="335" t="s">
        <v>333</v>
      </c>
      <c r="C223" s="395">
        <v>528866.04</v>
      </c>
      <c r="D223" s="395">
        <v>53497.9</v>
      </c>
      <c r="E223" s="395"/>
      <c r="F223" s="395"/>
      <c r="G223" s="385">
        <v>324.58716039444556</v>
      </c>
      <c r="H223" s="385">
        <v>1411.6</v>
      </c>
      <c r="I223" s="385">
        <v>293.47195585951232</v>
      </c>
      <c r="J223" s="398"/>
      <c r="K223" s="398">
        <v>13714.27</v>
      </c>
      <c r="L223" s="398">
        <v>931</v>
      </c>
      <c r="M223" s="398">
        <v>38354.1</v>
      </c>
      <c r="N223" s="336">
        <f t="shared" si="6"/>
        <v>637392.96911625401</v>
      </c>
      <c r="O223" s="400">
        <v>1446.55</v>
      </c>
      <c r="P223" s="401"/>
      <c r="Q223" s="401">
        <v>8614.9</v>
      </c>
      <c r="R223" s="402"/>
      <c r="S223" s="402"/>
      <c r="T223" s="337">
        <f t="shared" si="7"/>
        <v>647454.41911625408</v>
      </c>
      <c r="U223" s="403">
        <v>79</v>
      </c>
      <c r="V223" s="406">
        <v>308</v>
      </c>
      <c r="W223" s="409">
        <v>-1905.45</v>
      </c>
      <c r="X223" s="410"/>
      <c r="Y223" s="410">
        <v>-35.479999999999997</v>
      </c>
      <c r="Z223" s="416">
        <v>1</v>
      </c>
      <c r="AA223" s="409"/>
      <c r="AB223" s="409"/>
      <c r="AC223" s="409"/>
      <c r="AD223" s="409"/>
      <c r="AE223" s="409"/>
      <c r="AF223" s="409"/>
    </row>
    <row r="224" spans="1:32" x14ac:dyDescent="0.25">
      <c r="A224" s="343">
        <v>5755</v>
      </c>
      <c r="B224" s="335" t="s">
        <v>334</v>
      </c>
      <c r="C224" s="395">
        <v>622915.04</v>
      </c>
      <c r="D224" s="395">
        <v>66279.960000000006</v>
      </c>
      <c r="E224" s="395"/>
      <c r="F224" s="395"/>
      <c r="G224" s="385">
        <v>6840.3142573076138</v>
      </c>
      <c r="H224" s="385">
        <v>2157.1000000000004</v>
      </c>
      <c r="I224" s="385">
        <v>1520.8549055105514</v>
      </c>
      <c r="J224" s="398">
        <v>7604</v>
      </c>
      <c r="K224" s="398">
        <v>11297.85</v>
      </c>
      <c r="L224" s="398">
        <v>852.6</v>
      </c>
      <c r="M224" s="398">
        <v>41295.199999999997</v>
      </c>
      <c r="N224" s="336">
        <f t="shared" si="6"/>
        <v>760762.919162818</v>
      </c>
      <c r="O224" s="400">
        <v>18805.45</v>
      </c>
      <c r="P224" s="401"/>
      <c r="Q224" s="401">
        <v>22234.65</v>
      </c>
      <c r="R224" s="402">
        <v>449.88</v>
      </c>
      <c r="S224" s="402">
        <v>8883.5</v>
      </c>
      <c r="T224" s="337">
        <f t="shared" si="7"/>
        <v>811136.39916281798</v>
      </c>
      <c r="U224" s="403">
        <v>80</v>
      </c>
      <c r="V224" s="406">
        <v>422</v>
      </c>
      <c r="W224" s="409">
        <v>-17680.38</v>
      </c>
      <c r="X224" s="410"/>
      <c r="Y224" s="410">
        <v>-16.329999999999998</v>
      </c>
      <c r="Z224" s="416">
        <v>0.7</v>
      </c>
      <c r="AA224" s="409"/>
      <c r="AB224" s="409"/>
      <c r="AC224" s="409"/>
      <c r="AD224" s="409"/>
      <c r="AE224" s="409"/>
      <c r="AF224" s="409"/>
    </row>
    <row r="225" spans="1:32" x14ac:dyDescent="0.25">
      <c r="A225" s="343">
        <v>5756</v>
      </c>
      <c r="B225" s="335" t="s">
        <v>335</v>
      </c>
      <c r="C225" s="395">
        <v>968987.22</v>
      </c>
      <c r="D225" s="395">
        <v>156462.89000000001</v>
      </c>
      <c r="E225" s="395"/>
      <c r="F225" s="395"/>
      <c r="G225" s="385">
        <v>-35410.124422950095</v>
      </c>
      <c r="H225" s="385">
        <v>4944.7999999999993</v>
      </c>
      <c r="I225" s="385">
        <v>0</v>
      </c>
      <c r="J225" s="398"/>
      <c r="K225" s="398">
        <v>13298.65</v>
      </c>
      <c r="L225" s="398">
        <v>214.3</v>
      </c>
      <c r="M225" s="398">
        <v>82008.2</v>
      </c>
      <c r="N225" s="336">
        <f t="shared" si="6"/>
        <v>1190505.9355770496</v>
      </c>
      <c r="O225" s="400">
        <v>22927.65</v>
      </c>
      <c r="P225" s="401"/>
      <c r="Q225" s="401">
        <v>13260.8</v>
      </c>
      <c r="R225" s="402">
        <v>3430.66</v>
      </c>
      <c r="S225" s="402">
        <v>1978.45</v>
      </c>
      <c r="T225" s="337">
        <f t="shared" si="7"/>
        <v>1232103.4955770494</v>
      </c>
      <c r="U225" s="403">
        <v>72</v>
      </c>
      <c r="V225" s="406">
        <v>489</v>
      </c>
      <c r="W225" s="409">
        <v>-8166.04</v>
      </c>
      <c r="X225" s="410"/>
      <c r="Y225" s="410">
        <v>0</v>
      </c>
      <c r="Z225" s="416">
        <v>1</v>
      </c>
      <c r="AA225" s="409"/>
      <c r="AB225" s="409"/>
      <c r="AC225" s="409"/>
      <c r="AD225" s="409"/>
      <c r="AE225" s="409"/>
      <c r="AF225" s="409"/>
    </row>
    <row r="226" spans="1:32" x14ac:dyDescent="0.25">
      <c r="A226" s="343">
        <v>5757</v>
      </c>
      <c r="B226" s="335" t="s">
        <v>336</v>
      </c>
      <c r="C226" s="395">
        <v>11075629.85</v>
      </c>
      <c r="D226" s="395">
        <v>956347.22</v>
      </c>
      <c r="E226" s="395"/>
      <c r="F226" s="395"/>
      <c r="G226" s="385">
        <v>1749917.3710515436</v>
      </c>
      <c r="H226" s="385">
        <v>85724.900000000023</v>
      </c>
      <c r="I226" s="385">
        <v>310283.09610439918</v>
      </c>
      <c r="J226" s="398"/>
      <c r="K226" s="398">
        <v>382468.85</v>
      </c>
      <c r="L226" s="398">
        <v>88823.9</v>
      </c>
      <c r="M226" s="398">
        <v>1281024.1499999999</v>
      </c>
      <c r="N226" s="336">
        <f t="shared" si="6"/>
        <v>15930219.337155944</v>
      </c>
      <c r="O226" s="400">
        <v>2769162.05</v>
      </c>
      <c r="P226" s="401">
        <v>355462.8</v>
      </c>
      <c r="Q226" s="401">
        <v>492875.3</v>
      </c>
      <c r="R226" s="402">
        <v>159287.6</v>
      </c>
      <c r="S226" s="402">
        <v>334359.05</v>
      </c>
      <c r="T226" s="337">
        <f t="shared" si="7"/>
        <v>20041366.137155946</v>
      </c>
      <c r="U226" s="403">
        <v>77</v>
      </c>
      <c r="V226" s="406">
        <v>6942</v>
      </c>
      <c r="W226" s="409">
        <v>-315448.21000000002</v>
      </c>
      <c r="X226" s="410"/>
      <c r="Y226" s="410">
        <v>-464.95</v>
      </c>
      <c r="Z226" s="416">
        <v>1</v>
      </c>
      <c r="AA226" s="409"/>
      <c r="AB226" s="409"/>
      <c r="AC226" s="409"/>
      <c r="AD226" s="409"/>
      <c r="AE226" s="409"/>
      <c r="AF226" s="409"/>
    </row>
    <row r="227" spans="1:32" x14ac:dyDescent="0.25">
      <c r="A227" s="343">
        <v>5758</v>
      </c>
      <c r="B227" s="335" t="s">
        <v>217</v>
      </c>
      <c r="C227" s="395">
        <v>303647.90999999997</v>
      </c>
      <c r="D227" s="395">
        <v>39202.83</v>
      </c>
      <c r="E227" s="395"/>
      <c r="F227" s="395">
        <v>980</v>
      </c>
      <c r="G227" s="385">
        <v>620.96267281105997</v>
      </c>
      <c r="H227" s="385">
        <v>920.09999999999991</v>
      </c>
      <c r="I227" s="385">
        <v>260.48958718782399</v>
      </c>
      <c r="J227" s="398"/>
      <c r="K227" s="398">
        <v>1215.27</v>
      </c>
      <c r="L227" s="398"/>
      <c r="M227" s="398">
        <v>21365.4</v>
      </c>
      <c r="N227" s="336">
        <f t="shared" si="6"/>
        <v>368212.96225999889</v>
      </c>
      <c r="O227" s="400"/>
      <c r="P227" s="401">
        <v>3013</v>
      </c>
      <c r="Q227" s="401">
        <v>31142.35</v>
      </c>
      <c r="R227" s="402"/>
      <c r="S227" s="402">
        <v>31124.3</v>
      </c>
      <c r="T227" s="337">
        <f t="shared" si="7"/>
        <v>433492.61225999886</v>
      </c>
      <c r="U227" s="403">
        <v>83</v>
      </c>
      <c r="V227" s="406">
        <v>165</v>
      </c>
      <c r="W227" s="409">
        <v>-1057.51</v>
      </c>
      <c r="X227" s="410"/>
      <c r="Y227" s="410">
        <v>0</v>
      </c>
      <c r="Z227" s="416">
        <v>0.9</v>
      </c>
      <c r="AA227" s="409"/>
      <c r="AB227" s="409"/>
      <c r="AC227" s="409"/>
      <c r="AD227" s="409"/>
      <c r="AE227" s="409"/>
      <c r="AF227" s="409"/>
    </row>
    <row r="228" spans="1:32" x14ac:dyDescent="0.25">
      <c r="A228" s="343">
        <v>5759</v>
      </c>
      <c r="B228" s="335" t="s">
        <v>218</v>
      </c>
      <c r="C228" s="395">
        <v>311190.07</v>
      </c>
      <c r="D228" s="395">
        <v>46412.33</v>
      </c>
      <c r="E228" s="395"/>
      <c r="F228" s="395"/>
      <c r="G228" s="385">
        <v>-4.0801729219886234</v>
      </c>
      <c r="H228" s="385">
        <v>21.9</v>
      </c>
      <c r="I228" s="385">
        <v>3.0121288908012525</v>
      </c>
      <c r="J228" s="398"/>
      <c r="K228" s="398">
        <v>5748.19</v>
      </c>
      <c r="L228" s="398">
        <v>242.95</v>
      </c>
      <c r="M228" s="398">
        <v>26670.5</v>
      </c>
      <c r="N228" s="336">
        <f t="shared" si="6"/>
        <v>390284.87195596885</v>
      </c>
      <c r="O228" s="400">
        <v>2720.8</v>
      </c>
      <c r="P228" s="401"/>
      <c r="Q228" s="401">
        <v>37367</v>
      </c>
      <c r="R228" s="402">
        <v>813.8</v>
      </c>
      <c r="S228" s="402">
        <v>22213.4</v>
      </c>
      <c r="T228" s="337">
        <f t="shared" si="7"/>
        <v>453399.87195596885</v>
      </c>
      <c r="U228" s="403">
        <v>81</v>
      </c>
      <c r="V228" s="406">
        <v>213</v>
      </c>
      <c r="W228" s="409">
        <v>-6732.12</v>
      </c>
      <c r="X228" s="410"/>
      <c r="Y228" s="410">
        <v>-29.68</v>
      </c>
      <c r="Z228" s="416">
        <v>1</v>
      </c>
      <c r="AA228" s="409"/>
      <c r="AB228" s="409"/>
      <c r="AC228" s="409"/>
      <c r="AD228" s="409"/>
      <c r="AE228" s="409"/>
      <c r="AF228" s="409"/>
    </row>
    <row r="229" spans="1:32" x14ac:dyDescent="0.25">
      <c r="A229" s="343">
        <v>5760</v>
      </c>
      <c r="B229" s="335" t="s">
        <v>219</v>
      </c>
      <c r="C229" s="395">
        <v>776442.6</v>
      </c>
      <c r="D229" s="395">
        <v>57624.07</v>
      </c>
      <c r="E229" s="395"/>
      <c r="F229" s="395"/>
      <c r="G229" s="385">
        <v>1264.4784928716899</v>
      </c>
      <c r="H229" s="385">
        <v>1174.2000000000003</v>
      </c>
      <c r="I229" s="385">
        <v>412.21578142127606</v>
      </c>
      <c r="J229" s="398"/>
      <c r="K229" s="398">
        <v>1336.93</v>
      </c>
      <c r="L229" s="398"/>
      <c r="M229" s="398">
        <v>104477.65</v>
      </c>
      <c r="N229" s="336">
        <f t="shared" si="6"/>
        <v>942732.14427429298</v>
      </c>
      <c r="O229" s="400">
        <v>17708.400000000001</v>
      </c>
      <c r="P229" s="401">
        <v>15202.8</v>
      </c>
      <c r="Q229" s="401">
        <v>38335.199999999997</v>
      </c>
      <c r="R229" s="402">
        <v>752.95</v>
      </c>
      <c r="S229" s="402">
        <v>22201.35</v>
      </c>
      <c r="T229" s="337">
        <f t="shared" si="7"/>
        <v>1036932.8442742929</v>
      </c>
      <c r="U229" s="403">
        <v>78</v>
      </c>
      <c r="V229" s="406">
        <v>482</v>
      </c>
      <c r="W229" s="409">
        <v>-16440.45</v>
      </c>
      <c r="X229" s="410"/>
      <c r="Y229" s="410">
        <v>-1362.07</v>
      </c>
      <c r="Z229" s="416">
        <v>1.5</v>
      </c>
      <c r="AA229" s="409"/>
      <c r="AB229" s="409"/>
      <c r="AC229" s="409"/>
      <c r="AD229" s="409"/>
      <c r="AE229" s="409"/>
      <c r="AF229" s="409"/>
    </row>
    <row r="230" spans="1:32" x14ac:dyDescent="0.25">
      <c r="A230" s="343">
        <v>5761</v>
      </c>
      <c r="B230" s="335" t="s">
        <v>135</v>
      </c>
      <c r="C230" s="395">
        <v>978614.86</v>
      </c>
      <c r="D230" s="395">
        <v>103770.19</v>
      </c>
      <c r="E230" s="395"/>
      <c r="F230" s="395"/>
      <c r="G230" s="385">
        <v>23702.704657103557</v>
      </c>
      <c r="H230" s="385">
        <v>462.10000000000008</v>
      </c>
      <c r="I230" s="385">
        <v>4084.6359467789562</v>
      </c>
      <c r="J230" s="398"/>
      <c r="K230" s="398">
        <v>12301.44</v>
      </c>
      <c r="L230" s="398">
        <v>-1363.45</v>
      </c>
      <c r="M230" s="398">
        <v>83089.2</v>
      </c>
      <c r="N230" s="336">
        <f t="shared" si="6"/>
        <v>1204661.6806038828</v>
      </c>
      <c r="O230" s="400">
        <v>53214.400000000001</v>
      </c>
      <c r="P230" s="401">
        <v>1307.5</v>
      </c>
      <c r="Q230" s="401">
        <v>38763.35</v>
      </c>
      <c r="R230" s="402">
        <v>17663.939999999999</v>
      </c>
      <c r="S230" s="402">
        <v>43319.65</v>
      </c>
      <c r="T230" s="337">
        <f t="shared" si="7"/>
        <v>1358930.5206038826</v>
      </c>
      <c r="U230" s="403">
        <v>81</v>
      </c>
      <c r="V230" s="406">
        <v>540</v>
      </c>
      <c r="W230" s="409">
        <v>-36432.97</v>
      </c>
      <c r="X230" s="410"/>
      <c r="Y230" s="410">
        <v>0</v>
      </c>
      <c r="Z230" s="416">
        <v>1.1000000000000001</v>
      </c>
      <c r="AA230" s="409"/>
      <c r="AB230" s="409"/>
      <c r="AC230" s="409"/>
      <c r="AD230" s="409"/>
      <c r="AE230" s="409"/>
      <c r="AF230" s="409"/>
    </row>
    <row r="231" spans="1:32" x14ac:dyDescent="0.25">
      <c r="A231" s="343">
        <v>5762</v>
      </c>
      <c r="B231" s="335" t="s">
        <v>136</v>
      </c>
      <c r="C231" s="395">
        <v>241966.8</v>
      </c>
      <c r="D231" s="395">
        <v>26256.34</v>
      </c>
      <c r="E231" s="395"/>
      <c r="F231" s="395"/>
      <c r="G231" s="385">
        <v>4175.1493686354415</v>
      </c>
      <c r="H231" s="385">
        <v>185.3</v>
      </c>
      <c r="I231" s="385">
        <v>737.05740592453742</v>
      </c>
      <c r="J231" s="398"/>
      <c r="K231" s="398">
        <v>402.1</v>
      </c>
      <c r="L231" s="398">
        <v>75</v>
      </c>
      <c r="M231" s="398">
        <v>19828.599999999999</v>
      </c>
      <c r="N231" s="336">
        <f t="shared" si="6"/>
        <v>293626.34677455993</v>
      </c>
      <c r="O231" s="400">
        <v>2645.8</v>
      </c>
      <c r="P231" s="401"/>
      <c r="Q231" s="401">
        <v>1924.95</v>
      </c>
      <c r="R231" s="402"/>
      <c r="S231" s="402">
        <v>746.75</v>
      </c>
      <c r="T231" s="337">
        <f t="shared" si="7"/>
        <v>298943.84677455993</v>
      </c>
      <c r="U231" s="403">
        <v>78</v>
      </c>
      <c r="V231" s="406">
        <v>146</v>
      </c>
      <c r="W231" s="409">
        <v>-55.46</v>
      </c>
      <c r="X231" s="410"/>
      <c r="Y231" s="410">
        <v>0</v>
      </c>
      <c r="Z231" s="416">
        <v>1</v>
      </c>
      <c r="AA231" s="409"/>
      <c r="AB231" s="409"/>
      <c r="AC231" s="409"/>
      <c r="AD231" s="409"/>
      <c r="AE231" s="409"/>
      <c r="AF231" s="409"/>
    </row>
    <row r="232" spans="1:32" x14ac:dyDescent="0.25">
      <c r="A232" s="343">
        <v>5763</v>
      </c>
      <c r="B232" s="335" t="s">
        <v>137</v>
      </c>
      <c r="C232" s="395">
        <v>1081168.95</v>
      </c>
      <c r="D232" s="395">
        <v>160524.51</v>
      </c>
      <c r="E232" s="395"/>
      <c r="F232" s="395">
        <v>3300</v>
      </c>
      <c r="G232" s="385">
        <v>7916.0082303030285</v>
      </c>
      <c r="H232" s="385">
        <v>-92.700000000000159</v>
      </c>
      <c r="I232" s="385">
        <v>1322.3928963495146</v>
      </c>
      <c r="J232" s="398"/>
      <c r="K232" s="398">
        <v>17396.189999999999</v>
      </c>
      <c r="L232" s="398">
        <v>3554.35</v>
      </c>
      <c r="M232" s="398">
        <v>86290.95</v>
      </c>
      <c r="N232" s="336">
        <f t="shared" si="6"/>
        <v>1361380.6511266525</v>
      </c>
      <c r="O232" s="400">
        <v>37741.050000000003</v>
      </c>
      <c r="P232" s="401"/>
      <c r="Q232" s="401">
        <v>6944.55</v>
      </c>
      <c r="R232" s="402">
        <v>895.5</v>
      </c>
      <c r="S232" s="402">
        <v>-18894.849999999999</v>
      </c>
      <c r="T232" s="337">
        <f t="shared" si="7"/>
        <v>1388066.9011266525</v>
      </c>
      <c r="U232" s="403">
        <v>65</v>
      </c>
      <c r="V232" s="406">
        <v>622</v>
      </c>
      <c r="W232" s="409">
        <v>-2612.66</v>
      </c>
      <c r="X232" s="410"/>
      <c r="Y232" s="410">
        <v>-97.74</v>
      </c>
      <c r="Z232" s="416">
        <v>1</v>
      </c>
      <c r="AA232" s="409"/>
      <c r="AB232" s="409"/>
      <c r="AC232" s="409"/>
      <c r="AD232" s="409"/>
      <c r="AE232" s="409"/>
      <c r="AF232" s="409"/>
    </row>
    <row r="233" spans="1:32" x14ac:dyDescent="0.25">
      <c r="A233" s="343">
        <v>5764</v>
      </c>
      <c r="B233" s="335" t="s">
        <v>337</v>
      </c>
      <c r="C233" s="395">
        <v>4820711.46</v>
      </c>
      <c r="D233" s="395">
        <v>436142.53</v>
      </c>
      <c r="E233" s="395"/>
      <c r="F233" s="395"/>
      <c r="G233" s="385">
        <v>234977.38025602087</v>
      </c>
      <c r="H233" s="385">
        <v>61173.149999999994</v>
      </c>
      <c r="I233" s="385">
        <v>50059.047391711247</v>
      </c>
      <c r="J233" s="398"/>
      <c r="K233" s="398">
        <v>199584.39</v>
      </c>
      <c r="L233" s="398">
        <v>27389.25</v>
      </c>
      <c r="M233" s="398">
        <v>434829.6</v>
      </c>
      <c r="N233" s="336">
        <f t="shared" si="6"/>
        <v>6264866.8076477312</v>
      </c>
      <c r="O233" s="400">
        <v>2339312.5499999998</v>
      </c>
      <c r="P233" s="401">
        <v>39526.300000000003</v>
      </c>
      <c r="Q233" s="401">
        <v>153058.45000000001</v>
      </c>
      <c r="R233" s="402">
        <v>42914.03</v>
      </c>
      <c r="S233" s="402">
        <v>131337.29999999999</v>
      </c>
      <c r="T233" s="337">
        <f t="shared" si="7"/>
        <v>8971015.437647732</v>
      </c>
      <c r="U233" s="403">
        <v>73</v>
      </c>
      <c r="V233" s="406">
        <v>3852</v>
      </c>
      <c r="W233" s="409">
        <v>-213166.29</v>
      </c>
      <c r="X233" s="410"/>
      <c r="Y233" s="410">
        <v>-385.34</v>
      </c>
      <c r="Z233" s="416">
        <v>1</v>
      </c>
      <c r="AA233" s="409"/>
      <c r="AB233" s="409"/>
      <c r="AC233" s="409"/>
      <c r="AD233" s="409"/>
      <c r="AE233" s="409"/>
      <c r="AF233" s="409"/>
    </row>
    <row r="234" spans="1:32" x14ac:dyDescent="0.25">
      <c r="A234" s="343">
        <v>5765</v>
      </c>
      <c r="B234" s="335" t="s">
        <v>338</v>
      </c>
      <c r="C234" s="395">
        <v>662656.34</v>
      </c>
      <c r="D234" s="395">
        <v>73266.350000000006</v>
      </c>
      <c r="E234" s="395"/>
      <c r="F234" s="395"/>
      <c r="G234" s="385">
        <v>5664.1006091570043</v>
      </c>
      <c r="H234" s="385">
        <v>405.7</v>
      </c>
      <c r="I234" s="385">
        <v>1025.9932207089166</v>
      </c>
      <c r="J234" s="398"/>
      <c r="K234" s="398">
        <v>13266.24</v>
      </c>
      <c r="L234" s="398"/>
      <c r="M234" s="398">
        <v>30878.25</v>
      </c>
      <c r="N234" s="336">
        <f t="shared" si="6"/>
        <v>787162.9738298658</v>
      </c>
      <c r="O234" s="400">
        <v>44268</v>
      </c>
      <c r="P234" s="401">
        <v>7144.6</v>
      </c>
      <c r="Q234" s="401">
        <v>26719</v>
      </c>
      <c r="R234" s="402">
        <v>2574.25</v>
      </c>
      <c r="S234" s="402">
        <v>21557.05</v>
      </c>
      <c r="T234" s="337">
        <f t="shared" si="7"/>
        <v>889425.87382986583</v>
      </c>
      <c r="U234" s="403">
        <v>81</v>
      </c>
      <c r="V234" s="406">
        <v>469</v>
      </c>
      <c r="W234" s="409">
        <v>-29131.37</v>
      </c>
      <c r="X234" s="410"/>
      <c r="Y234" s="410">
        <v>-3.03</v>
      </c>
      <c r="Z234" s="416">
        <v>0.5</v>
      </c>
      <c r="AA234" s="409"/>
      <c r="AB234" s="409"/>
      <c r="AC234" s="409"/>
      <c r="AD234" s="409"/>
      <c r="AE234" s="409"/>
      <c r="AF234" s="409"/>
    </row>
    <row r="235" spans="1:32" x14ac:dyDescent="0.25">
      <c r="A235" s="343">
        <v>5766</v>
      </c>
      <c r="B235" s="335" t="s">
        <v>339</v>
      </c>
      <c r="C235" s="395">
        <v>795833.8</v>
      </c>
      <c r="D235" s="395">
        <v>94872.68</v>
      </c>
      <c r="E235" s="395"/>
      <c r="F235" s="395"/>
      <c r="G235" s="385">
        <v>14140.942515463921</v>
      </c>
      <c r="H235" s="385">
        <v>1113.6000000000004</v>
      </c>
      <c r="I235" s="385">
        <v>2578.5125762237517</v>
      </c>
      <c r="J235" s="398"/>
      <c r="K235" s="398">
        <v>29140.080000000002</v>
      </c>
      <c r="L235" s="398">
        <v>3268.65</v>
      </c>
      <c r="M235" s="398">
        <v>56367.75</v>
      </c>
      <c r="N235" s="336">
        <f t="shared" si="6"/>
        <v>997316.01509168756</v>
      </c>
      <c r="O235" s="400">
        <v>22902.3</v>
      </c>
      <c r="P235" s="401"/>
      <c r="Q235" s="401">
        <v>31873.9</v>
      </c>
      <c r="R235" s="402">
        <v>1766.89</v>
      </c>
      <c r="S235" s="402">
        <v>10413.6</v>
      </c>
      <c r="T235" s="337">
        <f t="shared" si="7"/>
        <v>1064272.7050916876</v>
      </c>
      <c r="U235" s="403">
        <v>77</v>
      </c>
      <c r="V235" s="406">
        <v>584</v>
      </c>
      <c r="W235" s="409">
        <v>-10140.41</v>
      </c>
      <c r="X235" s="410"/>
      <c r="Y235" s="410">
        <v>-11.92</v>
      </c>
      <c r="Z235" s="416">
        <v>0.7</v>
      </c>
      <c r="AA235" s="409"/>
      <c r="AB235" s="409"/>
      <c r="AC235" s="409"/>
      <c r="AD235" s="409"/>
      <c r="AE235" s="409"/>
      <c r="AF235" s="409"/>
    </row>
    <row r="236" spans="1:32" x14ac:dyDescent="0.25">
      <c r="A236" s="343">
        <v>5785</v>
      </c>
      <c r="B236" s="335" t="s">
        <v>279</v>
      </c>
      <c r="C236" s="395">
        <v>894021.4</v>
      </c>
      <c r="D236" s="395">
        <v>183269.03</v>
      </c>
      <c r="E236" s="395"/>
      <c r="F236" s="395"/>
      <c r="G236" s="385">
        <v>6376.4536082474233</v>
      </c>
      <c r="H236" s="385">
        <v>824.10000000000014</v>
      </c>
      <c r="I236" s="385">
        <v>1217.1271616843139</v>
      </c>
      <c r="J236" s="398"/>
      <c r="K236" s="398">
        <v>47042.95</v>
      </c>
      <c r="L236" s="398">
        <v>599.1</v>
      </c>
      <c r="M236" s="398">
        <v>68797.850000000006</v>
      </c>
      <c r="N236" s="336">
        <f t="shared" si="6"/>
        <v>1202148.0107699318</v>
      </c>
      <c r="O236" s="400"/>
      <c r="P236" s="401"/>
      <c r="Q236" s="401">
        <v>34574.25</v>
      </c>
      <c r="R236" s="402"/>
      <c r="S236" s="402">
        <v>16880</v>
      </c>
      <c r="T236" s="337">
        <f t="shared" si="7"/>
        <v>1253602.2607699318</v>
      </c>
      <c r="U236" s="403">
        <v>77</v>
      </c>
      <c r="V236" s="406">
        <v>445</v>
      </c>
      <c r="W236" s="409">
        <v>-2855.19</v>
      </c>
      <c r="X236" s="410"/>
      <c r="Y236" s="410">
        <v>-244.89</v>
      </c>
      <c r="Z236" s="416">
        <v>1</v>
      </c>
      <c r="AA236" s="409"/>
      <c r="AB236" s="409"/>
      <c r="AC236" s="409"/>
      <c r="AD236" s="409"/>
      <c r="AE236" s="409"/>
      <c r="AF236" s="409"/>
    </row>
    <row r="237" spans="1:32" x14ac:dyDescent="0.25">
      <c r="A237" s="343">
        <v>5788</v>
      </c>
      <c r="B237" s="335" t="s">
        <v>280</v>
      </c>
      <c r="C237" s="395">
        <v>644025.61</v>
      </c>
      <c r="D237" s="395">
        <v>125571.93</v>
      </c>
      <c r="E237" s="395"/>
      <c r="F237" s="395"/>
      <c r="G237" s="385">
        <v>4700.3244229500997</v>
      </c>
      <c r="H237" s="385">
        <v>181.29999999999998</v>
      </c>
      <c r="I237" s="385">
        <v>825.15289817559255</v>
      </c>
      <c r="J237" s="398"/>
      <c r="K237" s="398">
        <v>30928.33</v>
      </c>
      <c r="L237" s="398">
        <v>2450.5</v>
      </c>
      <c r="M237" s="398">
        <v>77246.899999999994</v>
      </c>
      <c r="N237" s="336">
        <f t="shared" si="6"/>
        <v>885930.04732112586</v>
      </c>
      <c r="O237" s="400"/>
      <c r="P237" s="401">
        <v>3</v>
      </c>
      <c r="Q237" s="401">
        <v>29755</v>
      </c>
      <c r="R237" s="402"/>
      <c r="S237" s="402">
        <v>16773.05</v>
      </c>
      <c r="T237" s="337">
        <f t="shared" si="7"/>
        <v>932461.09732112591</v>
      </c>
      <c r="U237" s="403">
        <v>72</v>
      </c>
      <c r="V237" s="406">
        <v>374</v>
      </c>
      <c r="W237" s="409">
        <v>-14843.16</v>
      </c>
      <c r="X237" s="410"/>
      <c r="Y237" s="410">
        <v>0</v>
      </c>
      <c r="Z237" s="416">
        <v>1.25</v>
      </c>
      <c r="AA237" s="409"/>
      <c r="AB237" s="409"/>
      <c r="AC237" s="409"/>
      <c r="AD237" s="409"/>
      <c r="AE237" s="409"/>
      <c r="AF237" s="409"/>
    </row>
    <row r="238" spans="1:32" x14ac:dyDescent="0.25">
      <c r="A238" s="343">
        <v>5790</v>
      </c>
      <c r="B238" s="335" t="s">
        <v>281</v>
      </c>
      <c r="C238" s="395">
        <v>767528.77</v>
      </c>
      <c r="D238" s="395">
        <v>115033.54</v>
      </c>
      <c r="E238" s="395"/>
      <c r="F238" s="395"/>
      <c r="G238" s="385">
        <v>2875.6430062630484</v>
      </c>
      <c r="H238" s="385">
        <v>672.2</v>
      </c>
      <c r="I238" s="385">
        <v>599.70056793529091</v>
      </c>
      <c r="J238" s="398"/>
      <c r="K238" s="398">
        <v>37556.47</v>
      </c>
      <c r="L238" s="398">
        <v>4128</v>
      </c>
      <c r="M238" s="398">
        <v>82667.199999999997</v>
      </c>
      <c r="N238" s="336">
        <f t="shared" si="6"/>
        <v>1011061.5235741982</v>
      </c>
      <c r="O238" s="400">
        <v>10203.049999999999</v>
      </c>
      <c r="P238" s="401"/>
      <c r="Q238" s="401">
        <v>111342.15</v>
      </c>
      <c r="R238" s="402"/>
      <c r="S238" s="402">
        <v>19566</v>
      </c>
      <c r="T238" s="337">
        <f t="shared" si="7"/>
        <v>1152172.7235741983</v>
      </c>
      <c r="U238" s="403">
        <v>76</v>
      </c>
      <c r="V238" s="406">
        <v>492</v>
      </c>
      <c r="W238" s="409">
        <v>-3469.62</v>
      </c>
      <c r="X238" s="410"/>
      <c r="Y238" s="410">
        <v>-123.43</v>
      </c>
      <c r="Z238" s="416">
        <v>1</v>
      </c>
      <c r="AA238" s="409"/>
      <c r="AB238" s="409"/>
      <c r="AC238" s="409"/>
      <c r="AD238" s="409"/>
      <c r="AE238" s="409"/>
      <c r="AF238" s="409"/>
    </row>
    <row r="239" spans="1:32" x14ac:dyDescent="0.25">
      <c r="A239" s="343">
        <v>5792</v>
      </c>
      <c r="B239" s="335" t="s">
        <v>282</v>
      </c>
      <c r="C239" s="395">
        <v>1173688.96</v>
      </c>
      <c r="D239" s="395">
        <v>127995.19</v>
      </c>
      <c r="E239" s="395"/>
      <c r="F239" s="395"/>
      <c r="G239" s="385">
        <v>2875.3395463917523</v>
      </c>
      <c r="H239" s="385">
        <v>1319.9000000000003</v>
      </c>
      <c r="I239" s="385">
        <v>709.13158619318858</v>
      </c>
      <c r="J239" s="398"/>
      <c r="K239" s="398">
        <v>29087.37</v>
      </c>
      <c r="L239" s="398">
        <v>2682</v>
      </c>
      <c r="M239" s="398">
        <v>108982.75</v>
      </c>
      <c r="N239" s="336">
        <f t="shared" si="6"/>
        <v>1447340.6411325848</v>
      </c>
      <c r="O239" s="400">
        <v>16.149999999999999</v>
      </c>
      <c r="P239" s="401"/>
      <c r="Q239" s="401">
        <v>113292.7</v>
      </c>
      <c r="R239" s="402">
        <v>9674.76</v>
      </c>
      <c r="S239" s="402">
        <v>27873.05</v>
      </c>
      <c r="T239" s="337">
        <f t="shared" si="7"/>
        <v>1598197.3011325847</v>
      </c>
      <c r="U239" s="403">
        <v>77</v>
      </c>
      <c r="V239" s="406">
        <v>643</v>
      </c>
      <c r="W239" s="409">
        <v>-15056.05</v>
      </c>
      <c r="X239" s="410"/>
      <c r="Y239" s="410">
        <v>-21.06</v>
      </c>
      <c r="Z239" s="416">
        <v>1</v>
      </c>
      <c r="AA239" s="409"/>
      <c r="AB239" s="409"/>
      <c r="AC239" s="409"/>
      <c r="AD239" s="409"/>
      <c r="AE239" s="409"/>
      <c r="AF239" s="409"/>
    </row>
    <row r="240" spans="1:32" x14ac:dyDescent="0.25">
      <c r="A240" s="343">
        <v>5798</v>
      </c>
      <c r="B240" s="335" t="s">
        <v>283</v>
      </c>
      <c r="C240" s="395">
        <v>844107.98</v>
      </c>
      <c r="D240" s="395">
        <v>106336.72</v>
      </c>
      <c r="E240" s="395"/>
      <c r="F240" s="395"/>
      <c r="G240" s="385">
        <v>4895.8673770491805</v>
      </c>
      <c r="H240" s="385">
        <v>2943.6000000000004</v>
      </c>
      <c r="I240" s="385">
        <v>1325.1243163880874</v>
      </c>
      <c r="J240" s="398"/>
      <c r="K240" s="398">
        <v>30285.200000000001</v>
      </c>
      <c r="L240" s="398">
        <v>4079.5</v>
      </c>
      <c r="M240" s="398">
        <v>37795.65</v>
      </c>
      <c r="N240" s="336">
        <f t="shared" si="6"/>
        <v>1031769.6416934371</v>
      </c>
      <c r="O240" s="400">
        <v>7800.35</v>
      </c>
      <c r="P240" s="401">
        <v>20443.2</v>
      </c>
      <c r="Q240" s="401">
        <v>61510.75</v>
      </c>
      <c r="R240" s="402">
        <v>2945.2</v>
      </c>
      <c r="S240" s="402">
        <v>11393.1</v>
      </c>
      <c r="T240" s="337">
        <f t="shared" si="7"/>
        <v>1135862.2416934371</v>
      </c>
      <c r="U240" s="403">
        <v>77.5</v>
      </c>
      <c r="V240" s="406">
        <v>494</v>
      </c>
      <c r="W240" s="409">
        <v>-8736.27</v>
      </c>
      <c r="X240" s="410"/>
      <c r="Y240" s="410">
        <v>-66.56</v>
      </c>
      <c r="Z240" s="416">
        <v>0.5</v>
      </c>
      <c r="AA240" s="409"/>
      <c r="AB240" s="409"/>
      <c r="AC240" s="409"/>
      <c r="AD240" s="409"/>
      <c r="AE240" s="409"/>
      <c r="AF240" s="409"/>
    </row>
    <row r="241" spans="1:32" x14ac:dyDescent="0.25">
      <c r="A241" s="343">
        <v>5799</v>
      </c>
      <c r="B241" s="335" t="s">
        <v>284</v>
      </c>
      <c r="C241" s="395">
        <v>3773422.88</v>
      </c>
      <c r="D241" s="395">
        <v>498030.53</v>
      </c>
      <c r="E241" s="395"/>
      <c r="F241" s="395"/>
      <c r="G241" s="385">
        <v>43603.981799450557</v>
      </c>
      <c r="H241" s="385">
        <v>3075.2000000000003</v>
      </c>
      <c r="I241" s="385">
        <v>7890.2961000438536</v>
      </c>
      <c r="J241" s="398"/>
      <c r="K241" s="398">
        <v>49829.599999999999</v>
      </c>
      <c r="L241" s="398">
        <v>15188.2</v>
      </c>
      <c r="M241" s="398">
        <v>362185.35</v>
      </c>
      <c r="N241" s="336">
        <f t="shared" si="6"/>
        <v>4753226.0378994942</v>
      </c>
      <c r="O241" s="400">
        <v>22437.1</v>
      </c>
      <c r="P241" s="401">
        <v>230859.9</v>
      </c>
      <c r="Q241" s="401">
        <v>225102.85</v>
      </c>
      <c r="R241" s="402">
        <v>10763.61</v>
      </c>
      <c r="S241" s="402">
        <v>166727.35</v>
      </c>
      <c r="T241" s="337">
        <f t="shared" si="7"/>
        <v>5409116.8478994938</v>
      </c>
      <c r="U241" s="403">
        <v>69</v>
      </c>
      <c r="V241" s="406">
        <v>1942</v>
      </c>
      <c r="W241" s="409">
        <v>-22582.12</v>
      </c>
      <c r="X241" s="410"/>
      <c r="Y241" s="410">
        <v>-239.74</v>
      </c>
      <c r="Z241" s="416">
        <v>1</v>
      </c>
      <c r="AA241" s="409"/>
      <c r="AB241" s="409"/>
      <c r="AC241" s="409"/>
      <c r="AD241" s="409"/>
      <c r="AE241" s="409"/>
      <c r="AF241" s="409"/>
    </row>
    <row r="242" spans="1:32" x14ac:dyDescent="0.25">
      <c r="A242" s="343">
        <v>5803</v>
      </c>
      <c r="B242" s="335" t="s">
        <v>386</v>
      </c>
      <c r="C242" s="395">
        <v>1063984.54</v>
      </c>
      <c r="D242" s="395">
        <v>116924.48</v>
      </c>
      <c r="E242" s="395"/>
      <c r="F242" s="395"/>
      <c r="G242" s="385">
        <v>5874.9875356415487</v>
      </c>
      <c r="H242" s="385">
        <v>467.20000000000005</v>
      </c>
      <c r="I242" s="385">
        <v>1072.0354481193642</v>
      </c>
      <c r="J242" s="398"/>
      <c r="K242" s="398">
        <v>15537.11</v>
      </c>
      <c r="L242" s="398"/>
      <c r="M242" s="398">
        <v>89383.65</v>
      </c>
      <c r="N242" s="336">
        <f t="shared" si="6"/>
        <v>1293244.0029837608</v>
      </c>
      <c r="O242" s="400"/>
      <c r="P242" s="401"/>
      <c r="Q242" s="401">
        <v>118559.95</v>
      </c>
      <c r="R242" s="402"/>
      <c r="S242" s="402">
        <v>12630</v>
      </c>
      <c r="T242" s="337">
        <f t="shared" si="7"/>
        <v>1424433.9529837607</v>
      </c>
      <c r="U242" s="403">
        <v>78</v>
      </c>
      <c r="V242" s="406">
        <v>595</v>
      </c>
      <c r="W242" s="409">
        <v>-2626.78</v>
      </c>
      <c r="X242" s="410"/>
      <c r="Y242" s="410">
        <v>-2.21</v>
      </c>
      <c r="Z242" s="416">
        <v>1</v>
      </c>
      <c r="AA242" s="409"/>
      <c r="AB242" s="409"/>
      <c r="AC242" s="409"/>
      <c r="AD242" s="409"/>
      <c r="AE242" s="409"/>
      <c r="AF242" s="409"/>
    </row>
    <row r="243" spans="1:32" x14ac:dyDescent="0.25">
      <c r="A243" s="343">
        <v>5804</v>
      </c>
      <c r="B243" s="335" t="s">
        <v>433</v>
      </c>
      <c r="C243" s="395">
        <v>2831722.52</v>
      </c>
      <c r="D243" s="395">
        <v>353727.46</v>
      </c>
      <c r="E243" s="395"/>
      <c r="F243" s="395"/>
      <c r="G243" s="385">
        <v>4793.9276764123942</v>
      </c>
      <c r="H243" s="385">
        <v>1451.8999999999999</v>
      </c>
      <c r="I243" s="385">
        <v>1055.7475057826045</v>
      </c>
      <c r="J243" s="398"/>
      <c r="K243" s="398">
        <v>63919.16</v>
      </c>
      <c r="L243" s="398">
        <v>2028.1</v>
      </c>
      <c r="M243" s="398">
        <v>257016.35</v>
      </c>
      <c r="N243" s="336">
        <f t="shared" si="6"/>
        <v>3515715.1651821951</v>
      </c>
      <c r="O243" s="400">
        <v>5038.1000000000004</v>
      </c>
      <c r="P243" s="401">
        <v>8057.55</v>
      </c>
      <c r="Q243" s="401">
        <v>65212.5</v>
      </c>
      <c r="R243" s="402">
        <v>12784.31</v>
      </c>
      <c r="S243" s="402">
        <v>23597.9</v>
      </c>
      <c r="T243" s="337">
        <f t="shared" si="7"/>
        <v>3630405.525182195</v>
      </c>
      <c r="U243" s="403">
        <v>72</v>
      </c>
      <c r="V243" s="406">
        <v>1586</v>
      </c>
      <c r="W243" s="409">
        <v>-108086.48</v>
      </c>
      <c r="X243" s="410"/>
      <c r="Y243" s="410">
        <v>-96.32</v>
      </c>
      <c r="Z243" s="416">
        <v>1</v>
      </c>
      <c r="AA243" s="409"/>
      <c r="AB243" s="409"/>
      <c r="AC243" s="409"/>
      <c r="AD243" s="409"/>
      <c r="AE243" s="409"/>
      <c r="AF243" s="409"/>
    </row>
    <row r="244" spans="1:32" x14ac:dyDescent="0.25">
      <c r="A244" s="343">
        <v>5805</v>
      </c>
      <c r="B244" s="335" t="s">
        <v>435</v>
      </c>
      <c r="C244" s="395">
        <v>8068439.3799999999</v>
      </c>
      <c r="D244" s="395">
        <v>947434.12</v>
      </c>
      <c r="E244" s="395"/>
      <c r="F244" s="395"/>
      <c r="G244" s="385">
        <v>397320.74423076934</v>
      </c>
      <c r="H244" s="385">
        <v>105530.79999999999</v>
      </c>
      <c r="I244" s="385">
        <v>84998.224591669466</v>
      </c>
      <c r="J244" s="398"/>
      <c r="K244" s="398">
        <v>173382.53</v>
      </c>
      <c r="L244" s="398">
        <v>87534.8</v>
      </c>
      <c r="M244" s="398">
        <v>967819.65</v>
      </c>
      <c r="N244" s="336">
        <f t="shared" si="6"/>
        <v>10832460.248822439</v>
      </c>
      <c r="O244" s="400">
        <v>71863.5</v>
      </c>
      <c r="P244" s="401">
        <v>443187.5</v>
      </c>
      <c r="Q244" s="401">
        <v>452989.3</v>
      </c>
      <c r="R244" s="402">
        <v>75929.83</v>
      </c>
      <c r="S244" s="402">
        <v>294095.75</v>
      </c>
      <c r="T244" s="337">
        <f t="shared" si="7"/>
        <v>12170526.12882244</v>
      </c>
      <c r="U244" s="403">
        <v>69</v>
      </c>
      <c r="V244" s="406">
        <v>5501</v>
      </c>
      <c r="W244" s="409">
        <v>-303244.34999999998</v>
      </c>
      <c r="X244" s="410"/>
      <c r="Y244" s="410">
        <v>-525.83000000000004</v>
      </c>
      <c r="Z244" s="416">
        <v>1.1000000000000001</v>
      </c>
      <c r="AA244" s="409"/>
      <c r="AB244" s="409"/>
      <c r="AC244" s="409"/>
      <c r="AD244" s="409"/>
      <c r="AE244" s="409"/>
      <c r="AF244" s="409"/>
    </row>
    <row r="245" spans="1:32" x14ac:dyDescent="0.25">
      <c r="A245" s="343">
        <v>5806</v>
      </c>
      <c r="B245" s="335" t="s">
        <v>527</v>
      </c>
      <c r="C245" s="395">
        <v>5568790.3099999996</v>
      </c>
      <c r="D245" s="395">
        <v>603953.53</v>
      </c>
      <c r="E245" s="395"/>
      <c r="F245" s="395"/>
      <c r="G245" s="385">
        <v>61864.804592901892</v>
      </c>
      <c r="H245" s="385">
        <v>10726.45</v>
      </c>
      <c r="I245" s="385">
        <v>12270.277047109814</v>
      </c>
      <c r="J245" s="398">
        <v>54947.5</v>
      </c>
      <c r="K245" s="398">
        <v>61537.65</v>
      </c>
      <c r="L245" s="398">
        <v>22111.9</v>
      </c>
      <c r="M245" s="398">
        <v>487312.2</v>
      </c>
      <c r="N245" s="336">
        <f t="shared" si="6"/>
        <v>6883514.6216400126</v>
      </c>
      <c r="O245" s="400">
        <v>38920.85</v>
      </c>
      <c r="P245" s="401">
        <v>198523.9</v>
      </c>
      <c r="Q245" s="401">
        <v>224496.8</v>
      </c>
      <c r="R245" s="402">
        <v>29906.52</v>
      </c>
      <c r="S245" s="402">
        <v>236140.25</v>
      </c>
      <c r="T245" s="337">
        <f t="shared" si="7"/>
        <v>7611502.941640012</v>
      </c>
      <c r="U245" s="403">
        <v>76</v>
      </c>
      <c r="V245" s="406">
        <v>2869</v>
      </c>
      <c r="W245" s="409">
        <v>-86193.34</v>
      </c>
      <c r="X245" s="410"/>
      <c r="Y245" s="410">
        <v>-329.98</v>
      </c>
      <c r="Z245" s="416">
        <v>1</v>
      </c>
      <c r="AA245" s="409"/>
      <c r="AB245" s="409"/>
      <c r="AC245" s="409"/>
      <c r="AD245" s="409"/>
      <c r="AE245" s="409"/>
      <c r="AF245" s="409"/>
    </row>
    <row r="246" spans="1:32" x14ac:dyDescent="0.25">
      <c r="A246" s="343">
        <v>5812</v>
      </c>
      <c r="B246" s="335" t="s">
        <v>387</v>
      </c>
      <c r="C246" s="395">
        <v>162997.14000000001</v>
      </c>
      <c r="D246" s="395">
        <v>20871.93</v>
      </c>
      <c r="E246" s="395"/>
      <c r="F246" s="395"/>
      <c r="G246" s="385">
        <v>35.464577319587626</v>
      </c>
      <c r="H246" s="385">
        <v>955.09999999999991</v>
      </c>
      <c r="I246" s="385">
        <v>167.43754967355335</v>
      </c>
      <c r="J246" s="398"/>
      <c r="K246" s="398"/>
      <c r="L246" s="398">
        <v>613</v>
      </c>
      <c r="M246" s="398">
        <v>11997.7</v>
      </c>
      <c r="N246" s="336">
        <f t="shared" si="6"/>
        <v>197637.77212699316</v>
      </c>
      <c r="O246" s="400"/>
      <c r="P246" s="401"/>
      <c r="Q246" s="401">
        <v>16434.150000000001</v>
      </c>
      <c r="R246" s="402"/>
      <c r="S246" s="402">
        <v>4469.2</v>
      </c>
      <c r="T246" s="337">
        <f t="shared" si="7"/>
        <v>218541.12212699317</v>
      </c>
      <c r="U246" s="403">
        <v>77</v>
      </c>
      <c r="V246" s="406">
        <v>122</v>
      </c>
      <c r="W246" s="409">
        <v>-13299.86</v>
      </c>
      <c r="X246" s="410"/>
      <c r="Y246" s="410">
        <v>0</v>
      </c>
      <c r="Z246" s="416">
        <v>0.8</v>
      </c>
      <c r="AA246" s="409"/>
      <c r="AB246" s="409"/>
      <c r="AC246" s="409"/>
      <c r="AD246" s="409"/>
      <c r="AE246" s="409"/>
      <c r="AF246" s="409"/>
    </row>
    <row r="247" spans="1:32" x14ac:dyDescent="0.25">
      <c r="A247" s="343">
        <v>5813</v>
      </c>
      <c r="B247" s="335" t="s">
        <v>388</v>
      </c>
      <c r="C247" s="395">
        <v>685981.48</v>
      </c>
      <c r="D247" s="395">
        <v>103473.17</v>
      </c>
      <c r="E247" s="395"/>
      <c r="F247" s="395">
        <v>3020</v>
      </c>
      <c r="G247" s="385">
        <v>18658.164769647698</v>
      </c>
      <c r="H247" s="385">
        <v>225</v>
      </c>
      <c r="I247" s="385">
        <v>3191.8674577151751</v>
      </c>
      <c r="J247" s="398"/>
      <c r="K247" s="398">
        <v>5164.9799999999996</v>
      </c>
      <c r="L247" s="398"/>
      <c r="M247" s="398">
        <v>98955.1</v>
      </c>
      <c r="N247" s="336">
        <f t="shared" si="6"/>
        <v>918669.76222736284</v>
      </c>
      <c r="O247" s="400"/>
      <c r="P247" s="401">
        <v>108057.8</v>
      </c>
      <c r="Q247" s="401">
        <v>30593.45</v>
      </c>
      <c r="R247" s="402">
        <v>-2179.37</v>
      </c>
      <c r="S247" s="402">
        <v>33904.85</v>
      </c>
      <c r="T247" s="337">
        <f t="shared" si="7"/>
        <v>1089046.4922273629</v>
      </c>
      <c r="U247" s="403">
        <v>70</v>
      </c>
      <c r="V247" s="406">
        <v>480</v>
      </c>
      <c r="W247" s="409">
        <v>-1102.45</v>
      </c>
      <c r="X247" s="410"/>
      <c r="Y247" s="410">
        <v>-9.0500000000000007</v>
      </c>
      <c r="Z247" s="416">
        <v>1.2</v>
      </c>
      <c r="AA247" s="409"/>
      <c r="AB247" s="409"/>
      <c r="AC247" s="409"/>
      <c r="AD247" s="409"/>
      <c r="AE247" s="409"/>
      <c r="AF247" s="409"/>
    </row>
    <row r="248" spans="1:32" x14ac:dyDescent="0.25">
      <c r="A248" s="343">
        <v>5816</v>
      </c>
      <c r="B248" s="335" t="s">
        <v>6</v>
      </c>
      <c r="C248" s="395">
        <v>3150854.94</v>
      </c>
      <c r="D248" s="395">
        <v>288038.42</v>
      </c>
      <c r="E248" s="395"/>
      <c r="F248" s="395"/>
      <c r="G248" s="385">
        <v>81234.89505385801</v>
      </c>
      <c r="H248" s="385">
        <v>26161.799999999988</v>
      </c>
      <c r="I248" s="385">
        <v>18153.525650508062</v>
      </c>
      <c r="J248" s="398"/>
      <c r="K248" s="398">
        <v>184926.58</v>
      </c>
      <c r="L248" s="398">
        <v>38400.550000000003</v>
      </c>
      <c r="M248" s="398">
        <v>234399.65</v>
      </c>
      <c r="N248" s="336">
        <f t="shared" si="6"/>
        <v>4022170.3607043657</v>
      </c>
      <c r="O248" s="400">
        <v>7944.55</v>
      </c>
      <c r="P248" s="401">
        <v>6500.4</v>
      </c>
      <c r="Q248" s="401">
        <v>148533.85</v>
      </c>
      <c r="R248" s="402">
        <v>32903.730000000003</v>
      </c>
      <c r="S248" s="402">
        <v>101749.85</v>
      </c>
      <c r="T248" s="337">
        <f t="shared" si="7"/>
        <v>4319802.7407043651</v>
      </c>
      <c r="U248" s="403">
        <v>72</v>
      </c>
      <c r="V248" s="406">
        <v>2479</v>
      </c>
      <c r="W248" s="409">
        <v>-171902.18</v>
      </c>
      <c r="X248" s="410"/>
      <c r="Y248" s="410">
        <v>-5.25</v>
      </c>
      <c r="Z248" s="416">
        <v>0.7</v>
      </c>
      <c r="AA248" s="409"/>
      <c r="AB248" s="409"/>
      <c r="AC248" s="409"/>
      <c r="AD248" s="409"/>
      <c r="AE248" s="409"/>
      <c r="AF248" s="409"/>
    </row>
    <row r="249" spans="1:32" x14ac:dyDescent="0.25">
      <c r="A249" s="343">
        <v>5817</v>
      </c>
      <c r="B249" s="335" t="s">
        <v>7</v>
      </c>
      <c r="C249" s="395">
        <v>1544567.32</v>
      </c>
      <c r="D249" s="395">
        <v>143914.88</v>
      </c>
      <c r="E249" s="395"/>
      <c r="F249" s="395">
        <v>5250</v>
      </c>
      <c r="G249" s="385">
        <v>13116.931298969075</v>
      </c>
      <c r="H249" s="385">
        <v>887.7000000000005</v>
      </c>
      <c r="I249" s="385">
        <v>2367.2370307507927</v>
      </c>
      <c r="J249" s="398"/>
      <c r="K249" s="398">
        <v>21506.38</v>
      </c>
      <c r="L249" s="398">
        <v>6302.65</v>
      </c>
      <c r="M249" s="398">
        <v>110760.5</v>
      </c>
      <c r="N249" s="336">
        <f t="shared" si="6"/>
        <v>1848673.5983297199</v>
      </c>
      <c r="O249" s="400"/>
      <c r="P249" s="401">
        <v>163854</v>
      </c>
      <c r="Q249" s="401">
        <v>59338.25</v>
      </c>
      <c r="R249" s="402">
        <v>1216.1099999999999</v>
      </c>
      <c r="S249" s="402">
        <v>43570.9</v>
      </c>
      <c r="T249" s="337">
        <f t="shared" si="7"/>
        <v>2116652.8583297199</v>
      </c>
      <c r="U249" s="403">
        <v>77</v>
      </c>
      <c r="V249" s="406">
        <v>929</v>
      </c>
      <c r="W249" s="409">
        <v>-47617.56</v>
      </c>
      <c r="X249" s="410"/>
      <c r="Y249" s="410">
        <v>-5.0199999999999996</v>
      </c>
      <c r="Z249" s="416">
        <v>1</v>
      </c>
      <c r="AA249" s="409"/>
      <c r="AB249" s="409"/>
      <c r="AC249" s="409"/>
      <c r="AD249" s="409"/>
      <c r="AE249" s="409"/>
      <c r="AF249" s="409"/>
    </row>
    <row r="250" spans="1:32" x14ac:dyDescent="0.25">
      <c r="A250" s="343">
        <v>5819</v>
      </c>
      <c r="B250" s="335" t="s">
        <v>8</v>
      </c>
      <c r="C250" s="395">
        <v>501931.17</v>
      </c>
      <c r="D250" s="395">
        <v>189732.89</v>
      </c>
      <c r="E250" s="395"/>
      <c r="F250" s="395"/>
      <c r="G250" s="385">
        <v>77788.736298076939</v>
      </c>
      <c r="H250" s="385">
        <v>4685.4000000000033</v>
      </c>
      <c r="I250" s="385">
        <v>13940.804677833094</v>
      </c>
      <c r="J250" s="398"/>
      <c r="K250" s="398">
        <v>12719.06</v>
      </c>
      <c r="L250" s="398">
        <v>1942.95</v>
      </c>
      <c r="M250" s="398">
        <v>82763.649999999994</v>
      </c>
      <c r="N250" s="336">
        <f t="shared" si="6"/>
        <v>885504.66097591014</v>
      </c>
      <c r="O250" s="400">
        <v>19038.25</v>
      </c>
      <c r="P250" s="401">
        <v>18931.400000000001</v>
      </c>
      <c r="Q250" s="401">
        <v>22358.6</v>
      </c>
      <c r="R250" s="402">
        <v>1133.3699999999999</v>
      </c>
      <c r="S250" s="402">
        <v>23548.5</v>
      </c>
      <c r="T250" s="337">
        <f t="shared" si="7"/>
        <v>970514.78097591014</v>
      </c>
      <c r="U250" s="403">
        <v>69</v>
      </c>
      <c r="V250" s="406">
        <v>341</v>
      </c>
      <c r="W250" s="409">
        <v>-28333.69</v>
      </c>
      <c r="X250" s="410"/>
      <c r="Y250" s="410">
        <v>-42.79</v>
      </c>
      <c r="Z250" s="416">
        <v>1</v>
      </c>
      <c r="AA250" s="409"/>
      <c r="AB250" s="409"/>
      <c r="AC250" s="409"/>
      <c r="AD250" s="409"/>
      <c r="AE250" s="409"/>
      <c r="AF250" s="409"/>
    </row>
    <row r="251" spans="1:32" x14ac:dyDescent="0.25">
      <c r="A251" s="343">
        <v>5821</v>
      </c>
      <c r="B251" s="335" t="s">
        <v>9</v>
      </c>
      <c r="C251" s="395">
        <v>497706.71</v>
      </c>
      <c r="D251" s="395">
        <v>52737.84</v>
      </c>
      <c r="E251" s="395"/>
      <c r="F251" s="395">
        <v>2030</v>
      </c>
      <c r="G251" s="385">
        <v>2161.5350626511317</v>
      </c>
      <c r="H251" s="385">
        <v>323.80000000000007</v>
      </c>
      <c r="I251" s="385">
        <v>420.10225535635448</v>
      </c>
      <c r="J251" s="398"/>
      <c r="K251" s="398">
        <v>11941.58</v>
      </c>
      <c r="L251" s="398">
        <v>1311.65</v>
      </c>
      <c r="M251" s="398">
        <v>49531.7</v>
      </c>
      <c r="N251" s="336">
        <f t="shared" si="6"/>
        <v>618164.91731800756</v>
      </c>
      <c r="O251" s="400"/>
      <c r="P251" s="401">
        <v>6269.6</v>
      </c>
      <c r="Q251" s="401">
        <v>6503.7</v>
      </c>
      <c r="R251" s="402"/>
      <c r="S251" s="402">
        <v>17438.75</v>
      </c>
      <c r="T251" s="337">
        <f t="shared" si="7"/>
        <v>648376.96731800749</v>
      </c>
      <c r="U251" s="403">
        <v>72</v>
      </c>
      <c r="V251" s="406">
        <v>368</v>
      </c>
      <c r="W251" s="409">
        <v>-668.16</v>
      </c>
      <c r="X251" s="410"/>
      <c r="Y251" s="410">
        <v>-51.3</v>
      </c>
      <c r="Z251" s="416">
        <v>1</v>
      </c>
      <c r="AA251" s="409"/>
      <c r="AB251" s="409"/>
      <c r="AC251" s="409"/>
      <c r="AD251" s="409"/>
      <c r="AE251" s="409"/>
      <c r="AF251" s="409"/>
    </row>
    <row r="252" spans="1:32" x14ac:dyDescent="0.25">
      <c r="A252" s="343">
        <v>5822</v>
      </c>
      <c r="B252" s="335" t="s">
        <v>10</v>
      </c>
      <c r="C252" s="395">
        <v>13578074.35</v>
      </c>
      <c r="D252" s="395">
        <v>1378896.42</v>
      </c>
      <c r="E252" s="395"/>
      <c r="F252" s="395"/>
      <c r="G252" s="385">
        <v>943703.25217758818</v>
      </c>
      <c r="H252" s="385">
        <v>67735.349999999977</v>
      </c>
      <c r="I252" s="385">
        <v>170965.93707410627</v>
      </c>
      <c r="J252" s="398"/>
      <c r="K252" s="398">
        <v>666696.86</v>
      </c>
      <c r="L252" s="398">
        <v>192225.3</v>
      </c>
      <c r="M252" s="398">
        <v>1327217.3</v>
      </c>
      <c r="N252" s="336">
        <f t="shared" si="6"/>
        <v>18325514.769251697</v>
      </c>
      <c r="O252" s="400">
        <v>67583.05</v>
      </c>
      <c r="P252" s="401">
        <v>420748.7</v>
      </c>
      <c r="Q252" s="401">
        <v>687566.8</v>
      </c>
      <c r="R252" s="402">
        <v>84157.4</v>
      </c>
      <c r="S252" s="402">
        <v>335449.8</v>
      </c>
      <c r="T252" s="337">
        <f t="shared" si="7"/>
        <v>19921020.519251697</v>
      </c>
      <c r="U252" s="403">
        <v>75</v>
      </c>
      <c r="V252" s="406">
        <v>9971</v>
      </c>
      <c r="W252" s="409">
        <v>-640420.86</v>
      </c>
      <c r="X252" s="410"/>
      <c r="Y252" s="410">
        <v>-547.98</v>
      </c>
      <c r="Z252" s="416">
        <v>1</v>
      </c>
      <c r="AA252" s="409"/>
      <c r="AB252" s="409"/>
      <c r="AC252" s="409"/>
      <c r="AD252" s="409"/>
      <c r="AE252" s="409"/>
      <c r="AF252" s="409"/>
    </row>
    <row r="253" spans="1:32" x14ac:dyDescent="0.25">
      <c r="A253" s="343">
        <v>5827</v>
      </c>
      <c r="B253" s="335" t="s">
        <v>11</v>
      </c>
      <c r="C253" s="395">
        <v>456867.82</v>
      </c>
      <c r="D253" s="395">
        <v>56252.74</v>
      </c>
      <c r="E253" s="395"/>
      <c r="F253" s="395"/>
      <c r="G253" s="385">
        <v>11888.707456750844</v>
      </c>
      <c r="H253" s="385">
        <v>609.59999999999991</v>
      </c>
      <c r="I253" s="385">
        <v>2112.6194329376822</v>
      </c>
      <c r="J253" s="398"/>
      <c r="K253" s="398">
        <v>14639.52</v>
      </c>
      <c r="L253" s="398">
        <v>-709.65</v>
      </c>
      <c r="M253" s="398">
        <v>36354.050000000003</v>
      </c>
      <c r="N253" s="336">
        <f t="shared" si="6"/>
        <v>578015.40688968857</v>
      </c>
      <c r="O253" s="400"/>
      <c r="P253" s="401">
        <v>28587.599999999999</v>
      </c>
      <c r="Q253" s="401">
        <v>9667.9</v>
      </c>
      <c r="R253" s="402">
        <v>53.52</v>
      </c>
      <c r="S253" s="402"/>
      <c r="T253" s="337">
        <f t="shared" si="7"/>
        <v>616324.42688968859</v>
      </c>
      <c r="U253" s="403">
        <v>80</v>
      </c>
      <c r="V253" s="406">
        <v>267</v>
      </c>
      <c r="W253" s="409">
        <v>-11539.65</v>
      </c>
      <c r="X253" s="410"/>
      <c r="Y253" s="410">
        <v>0</v>
      </c>
      <c r="Z253" s="416">
        <v>1</v>
      </c>
      <c r="AA253" s="409"/>
      <c r="AB253" s="409"/>
      <c r="AC253" s="409"/>
      <c r="AD253" s="409"/>
      <c r="AE253" s="409"/>
      <c r="AF253" s="409"/>
    </row>
    <row r="254" spans="1:32" x14ac:dyDescent="0.25">
      <c r="A254" s="343">
        <v>5828</v>
      </c>
      <c r="B254" s="335" t="s">
        <v>517</v>
      </c>
      <c r="C254" s="395">
        <v>193395.55</v>
      </c>
      <c r="D254" s="395">
        <v>18717.41</v>
      </c>
      <c r="E254" s="395"/>
      <c r="F254" s="395"/>
      <c r="G254" s="385">
        <v>68.441199924055425</v>
      </c>
      <c r="H254" s="385">
        <v>224.5</v>
      </c>
      <c r="I254" s="385">
        <v>49.516566447832375</v>
      </c>
      <c r="J254" s="398"/>
      <c r="K254" s="398">
        <v>140.04</v>
      </c>
      <c r="L254" s="398"/>
      <c r="M254" s="398">
        <v>22323.95</v>
      </c>
      <c r="N254" s="336">
        <f t="shared" si="6"/>
        <v>234919.40776637191</v>
      </c>
      <c r="O254" s="400"/>
      <c r="P254" s="401">
        <v>848.7</v>
      </c>
      <c r="Q254" s="401">
        <v>7007.6</v>
      </c>
      <c r="R254" s="402"/>
      <c r="S254" s="402">
        <v>14019.6</v>
      </c>
      <c r="T254" s="337">
        <f t="shared" si="7"/>
        <v>256795.30776637193</v>
      </c>
      <c r="U254" s="403">
        <v>84</v>
      </c>
      <c r="V254" s="406">
        <v>119</v>
      </c>
      <c r="W254" s="409">
        <v>-2925.75</v>
      </c>
      <c r="X254" s="410"/>
      <c r="Y254" s="410">
        <v>0</v>
      </c>
      <c r="Z254" s="416">
        <v>1.5</v>
      </c>
      <c r="AA254" s="409"/>
      <c r="AB254" s="409"/>
      <c r="AC254" s="409"/>
      <c r="AD254" s="409"/>
      <c r="AE254" s="409"/>
      <c r="AF254" s="409"/>
    </row>
    <row r="255" spans="1:32" x14ac:dyDescent="0.25">
      <c r="A255" s="343">
        <v>5830</v>
      </c>
      <c r="B255" s="335" t="s">
        <v>12</v>
      </c>
      <c r="C255" s="395">
        <v>789989.46</v>
      </c>
      <c r="D255" s="395">
        <v>87415.3</v>
      </c>
      <c r="E255" s="395"/>
      <c r="F255" s="395"/>
      <c r="G255" s="385">
        <v>1715.518776413765</v>
      </c>
      <c r="H255" s="385">
        <v>251.20000000000002</v>
      </c>
      <c r="I255" s="385">
        <v>332.43927792245933</v>
      </c>
      <c r="J255" s="398"/>
      <c r="K255" s="398">
        <v>14595.19</v>
      </c>
      <c r="L255" s="398">
        <v>188.7</v>
      </c>
      <c r="M255" s="398">
        <v>55629.7</v>
      </c>
      <c r="N255" s="336">
        <f t="shared" si="6"/>
        <v>950117.50805433607</v>
      </c>
      <c r="O255" s="400"/>
      <c r="P255" s="401"/>
      <c r="Q255" s="401">
        <v>31680</v>
      </c>
      <c r="R255" s="402">
        <v>16141.64</v>
      </c>
      <c r="S255" s="402">
        <v>26408.15</v>
      </c>
      <c r="T255" s="337">
        <f t="shared" si="7"/>
        <v>1024347.2980543361</v>
      </c>
      <c r="U255" s="403">
        <v>79</v>
      </c>
      <c r="V255" s="406">
        <v>446</v>
      </c>
      <c r="W255" s="409">
        <v>-8971.84</v>
      </c>
      <c r="X255" s="410"/>
      <c r="Y255" s="410">
        <v>-0.32</v>
      </c>
      <c r="Z255" s="416">
        <v>1</v>
      </c>
      <c r="AA255" s="409"/>
      <c r="AB255" s="409"/>
      <c r="AC255" s="409"/>
      <c r="AD255" s="409"/>
      <c r="AE255" s="409"/>
      <c r="AF255" s="409"/>
    </row>
    <row r="256" spans="1:32" x14ac:dyDescent="0.25">
      <c r="A256" s="343">
        <v>5831</v>
      </c>
      <c r="B256" s="335" t="s">
        <v>434</v>
      </c>
      <c r="C256" s="395">
        <v>4614656.33</v>
      </c>
      <c r="D256" s="395">
        <v>680740.1</v>
      </c>
      <c r="E256" s="395"/>
      <c r="F256" s="395"/>
      <c r="G256" s="385">
        <v>183290.87975699714</v>
      </c>
      <c r="H256" s="385">
        <v>30579.049999999992</v>
      </c>
      <c r="I256" s="385">
        <v>36150.956542647677</v>
      </c>
      <c r="J256" s="398"/>
      <c r="K256" s="398">
        <v>186928.65</v>
      </c>
      <c r="L256" s="398">
        <v>19910.3</v>
      </c>
      <c r="M256" s="398">
        <v>260124.35</v>
      </c>
      <c r="N256" s="336">
        <f t="shared" si="6"/>
        <v>6012380.6162996441</v>
      </c>
      <c r="O256" s="400">
        <v>18680.75</v>
      </c>
      <c r="P256" s="401">
        <v>176316.15</v>
      </c>
      <c r="Q256" s="401">
        <v>256060.7</v>
      </c>
      <c r="R256" s="402">
        <v>52794.77</v>
      </c>
      <c r="S256" s="402">
        <v>245583.95</v>
      </c>
      <c r="T256" s="337">
        <f t="shared" si="7"/>
        <v>6761816.9362996444</v>
      </c>
      <c r="U256" s="403">
        <v>73</v>
      </c>
      <c r="V256" s="406">
        <v>3174</v>
      </c>
      <c r="W256" s="409">
        <v>-131749.88</v>
      </c>
      <c r="X256" s="410"/>
      <c r="Y256" s="410">
        <v>-255.42</v>
      </c>
      <c r="Z256" s="416">
        <v>0.6</v>
      </c>
      <c r="AA256" s="409"/>
      <c r="AB256" s="409"/>
      <c r="AC256" s="409"/>
      <c r="AD256" s="409"/>
      <c r="AE256" s="409"/>
      <c r="AF256" s="409"/>
    </row>
    <row r="257" spans="1:32" x14ac:dyDescent="0.25">
      <c r="A257" s="343">
        <v>5841</v>
      </c>
      <c r="B257" s="335" t="s">
        <v>13</v>
      </c>
      <c r="C257" s="395">
        <v>5438018.9100000001</v>
      </c>
      <c r="D257" s="395">
        <v>1690630.41</v>
      </c>
      <c r="E257" s="395"/>
      <c r="F257" s="395"/>
      <c r="G257" s="385">
        <v>227198.08824884778</v>
      </c>
      <c r="H257" s="385">
        <v>112025.70000000003</v>
      </c>
      <c r="I257" s="385">
        <v>57339.825384289208</v>
      </c>
      <c r="J257" s="398">
        <v>877263.5</v>
      </c>
      <c r="K257" s="398">
        <v>288446.65999999997</v>
      </c>
      <c r="L257" s="398">
        <v>7931.3</v>
      </c>
      <c r="M257" s="398">
        <v>1521220.5</v>
      </c>
      <c r="N257" s="336">
        <f t="shared" si="6"/>
        <v>10220074.893633138</v>
      </c>
      <c r="O257" s="400">
        <v>5396.8</v>
      </c>
      <c r="P257" s="401">
        <v>399110.5</v>
      </c>
      <c r="Q257" s="401">
        <v>364905.85</v>
      </c>
      <c r="R257" s="402">
        <v>31709.94</v>
      </c>
      <c r="S257" s="402">
        <v>234119.35</v>
      </c>
      <c r="T257" s="337">
        <f t="shared" si="7"/>
        <v>11255317.333633138</v>
      </c>
      <c r="U257" s="403">
        <v>83</v>
      </c>
      <c r="V257" s="406">
        <v>3460</v>
      </c>
      <c r="W257" s="409">
        <v>-90835.23</v>
      </c>
      <c r="X257" s="410"/>
      <c r="Y257" s="410">
        <v>-981.09</v>
      </c>
      <c r="Z257" s="416">
        <v>1.5</v>
      </c>
      <c r="AA257" s="409"/>
      <c r="AB257" s="409"/>
      <c r="AC257" s="409"/>
      <c r="AD257" s="409"/>
      <c r="AE257" s="409"/>
      <c r="AF257" s="409"/>
    </row>
    <row r="258" spans="1:32" x14ac:dyDescent="0.25">
      <c r="A258" s="343">
        <v>5842</v>
      </c>
      <c r="B258" s="335" t="s">
        <v>14</v>
      </c>
      <c r="C258" s="395">
        <v>935677.04</v>
      </c>
      <c r="D258" s="395">
        <v>212156.38</v>
      </c>
      <c r="E258" s="395"/>
      <c r="F258" s="395"/>
      <c r="G258" s="385">
        <v>7126.2157594812325</v>
      </c>
      <c r="H258" s="385">
        <v>661.8</v>
      </c>
      <c r="I258" s="385">
        <v>1316.4273238147919</v>
      </c>
      <c r="J258" s="398">
        <v>32242.85</v>
      </c>
      <c r="K258" s="398">
        <v>20403.900000000001</v>
      </c>
      <c r="L258" s="398">
        <v>369.65</v>
      </c>
      <c r="M258" s="398">
        <v>137465.60000000001</v>
      </c>
      <c r="N258" s="336">
        <f t="shared" si="6"/>
        <v>1347419.863083296</v>
      </c>
      <c r="O258" s="400"/>
      <c r="P258" s="401">
        <v>27000</v>
      </c>
      <c r="Q258" s="401">
        <v>54790.15</v>
      </c>
      <c r="R258" s="402">
        <v>6051.37</v>
      </c>
      <c r="S258" s="402">
        <v>28913.25</v>
      </c>
      <c r="T258" s="337">
        <f t="shared" si="7"/>
        <v>1464174.633083296</v>
      </c>
      <c r="U258" s="403">
        <v>81</v>
      </c>
      <c r="V258" s="406">
        <v>548</v>
      </c>
      <c r="W258" s="409">
        <v>-3538.6</v>
      </c>
      <c r="X258" s="410"/>
      <c r="Y258" s="410">
        <v>-479.24</v>
      </c>
      <c r="Z258" s="416">
        <v>1.5</v>
      </c>
      <c r="AA258" s="409"/>
      <c r="AB258" s="409"/>
      <c r="AC258" s="409"/>
      <c r="AD258" s="409"/>
      <c r="AE258" s="409"/>
      <c r="AF258" s="409"/>
    </row>
    <row r="259" spans="1:32" x14ac:dyDescent="0.25">
      <c r="A259" s="343">
        <v>5843</v>
      </c>
      <c r="B259" s="335" t="s">
        <v>15</v>
      </c>
      <c r="C259" s="395">
        <v>2773846.6</v>
      </c>
      <c r="D259" s="395">
        <v>1778257.78</v>
      </c>
      <c r="E259" s="395"/>
      <c r="F259" s="395"/>
      <c r="G259" s="385">
        <v>184737.9017987152</v>
      </c>
      <c r="H259" s="385">
        <v>22215.200000000004</v>
      </c>
      <c r="I259" s="385">
        <v>34981.788220495364</v>
      </c>
      <c r="J259" s="398">
        <v>1352956.19</v>
      </c>
      <c r="K259" s="398">
        <v>101221.48</v>
      </c>
      <c r="L259" s="398">
        <v>17979.400000000001</v>
      </c>
      <c r="M259" s="398">
        <v>1147822.7</v>
      </c>
      <c r="N259" s="336">
        <f t="shared" si="6"/>
        <v>7414019.0400192114</v>
      </c>
      <c r="O259" s="400"/>
      <c r="P259" s="401">
        <v>216096.3</v>
      </c>
      <c r="Q259" s="401">
        <v>626154.1</v>
      </c>
      <c r="R259" s="402">
        <v>15843.49</v>
      </c>
      <c r="S259" s="402">
        <v>417944.25</v>
      </c>
      <c r="T259" s="337">
        <f t="shared" si="7"/>
        <v>8690057.180019211</v>
      </c>
      <c r="U259" s="403">
        <v>74</v>
      </c>
      <c r="V259" s="406">
        <v>882</v>
      </c>
      <c r="W259" s="409">
        <v>-77651.62</v>
      </c>
      <c r="X259" s="410"/>
      <c r="Y259" s="410">
        <v>-2621.62</v>
      </c>
      <c r="Z259" s="416">
        <v>1.5</v>
      </c>
      <c r="AA259" s="409"/>
      <c r="AB259" s="409"/>
      <c r="AC259" s="409"/>
      <c r="AD259" s="409"/>
      <c r="AE259" s="409"/>
      <c r="AF259" s="409"/>
    </row>
    <row r="260" spans="1:32" x14ac:dyDescent="0.25">
      <c r="A260" s="343">
        <v>5851</v>
      </c>
      <c r="B260" s="335" t="s">
        <v>16</v>
      </c>
      <c r="C260" s="395">
        <v>1124362.07</v>
      </c>
      <c r="D260" s="395">
        <v>221330.1</v>
      </c>
      <c r="E260" s="395"/>
      <c r="F260" s="395"/>
      <c r="G260" s="385">
        <v>49762.051217656037</v>
      </c>
      <c r="H260" s="385">
        <v>14430.800000000001</v>
      </c>
      <c r="I260" s="385">
        <v>10850.674413906043</v>
      </c>
      <c r="J260" s="398">
        <v>75789.25</v>
      </c>
      <c r="K260" s="398">
        <v>103031.22</v>
      </c>
      <c r="L260" s="398">
        <v>29049.3</v>
      </c>
      <c r="M260" s="398">
        <v>241740.85</v>
      </c>
      <c r="N260" s="336">
        <f t="shared" si="6"/>
        <v>1870346.3156315624</v>
      </c>
      <c r="O260" s="400">
        <v>45630.25</v>
      </c>
      <c r="P260" s="401">
        <v>173965.4</v>
      </c>
      <c r="Q260" s="401">
        <v>135740</v>
      </c>
      <c r="R260" s="402">
        <v>1348.36</v>
      </c>
      <c r="S260" s="402">
        <v>231824.3</v>
      </c>
      <c r="T260" s="337">
        <f t="shared" si="7"/>
        <v>2458854.625631562</v>
      </c>
      <c r="U260" s="403">
        <v>62</v>
      </c>
      <c r="V260" s="406">
        <v>434</v>
      </c>
      <c r="W260" s="409">
        <v>-61802.16</v>
      </c>
      <c r="X260" s="410"/>
      <c r="Y260" s="410">
        <v>-227.32</v>
      </c>
      <c r="Z260" s="416">
        <v>1.1000000000000001</v>
      </c>
      <c r="AA260" s="409"/>
      <c r="AB260" s="409"/>
      <c r="AC260" s="409"/>
      <c r="AD260" s="409"/>
      <c r="AE260" s="409"/>
      <c r="AF260" s="409"/>
    </row>
    <row r="261" spans="1:32" x14ac:dyDescent="0.25">
      <c r="A261" s="343">
        <v>5852</v>
      </c>
      <c r="B261" s="335" t="s">
        <v>17</v>
      </c>
      <c r="C261" s="395">
        <v>1555736.83</v>
      </c>
      <c r="D261" s="395">
        <v>530808.55000000005</v>
      </c>
      <c r="E261" s="395"/>
      <c r="F261" s="395"/>
      <c r="G261" s="385">
        <v>9648.3645607701546</v>
      </c>
      <c r="H261" s="385">
        <v>7957.0999999999995</v>
      </c>
      <c r="I261" s="385">
        <v>2975.8946709931429</v>
      </c>
      <c r="J261" s="398">
        <v>336538.95</v>
      </c>
      <c r="K261" s="398">
        <v>85066.9</v>
      </c>
      <c r="L261" s="398">
        <v>7929.85</v>
      </c>
      <c r="M261" s="398">
        <v>176607.5</v>
      </c>
      <c r="N261" s="336">
        <f t="shared" si="6"/>
        <v>2713269.9392317636</v>
      </c>
      <c r="O261" s="400">
        <v>10718.8</v>
      </c>
      <c r="P261" s="401"/>
      <c r="Q261" s="401">
        <v>90200</v>
      </c>
      <c r="R261" s="402"/>
      <c r="S261" s="402">
        <v>216384.5</v>
      </c>
      <c r="T261" s="337">
        <f t="shared" si="7"/>
        <v>3030573.2392317634</v>
      </c>
      <c r="U261" s="403">
        <v>65.5</v>
      </c>
      <c r="V261" s="406">
        <v>471</v>
      </c>
      <c r="W261" s="409">
        <v>-103747.23</v>
      </c>
      <c r="X261" s="410"/>
      <c r="Y261" s="410">
        <v>-9437.8799999999992</v>
      </c>
      <c r="Z261" s="416">
        <v>1</v>
      </c>
      <c r="AA261" s="409"/>
      <c r="AB261" s="409"/>
      <c r="AC261" s="409"/>
      <c r="AD261" s="409"/>
      <c r="AE261" s="409"/>
      <c r="AF261" s="409"/>
    </row>
    <row r="262" spans="1:32" x14ac:dyDescent="0.25">
      <c r="A262" s="343">
        <v>5853</v>
      </c>
      <c r="B262" s="335" t="s">
        <v>18</v>
      </c>
      <c r="C262" s="395">
        <v>1899413.67</v>
      </c>
      <c r="D262" s="395">
        <v>331796.27</v>
      </c>
      <c r="E262" s="395"/>
      <c r="F262" s="395"/>
      <c r="G262" s="385">
        <v>23054.613054132322</v>
      </c>
      <c r="H262" s="385">
        <v>13323.599999999999</v>
      </c>
      <c r="I262" s="385">
        <v>6149.0981958677612</v>
      </c>
      <c r="J262" s="398">
        <v>78834.009999999995</v>
      </c>
      <c r="K262" s="398">
        <v>22188.67</v>
      </c>
      <c r="L262" s="398">
        <v>17397.650000000001</v>
      </c>
      <c r="M262" s="398">
        <v>191231.2</v>
      </c>
      <c r="N262" s="336">
        <f t="shared" si="6"/>
        <v>2583388.78125</v>
      </c>
      <c r="O262" s="400">
        <v>64233</v>
      </c>
      <c r="P262" s="401">
        <v>6452.7</v>
      </c>
      <c r="Q262" s="401">
        <v>168975.3</v>
      </c>
      <c r="R262" s="402">
        <v>30029.69</v>
      </c>
      <c r="S262" s="402">
        <v>96499.5</v>
      </c>
      <c r="T262" s="337">
        <f t="shared" si="7"/>
        <v>2949578.9712499999</v>
      </c>
      <c r="U262" s="403">
        <v>71</v>
      </c>
      <c r="V262" s="406">
        <v>752</v>
      </c>
      <c r="W262" s="409">
        <v>-16761.8</v>
      </c>
      <c r="X262" s="410"/>
      <c r="Y262" s="410">
        <v>-120.24</v>
      </c>
      <c r="Z262" s="416">
        <v>1</v>
      </c>
      <c r="AA262" s="409"/>
      <c r="AB262" s="409"/>
      <c r="AC262" s="409"/>
      <c r="AD262" s="409"/>
      <c r="AE262" s="409"/>
      <c r="AF262" s="409"/>
    </row>
    <row r="263" spans="1:32" x14ac:dyDescent="0.25">
      <c r="A263" s="343">
        <v>5854</v>
      </c>
      <c r="B263" s="335" t="s">
        <v>19</v>
      </c>
      <c r="C263" s="395">
        <v>857982.09</v>
      </c>
      <c r="D263" s="395">
        <v>240151.04000000001</v>
      </c>
      <c r="E263" s="395"/>
      <c r="F263" s="395"/>
      <c r="G263" s="385">
        <v>11034.710717836548</v>
      </c>
      <c r="H263" s="385">
        <v>866.00000000000011</v>
      </c>
      <c r="I263" s="385">
        <v>2011.6061967007543</v>
      </c>
      <c r="J263" s="398"/>
      <c r="K263" s="398">
        <v>20694.900000000001</v>
      </c>
      <c r="L263" s="398">
        <v>1034.7</v>
      </c>
      <c r="M263" s="398">
        <v>106030.45</v>
      </c>
      <c r="N263" s="336">
        <f t="shared" ref="N263:N315" si="8">SUM(C263:M263)</f>
        <v>1239805.4969145372</v>
      </c>
      <c r="O263" s="400">
        <v>23521.05</v>
      </c>
      <c r="P263" s="401">
        <v>69033.7</v>
      </c>
      <c r="Q263" s="401">
        <v>92334.3</v>
      </c>
      <c r="R263" s="402">
        <v>14183.27</v>
      </c>
      <c r="S263" s="402">
        <v>49137.65</v>
      </c>
      <c r="T263" s="337">
        <f t="shared" ref="T263:T315" si="9">SUM(N263:S263)</f>
        <v>1488015.4669145371</v>
      </c>
      <c r="U263" s="403">
        <v>80</v>
      </c>
      <c r="V263" s="406">
        <v>391</v>
      </c>
      <c r="W263" s="409">
        <v>-3476.85</v>
      </c>
      <c r="X263" s="410"/>
      <c r="Y263" s="410">
        <v>-226.34</v>
      </c>
      <c r="Z263" s="416">
        <v>1.5</v>
      </c>
      <c r="AA263" s="409"/>
      <c r="AB263" s="409"/>
      <c r="AC263" s="409"/>
      <c r="AD263" s="409"/>
      <c r="AE263" s="409"/>
      <c r="AF263" s="409"/>
    </row>
    <row r="264" spans="1:32" x14ac:dyDescent="0.25">
      <c r="A264" s="343">
        <v>5855</v>
      </c>
      <c r="B264" s="335" t="s">
        <v>20</v>
      </c>
      <c r="C264" s="395">
        <v>2692476.9</v>
      </c>
      <c r="D264" s="395">
        <v>1025259.29</v>
      </c>
      <c r="E264" s="395"/>
      <c r="F264" s="395"/>
      <c r="G264" s="385">
        <v>-1354.2001113940146</v>
      </c>
      <c r="H264" s="385">
        <v>24845.250000000007</v>
      </c>
      <c r="I264" s="385">
        <v>3970.7495328074747</v>
      </c>
      <c r="J264" s="398">
        <v>412342.11</v>
      </c>
      <c r="K264" s="398">
        <v>-22101.73</v>
      </c>
      <c r="L264" s="398">
        <v>12192.5</v>
      </c>
      <c r="M264" s="398">
        <v>169000.25</v>
      </c>
      <c r="N264" s="336">
        <f t="shared" si="8"/>
        <v>4316631.1194214132</v>
      </c>
      <c r="O264" s="400">
        <v>1160.95</v>
      </c>
      <c r="P264" s="401">
        <v>0.69999999995343298</v>
      </c>
      <c r="Q264" s="401">
        <v>262229.34999999998</v>
      </c>
      <c r="R264" s="402">
        <v>11883.67</v>
      </c>
      <c r="S264" s="402">
        <v>330249.75</v>
      </c>
      <c r="T264" s="337">
        <f t="shared" si="9"/>
        <v>4922155.5394214131</v>
      </c>
      <c r="U264" s="403">
        <v>49</v>
      </c>
      <c r="V264" s="406">
        <v>635</v>
      </c>
      <c r="W264" s="409">
        <v>-17142.34</v>
      </c>
      <c r="X264" s="410"/>
      <c r="Y264" s="410">
        <v>-3260.56</v>
      </c>
      <c r="Z264" s="416">
        <v>0.5</v>
      </c>
      <c r="AA264" s="409"/>
      <c r="AB264" s="409"/>
      <c r="AC264" s="409"/>
      <c r="AD264" s="409"/>
      <c r="AE264" s="409"/>
      <c r="AF264" s="409"/>
    </row>
    <row r="265" spans="1:32" x14ac:dyDescent="0.25">
      <c r="A265" s="343">
        <v>5856</v>
      </c>
      <c r="B265" s="335" t="s">
        <v>21</v>
      </c>
      <c r="C265" s="395">
        <v>1829514.29</v>
      </c>
      <c r="D265" s="395">
        <v>323756.65000000002</v>
      </c>
      <c r="E265" s="395"/>
      <c r="F265" s="395"/>
      <c r="G265" s="385">
        <v>2562.2437891804038</v>
      </c>
      <c r="H265" s="385">
        <v>1654.1</v>
      </c>
      <c r="I265" s="385">
        <v>712.69888789280049</v>
      </c>
      <c r="J265" s="398">
        <v>172935.55</v>
      </c>
      <c r="K265" s="398">
        <v>37871.51</v>
      </c>
      <c r="L265" s="398">
        <v>2398.75</v>
      </c>
      <c r="M265" s="398">
        <v>229545.9</v>
      </c>
      <c r="N265" s="336">
        <f t="shared" si="8"/>
        <v>2600951.6926770727</v>
      </c>
      <c r="O265" s="400">
        <v>11104.25</v>
      </c>
      <c r="P265" s="401">
        <v>11350</v>
      </c>
      <c r="Q265" s="401">
        <v>242828.65</v>
      </c>
      <c r="R265" s="402">
        <v>-7.5</v>
      </c>
      <c r="S265" s="402">
        <v>102942.95</v>
      </c>
      <c r="T265" s="337">
        <f t="shared" si="9"/>
        <v>2969170.0426770728</v>
      </c>
      <c r="U265" s="403">
        <v>68</v>
      </c>
      <c r="V265" s="406">
        <v>726</v>
      </c>
      <c r="W265" s="409">
        <v>-4277.72</v>
      </c>
      <c r="X265" s="410"/>
      <c r="Y265" s="410">
        <v>-271.45999999999998</v>
      </c>
      <c r="Z265" s="416">
        <v>1.3</v>
      </c>
      <c r="AA265" s="409"/>
      <c r="AB265" s="409"/>
      <c r="AC265" s="409"/>
      <c r="AD265" s="409"/>
      <c r="AE265" s="409"/>
      <c r="AF265" s="409"/>
    </row>
    <row r="266" spans="1:32" x14ac:dyDescent="0.25">
      <c r="A266" s="343">
        <v>5857</v>
      </c>
      <c r="B266" s="335" t="s">
        <v>22</v>
      </c>
      <c r="C266" s="395">
        <v>4400389.53</v>
      </c>
      <c r="D266" s="395">
        <v>826594.69</v>
      </c>
      <c r="E266" s="395"/>
      <c r="F266" s="395"/>
      <c r="G266" s="385">
        <v>81577.974999999991</v>
      </c>
      <c r="H266" s="385">
        <v>5007.7000000000016</v>
      </c>
      <c r="I266" s="385">
        <v>14635.788105870486</v>
      </c>
      <c r="J266" s="398"/>
      <c r="K266" s="398">
        <v>150792.66</v>
      </c>
      <c r="L266" s="398">
        <v>1711.65</v>
      </c>
      <c r="M266" s="398">
        <v>384836.2</v>
      </c>
      <c r="N266" s="336">
        <f t="shared" si="8"/>
        <v>5865546.1931058718</v>
      </c>
      <c r="O266" s="400">
        <v>85330</v>
      </c>
      <c r="P266" s="401">
        <v>22099.200000000001</v>
      </c>
      <c r="Q266" s="401">
        <v>297434.90000000002</v>
      </c>
      <c r="R266" s="402">
        <v>4026.37</v>
      </c>
      <c r="S266" s="402">
        <v>39875.699999999997</v>
      </c>
      <c r="T266" s="337">
        <f t="shared" si="9"/>
        <v>6314312.3631058726</v>
      </c>
      <c r="U266" s="403">
        <v>66</v>
      </c>
      <c r="V266" s="406">
        <v>1324</v>
      </c>
      <c r="W266" s="409">
        <v>-19129.23</v>
      </c>
      <c r="X266" s="410"/>
      <c r="Y266" s="410">
        <v>-157.94</v>
      </c>
      <c r="Z266" s="416">
        <v>1</v>
      </c>
      <c r="AA266" s="409"/>
      <c r="AB266" s="409"/>
      <c r="AC266" s="409"/>
      <c r="AD266" s="409"/>
      <c r="AE266" s="409"/>
      <c r="AF266" s="409"/>
    </row>
    <row r="267" spans="1:32" x14ac:dyDescent="0.25">
      <c r="A267" s="343">
        <v>5858</v>
      </c>
      <c r="B267" s="335" t="s">
        <v>23</v>
      </c>
      <c r="C267" s="395">
        <v>1618144.73</v>
      </c>
      <c r="D267" s="395">
        <v>632674.27</v>
      </c>
      <c r="E267" s="395"/>
      <c r="F267" s="395"/>
      <c r="G267" s="385">
        <v>3747.6301308900534</v>
      </c>
      <c r="H267" s="385">
        <v>1940.7</v>
      </c>
      <c r="I267" s="385">
        <v>961.51233413547163</v>
      </c>
      <c r="J267" s="398">
        <v>180933.6</v>
      </c>
      <c r="K267" s="398">
        <v>78846.94</v>
      </c>
      <c r="L267" s="398">
        <v>1344.9</v>
      </c>
      <c r="M267" s="398">
        <v>219895.75</v>
      </c>
      <c r="N267" s="336">
        <f t="shared" si="8"/>
        <v>2738490.0324650253</v>
      </c>
      <c r="O267" s="400">
        <v>7432.25</v>
      </c>
      <c r="P267" s="401">
        <v>20428.5</v>
      </c>
      <c r="Q267" s="401">
        <v>124139.55</v>
      </c>
      <c r="R267" s="402">
        <v>1408.85</v>
      </c>
      <c r="S267" s="402">
        <v>33400.6</v>
      </c>
      <c r="T267" s="337">
        <f t="shared" si="9"/>
        <v>2925299.7824650253</v>
      </c>
      <c r="U267" s="403">
        <v>60</v>
      </c>
      <c r="V267" s="406">
        <v>613</v>
      </c>
      <c r="W267" s="409">
        <v>-38156.839999999997</v>
      </c>
      <c r="X267" s="410"/>
      <c r="Y267" s="410">
        <v>-1594.73</v>
      </c>
      <c r="Z267" s="416">
        <v>1.5</v>
      </c>
      <c r="AA267" s="409"/>
      <c r="AB267" s="409"/>
      <c r="AC267" s="409"/>
      <c r="AD267" s="409"/>
      <c r="AE267" s="409"/>
      <c r="AF267" s="409"/>
    </row>
    <row r="268" spans="1:32" x14ac:dyDescent="0.25">
      <c r="A268" s="343">
        <v>5859</v>
      </c>
      <c r="B268" s="335" t="s">
        <v>24</v>
      </c>
      <c r="C268" s="395">
        <v>7061837.54</v>
      </c>
      <c r="D268" s="395">
        <v>1303825.67</v>
      </c>
      <c r="E268" s="395"/>
      <c r="F268" s="395"/>
      <c r="G268" s="385">
        <v>40573.593600000007</v>
      </c>
      <c r="H268" s="385">
        <v>14752.849999999989</v>
      </c>
      <c r="I268" s="385">
        <v>9351.9638806418534</v>
      </c>
      <c r="J268" s="398">
        <v>291693.2</v>
      </c>
      <c r="K268" s="398">
        <v>62782.34</v>
      </c>
      <c r="L268" s="398">
        <v>20687.150000000001</v>
      </c>
      <c r="M268" s="398">
        <v>636858.65</v>
      </c>
      <c r="N268" s="336">
        <f t="shared" si="8"/>
        <v>9442362.9574806411</v>
      </c>
      <c r="O268" s="400">
        <v>71576.649999999994</v>
      </c>
      <c r="P268" s="401">
        <v>14913.2</v>
      </c>
      <c r="Q268" s="401">
        <v>288927.25</v>
      </c>
      <c r="R268" s="402">
        <v>21230.16</v>
      </c>
      <c r="S268" s="402">
        <v>172250.8</v>
      </c>
      <c r="T268" s="337">
        <f t="shared" si="9"/>
        <v>10011261.017480642</v>
      </c>
      <c r="U268" s="403">
        <v>65</v>
      </c>
      <c r="V268" s="406">
        <v>2651</v>
      </c>
      <c r="W268" s="409">
        <v>-88744.65</v>
      </c>
      <c r="X268" s="410"/>
      <c r="Y268" s="410">
        <v>-118597.85</v>
      </c>
      <c r="Z268" s="416">
        <v>1</v>
      </c>
      <c r="AA268" s="409"/>
      <c r="AB268" s="409"/>
      <c r="AC268" s="409"/>
      <c r="AD268" s="409"/>
      <c r="AE268" s="409"/>
      <c r="AF268" s="409"/>
    </row>
    <row r="269" spans="1:32" x14ac:dyDescent="0.25">
      <c r="A269" s="343">
        <v>5860</v>
      </c>
      <c r="B269" s="335" t="s">
        <v>25</v>
      </c>
      <c r="C269" s="395">
        <v>3955133.24</v>
      </c>
      <c r="D269" s="395">
        <v>1006929.85</v>
      </c>
      <c r="E269" s="395"/>
      <c r="F269" s="395"/>
      <c r="G269" s="385">
        <v>37344.340589005238</v>
      </c>
      <c r="H269" s="385">
        <v>6162.5499999999993</v>
      </c>
      <c r="I269" s="385">
        <v>7354.0759693329355</v>
      </c>
      <c r="J269" s="398">
        <v>244794.25</v>
      </c>
      <c r="K269" s="398">
        <v>14905.56</v>
      </c>
      <c r="L269" s="398">
        <v>28333.55</v>
      </c>
      <c r="M269" s="398">
        <v>626664.94999999995</v>
      </c>
      <c r="N269" s="336">
        <f t="shared" si="8"/>
        <v>5927622.3665583376</v>
      </c>
      <c r="O269" s="400">
        <v>18029.7</v>
      </c>
      <c r="P269" s="401">
        <v>375398.3</v>
      </c>
      <c r="Q269" s="401">
        <v>328301.45</v>
      </c>
      <c r="R269" s="402">
        <v>1591.89</v>
      </c>
      <c r="S269" s="402">
        <v>397746.65</v>
      </c>
      <c r="T269" s="337">
        <f t="shared" si="9"/>
        <v>7048690.3565583378</v>
      </c>
      <c r="U269" s="403">
        <v>60</v>
      </c>
      <c r="V269" s="406">
        <v>1542</v>
      </c>
      <c r="W269" s="409">
        <v>-64603.16</v>
      </c>
      <c r="X269" s="410"/>
      <c r="Y269" s="410">
        <v>-10354.84</v>
      </c>
      <c r="Z269" s="416">
        <v>1.3</v>
      </c>
      <c r="AA269" s="409"/>
      <c r="AB269" s="409"/>
      <c r="AC269" s="409"/>
      <c r="AD269" s="409"/>
      <c r="AE269" s="409"/>
      <c r="AF269" s="409"/>
    </row>
    <row r="270" spans="1:32" x14ac:dyDescent="0.25">
      <c r="A270" s="343">
        <v>5861</v>
      </c>
      <c r="B270" s="335" t="s">
        <v>26</v>
      </c>
      <c r="C270" s="395">
        <v>12573849.34</v>
      </c>
      <c r="D270" s="395">
        <v>2391720.2599999998</v>
      </c>
      <c r="E270" s="395"/>
      <c r="F270" s="395"/>
      <c r="G270" s="385">
        <v>12000000</v>
      </c>
      <c r="H270" s="385">
        <v>604000</v>
      </c>
      <c r="I270" s="385">
        <v>2130484.9016467403</v>
      </c>
      <c r="J270" s="398">
        <v>833727.05</v>
      </c>
      <c r="K270" s="398">
        <v>1772922.15</v>
      </c>
      <c r="L270" s="398">
        <v>307582.84999999998</v>
      </c>
      <c r="M270" s="398">
        <v>1751677.05</v>
      </c>
      <c r="N270" s="336">
        <f t="shared" si="8"/>
        <v>34365963.601646744</v>
      </c>
      <c r="O270" s="400">
        <v>813428.4</v>
      </c>
      <c r="P270" s="401">
        <v>496198.5</v>
      </c>
      <c r="Q270" s="401">
        <v>566715.9</v>
      </c>
      <c r="R270" s="402">
        <v>19576.349999999999</v>
      </c>
      <c r="S270" s="402">
        <v>450711.05</v>
      </c>
      <c r="T270" s="337">
        <f t="shared" si="9"/>
        <v>36712593.801646739</v>
      </c>
      <c r="U270" s="403">
        <v>59.5</v>
      </c>
      <c r="V270" s="406">
        <v>6246</v>
      </c>
      <c r="W270" s="409">
        <v>-192694.72</v>
      </c>
      <c r="X270" s="410"/>
      <c r="Y270" s="410">
        <v>-26213.64</v>
      </c>
      <c r="Z270" s="416">
        <v>1</v>
      </c>
      <c r="AA270" s="409"/>
      <c r="AB270" s="409"/>
      <c r="AC270" s="409"/>
      <c r="AD270" s="409"/>
      <c r="AE270" s="409"/>
      <c r="AF270" s="409"/>
    </row>
    <row r="271" spans="1:32" x14ac:dyDescent="0.25">
      <c r="A271" s="343">
        <v>5862</v>
      </c>
      <c r="B271" s="335" t="s">
        <v>27</v>
      </c>
      <c r="C271" s="395">
        <v>876454.98</v>
      </c>
      <c r="D271" s="395">
        <v>55922.57</v>
      </c>
      <c r="E271" s="395"/>
      <c r="F271" s="395"/>
      <c r="G271" s="385">
        <v>6131.8388681469833</v>
      </c>
      <c r="H271" s="385">
        <v>352.8000000000003</v>
      </c>
      <c r="I271" s="385">
        <v>1096.1143447491872</v>
      </c>
      <c r="J271" s="398"/>
      <c r="K271" s="398">
        <v>9167.89</v>
      </c>
      <c r="L271" s="398"/>
      <c r="M271" s="398">
        <v>49401.4</v>
      </c>
      <c r="N271" s="336">
        <f t="shared" si="8"/>
        <v>998527.59321289614</v>
      </c>
      <c r="O271" s="400">
        <v>5277.5</v>
      </c>
      <c r="P271" s="401">
        <v>22662.3</v>
      </c>
      <c r="Q271" s="401">
        <v>21719.5</v>
      </c>
      <c r="R271" s="402"/>
      <c r="S271" s="402">
        <v>1414.6</v>
      </c>
      <c r="T271" s="337">
        <f t="shared" si="9"/>
        <v>1049601.4932128962</v>
      </c>
      <c r="U271" s="403">
        <v>81</v>
      </c>
      <c r="V271" s="406">
        <v>246</v>
      </c>
      <c r="W271" s="409">
        <v>-7443.52</v>
      </c>
      <c r="X271" s="410"/>
      <c r="Y271" s="410">
        <v>-0.82</v>
      </c>
      <c r="Z271" s="416">
        <v>1</v>
      </c>
      <c r="AA271" s="409"/>
      <c r="AB271" s="409"/>
      <c r="AC271" s="409"/>
      <c r="AD271" s="409"/>
      <c r="AE271" s="409"/>
      <c r="AF271" s="409"/>
    </row>
    <row r="272" spans="1:32" x14ac:dyDescent="0.25">
      <c r="A272" s="343">
        <v>5863</v>
      </c>
      <c r="B272" s="335" t="s">
        <v>28</v>
      </c>
      <c r="C272" s="395">
        <v>1036277</v>
      </c>
      <c r="D272" s="395">
        <v>259335.09</v>
      </c>
      <c r="E272" s="395"/>
      <c r="F272" s="395"/>
      <c r="G272" s="385">
        <v>11117.524087591242</v>
      </c>
      <c r="H272" s="385">
        <v>6747</v>
      </c>
      <c r="I272" s="385">
        <v>3019.6841354901344</v>
      </c>
      <c r="J272" s="398">
        <v>85746.6</v>
      </c>
      <c r="K272" s="398">
        <v>17146.02</v>
      </c>
      <c r="L272" s="398">
        <v>2004.9</v>
      </c>
      <c r="M272" s="398">
        <v>79509</v>
      </c>
      <c r="N272" s="336">
        <f t="shared" si="8"/>
        <v>1500902.8182230815</v>
      </c>
      <c r="O272" s="400">
        <v>19069.650000000001</v>
      </c>
      <c r="P272" s="401"/>
      <c r="Q272" s="401">
        <v>32169.7</v>
      </c>
      <c r="R272" s="402">
        <v>2753.84</v>
      </c>
      <c r="S272" s="402">
        <v>23668.3</v>
      </c>
      <c r="T272" s="337">
        <f t="shared" si="9"/>
        <v>1578564.3082230815</v>
      </c>
      <c r="U272" s="403">
        <v>67</v>
      </c>
      <c r="V272" s="406">
        <v>358</v>
      </c>
      <c r="W272" s="409">
        <v>-2201.67</v>
      </c>
      <c r="X272" s="410"/>
      <c r="Y272" s="410">
        <v>-1014.39</v>
      </c>
      <c r="Z272" s="416">
        <v>1</v>
      </c>
      <c r="AA272" s="409"/>
      <c r="AB272" s="409"/>
      <c r="AC272" s="409"/>
      <c r="AD272" s="409"/>
      <c r="AE272" s="409"/>
      <c r="AF272" s="409"/>
    </row>
    <row r="273" spans="1:32" x14ac:dyDescent="0.25">
      <c r="A273" s="343">
        <v>5871</v>
      </c>
      <c r="B273" s="335" t="s">
        <v>29</v>
      </c>
      <c r="C273" s="395"/>
      <c r="D273" s="395">
        <v>3249751.58</v>
      </c>
      <c r="E273" s="395"/>
      <c r="F273" s="395"/>
      <c r="G273" s="385">
        <v>304.85866388308909</v>
      </c>
      <c r="H273" s="385">
        <v>5588.5</v>
      </c>
      <c r="I273" s="385">
        <v>996.16880779053702</v>
      </c>
      <c r="J273" s="398"/>
      <c r="K273" s="398">
        <v>37925.01</v>
      </c>
      <c r="L273" s="398">
        <v>2764.6</v>
      </c>
      <c r="M273" s="398">
        <v>250978.5</v>
      </c>
      <c r="N273" s="336">
        <f t="shared" si="8"/>
        <v>3548309.2174716736</v>
      </c>
      <c r="O273" s="400">
        <v>637841.15</v>
      </c>
      <c r="P273" s="401">
        <v>12161.85</v>
      </c>
      <c r="Q273" s="401">
        <v>69345.3</v>
      </c>
      <c r="R273" s="402">
        <v>16658.060000000001</v>
      </c>
      <c r="S273" s="402">
        <v>94301.8</v>
      </c>
      <c r="T273" s="337">
        <f t="shared" si="9"/>
        <v>4378617.3774716724</v>
      </c>
      <c r="U273" s="403">
        <v>77.31</v>
      </c>
      <c r="V273" s="406">
        <v>1481</v>
      </c>
      <c r="W273" s="409">
        <v>-111215.38</v>
      </c>
      <c r="X273" s="410"/>
      <c r="Y273" s="410">
        <v>-172.63</v>
      </c>
      <c r="Z273" s="416">
        <v>1</v>
      </c>
      <c r="AA273" s="409"/>
      <c r="AB273" s="409"/>
      <c r="AC273" s="409"/>
      <c r="AD273" s="409"/>
      <c r="AE273" s="409"/>
      <c r="AF273" s="409"/>
    </row>
    <row r="274" spans="1:32" x14ac:dyDescent="0.25">
      <c r="A274" s="343">
        <v>5872</v>
      </c>
      <c r="B274" s="335" t="s">
        <v>204</v>
      </c>
      <c r="C274" s="395">
        <v>7074253.6799999997</v>
      </c>
      <c r="D274" s="395">
        <v>959024.52</v>
      </c>
      <c r="E274" s="395"/>
      <c r="F274" s="395"/>
      <c r="G274" s="385">
        <v>1818121.4181544504</v>
      </c>
      <c r="H274" s="385">
        <v>321907.39999999997</v>
      </c>
      <c r="I274" s="385">
        <v>361734.29753784306</v>
      </c>
      <c r="J274" s="398"/>
      <c r="K274" s="398">
        <v>347418.71</v>
      </c>
      <c r="L274" s="398">
        <v>35154.800000000003</v>
      </c>
      <c r="M274" s="398">
        <v>499432.75</v>
      </c>
      <c r="N274" s="336">
        <f t="shared" si="8"/>
        <v>11417047.575692294</v>
      </c>
      <c r="O274" s="400">
        <v>6604922.2999999998</v>
      </c>
      <c r="P274" s="401">
        <v>507812.95</v>
      </c>
      <c r="Q274" s="401">
        <v>292160.55</v>
      </c>
      <c r="R274" s="402">
        <v>58176.24</v>
      </c>
      <c r="S274" s="402">
        <v>187702.95</v>
      </c>
      <c r="T274" s="337">
        <f t="shared" si="9"/>
        <v>19067822.565692291</v>
      </c>
      <c r="U274" s="403">
        <v>68.12</v>
      </c>
      <c r="V274" s="406">
        <v>4605</v>
      </c>
      <c r="W274" s="409">
        <v>-142424.26999999999</v>
      </c>
      <c r="X274" s="410"/>
      <c r="Y274" s="410">
        <v>-1355.09</v>
      </c>
      <c r="Z274" s="416">
        <v>0.7</v>
      </c>
      <c r="AA274" s="409"/>
      <c r="AB274" s="409"/>
      <c r="AC274" s="409"/>
      <c r="AD274" s="409"/>
      <c r="AE274" s="409"/>
      <c r="AF274" s="409"/>
    </row>
    <row r="275" spans="1:32" x14ac:dyDescent="0.25">
      <c r="A275" s="343">
        <v>5873</v>
      </c>
      <c r="B275" s="335" t="s">
        <v>205</v>
      </c>
      <c r="C275" s="395">
        <v>1408746.41</v>
      </c>
      <c r="D275" s="395">
        <v>391835.86</v>
      </c>
      <c r="E275" s="395"/>
      <c r="F275" s="395"/>
      <c r="G275" s="385">
        <v>119403.33956639566</v>
      </c>
      <c r="H275" s="385">
        <v>11981.4</v>
      </c>
      <c r="I275" s="385">
        <v>22208.283398365209</v>
      </c>
      <c r="J275" s="398"/>
      <c r="K275" s="398">
        <v>27735.759999999998</v>
      </c>
      <c r="L275" s="398"/>
      <c r="M275" s="398">
        <v>84136.6</v>
      </c>
      <c r="N275" s="336">
        <f t="shared" si="8"/>
        <v>2066047.6529647608</v>
      </c>
      <c r="O275" s="400">
        <v>740316.8</v>
      </c>
      <c r="P275" s="401">
        <v>5444.9</v>
      </c>
      <c r="Q275" s="401">
        <v>67569.5</v>
      </c>
      <c r="R275" s="402">
        <v>3346.62</v>
      </c>
      <c r="S275" s="402">
        <v>55900.25</v>
      </c>
      <c r="T275" s="337">
        <f t="shared" si="9"/>
        <v>2938625.7229647608</v>
      </c>
      <c r="U275" s="403">
        <v>70</v>
      </c>
      <c r="V275" s="406">
        <v>875</v>
      </c>
      <c r="W275" s="409">
        <v>-27723.65</v>
      </c>
      <c r="X275" s="410"/>
      <c r="Y275" s="410">
        <v>-187.1</v>
      </c>
      <c r="Z275" s="416">
        <v>0.6</v>
      </c>
      <c r="AA275" s="409"/>
      <c r="AB275" s="409"/>
      <c r="AC275" s="409"/>
      <c r="AD275" s="409"/>
      <c r="AE275" s="409"/>
      <c r="AF275" s="409"/>
    </row>
    <row r="276" spans="1:32" x14ac:dyDescent="0.25">
      <c r="A276" s="343">
        <v>5881</v>
      </c>
      <c r="B276" s="335" t="s">
        <v>206</v>
      </c>
      <c r="C276" s="395">
        <v>17132577.09</v>
      </c>
      <c r="D276" s="395">
        <v>3338607.04</v>
      </c>
      <c r="E276" s="395"/>
      <c r="F276" s="395"/>
      <c r="G276" s="385">
        <v>233153.90424570907</v>
      </c>
      <c r="H276" s="385">
        <v>-15635.399999999983</v>
      </c>
      <c r="I276" s="385">
        <v>36767.683999068984</v>
      </c>
      <c r="J276" s="398">
        <v>799779.98</v>
      </c>
      <c r="K276" s="398">
        <v>176657.79</v>
      </c>
      <c r="L276" s="398">
        <v>73316.649999999994</v>
      </c>
      <c r="M276" s="398">
        <v>1633917.7</v>
      </c>
      <c r="N276" s="336">
        <f t="shared" si="8"/>
        <v>23409142.438244775</v>
      </c>
      <c r="O276" s="400">
        <v>85521.8</v>
      </c>
      <c r="P276" s="401">
        <v>120481.9</v>
      </c>
      <c r="Q276" s="401">
        <v>713559.3</v>
      </c>
      <c r="R276" s="402">
        <v>67886.2</v>
      </c>
      <c r="S276" s="402">
        <v>511661.15</v>
      </c>
      <c r="T276" s="337">
        <f t="shared" si="9"/>
        <v>24908252.788244773</v>
      </c>
      <c r="U276" s="403">
        <v>70</v>
      </c>
      <c r="V276" s="406">
        <v>6175</v>
      </c>
      <c r="W276" s="409">
        <v>-352252.89</v>
      </c>
      <c r="X276" s="410"/>
      <c r="Y276" s="410">
        <v>-33453.49</v>
      </c>
      <c r="Z276" s="416">
        <v>1</v>
      </c>
      <c r="AA276" s="409"/>
      <c r="AB276" s="409"/>
      <c r="AC276" s="409"/>
      <c r="AD276" s="409"/>
      <c r="AE276" s="409"/>
      <c r="AF276" s="409"/>
    </row>
    <row r="277" spans="1:32" x14ac:dyDescent="0.25">
      <c r="A277" s="343">
        <v>5882</v>
      </c>
      <c r="B277" s="335" t="s">
        <v>207</v>
      </c>
      <c r="C277" s="395">
        <v>7583219.5</v>
      </c>
      <c r="D277" s="395">
        <v>1808892.97</v>
      </c>
      <c r="E277" s="395"/>
      <c r="F277" s="395"/>
      <c r="G277" s="385">
        <v>52355.265985604841</v>
      </c>
      <c r="H277" s="385">
        <v>23499.700000000023</v>
      </c>
      <c r="I277" s="385">
        <v>12821.950154495256</v>
      </c>
      <c r="J277" s="398">
        <v>511774.43</v>
      </c>
      <c r="K277" s="398">
        <v>127193.7</v>
      </c>
      <c r="L277" s="398">
        <v>46019.85</v>
      </c>
      <c r="M277" s="398">
        <v>866901.63</v>
      </c>
      <c r="N277" s="336">
        <f t="shared" si="8"/>
        <v>11032678.996140098</v>
      </c>
      <c r="O277" s="400">
        <v>16142.55</v>
      </c>
      <c r="P277" s="401">
        <v>766963</v>
      </c>
      <c r="Q277" s="401">
        <v>793085.75</v>
      </c>
      <c r="R277" s="402">
        <v>18957.77</v>
      </c>
      <c r="S277" s="402">
        <v>320430.15000000002</v>
      </c>
      <c r="T277" s="337">
        <f t="shared" si="9"/>
        <v>12948258.216140099</v>
      </c>
      <c r="U277" s="403">
        <v>68</v>
      </c>
      <c r="V277" s="406">
        <v>2941</v>
      </c>
      <c r="W277" s="409">
        <v>-111644.38</v>
      </c>
      <c r="X277" s="410"/>
      <c r="Y277" s="410">
        <v>-1095.95</v>
      </c>
      <c r="Z277" s="416">
        <v>1</v>
      </c>
      <c r="AA277" s="409"/>
      <c r="AB277" s="409"/>
      <c r="AC277" s="409"/>
      <c r="AD277" s="409"/>
      <c r="AE277" s="409"/>
      <c r="AF277" s="409"/>
    </row>
    <row r="278" spans="1:32" x14ac:dyDescent="0.25">
      <c r="A278" s="343">
        <v>5883</v>
      </c>
      <c r="B278" s="335" t="s">
        <v>208</v>
      </c>
      <c r="C278" s="395">
        <v>7743942.7300000004</v>
      </c>
      <c r="D278" s="395">
        <v>1640820.01</v>
      </c>
      <c r="E278" s="395"/>
      <c r="F278" s="395"/>
      <c r="G278" s="385">
        <v>89387.561160714278</v>
      </c>
      <c r="H278" s="385">
        <v>22184.750000000007</v>
      </c>
      <c r="I278" s="385">
        <v>18859.34023879196</v>
      </c>
      <c r="J278" s="398">
        <v>415601.75</v>
      </c>
      <c r="K278" s="398">
        <v>145077.20000000001</v>
      </c>
      <c r="L278" s="398">
        <v>8882.1</v>
      </c>
      <c r="M278" s="398">
        <v>655645.55000000005</v>
      </c>
      <c r="N278" s="336">
        <f t="shared" si="8"/>
        <v>10740400.991399506</v>
      </c>
      <c r="O278" s="400">
        <v>3596.1</v>
      </c>
      <c r="P278" s="401">
        <v>3009233.8</v>
      </c>
      <c r="Q278" s="401">
        <v>295900</v>
      </c>
      <c r="R278" s="402">
        <v>27487.69</v>
      </c>
      <c r="S278" s="402">
        <v>181089.75</v>
      </c>
      <c r="T278" s="337">
        <f t="shared" si="9"/>
        <v>14257708.331399506</v>
      </c>
      <c r="U278" s="403">
        <v>69</v>
      </c>
      <c r="V278" s="406">
        <v>2282</v>
      </c>
      <c r="W278" s="409">
        <v>-53773.81</v>
      </c>
      <c r="X278" s="410"/>
      <c r="Y278" s="410">
        <v>-3956.04</v>
      </c>
      <c r="Z278" s="416">
        <v>1</v>
      </c>
      <c r="AA278" s="409"/>
      <c r="AB278" s="409"/>
      <c r="AC278" s="409"/>
      <c r="AD278" s="409"/>
      <c r="AE278" s="409"/>
      <c r="AF278" s="409"/>
    </row>
    <row r="279" spans="1:32" x14ac:dyDescent="0.25">
      <c r="A279" s="343">
        <v>5884</v>
      </c>
      <c r="B279" s="335" t="s">
        <v>49</v>
      </c>
      <c r="C279" s="395">
        <v>5464628.25</v>
      </c>
      <c r="D279" s="395">
        <v>826958.68</v>
      </c>
      <c r="E279" s="395"/>
      <c r="F279" s="395"/>
      <c r="G279" s="385">
        <v>370842.94414715754</v>
      </c>
      <c r="H279" s="385">
        <v>45450.85000000002</v>
      </c>
      <c r="I279" s="385">
        <v>70367.156702614666</v>
      </c>
      <c r="J279" s="398">
        <v>21268.15</v>
      </c>
      <c r="K279" s="398">
        <v>186131.75</v>
      </c>
      <c r="L279" s="398">
        <v>294440.65000000002</v>
      </c>
      <c r="M279" s="398">
        <v>944834.5</v>
      </c>
      <c r="N279" s="336">
        <f t="shared" si="8"/>
        <v>8224922.9308497719</v>
      </c>
      <c r="O279" s="400">
        <v>423155.85</v>
      </c>
      <c r="P279" s="401">
        <v>42935.4</v>
      </c>
      <c r="Q279" s="401">
        <v>394216.65</v>
      </c>
      <c r="R279" s="402">
        <v>32080.6</v>
      </c>
      <c r="S279" s="402">
        <v>129340.95</v>
      </c>
      <c r="T279" s="337">
        <f t="shared" si="9"/>
        <v>9246652.3808497712</v>
      </c>
      <c r="U279" s="403">
        <v>66</v>
      </c>
      <c r="V279" s="406">
        <v>3386</v>
      </c>
      <c r="W279" s="409">
        <v>-592432.42000000004</v>
      </c>
      <c r="X279" s="410"/>
      <c r="Y279" s="410">
        <v>-885.85</v>
      </c>
      <c r="Z279" s="416">
        <v>1.2</v>
      </c>
      <c r="AA279" s="409"/>
      <c r="AB279" s="409"/>
      <c r="AC279" s="409"/>
      <c r="AD279" s="409"/>
      <c r="AE279" s="409"/>
      <c r="AF279" s="409"/>
    </row>
    <row r="280" spans="1:32" x14ac:dyDescent="0.25">
      <c r="A280" s="343">
        <v>5885</v>
      </c>
      <c r="B280" s="335" t="s">
        <v>50</v>
      </c>
      <c r="C280" s="395">
        <v>4638544.8</v>
      </c>
      <c r="D280" s="395">
        <v>782606.65</v>
      </c>
      <c r="E280" s="395"/>
      <c r="F280" s="395"/>
      <c r="G280" s="385">
        <v>22732.59389619069</v>
      </c>
      <c r="H280" s="385">
        <v>1358.8</v>
      </c>
      <c r="I280" s="385">
        <v>4072.2271465771737</v>
      </c>
      <c r="J280" s="398">
        <v>153733.65</v>
      </c>
      <c r="K280" s="398">
        <v>-40178.120000000003</v>
      </c>
      <c r="L280" s="398">
        <v>17671.05</v>
      </c>
      <c r="M280" s="398">
        <v>469386.25</v>
      </c>
      <c r="N280" s="336">
        <f t="shared" si="8"/>
        <v>6049927.9010427678</v>
      </c>
      <c r="O280" s="400">
        <v>1646.75</v>
      </c>
      <c r="P280" s="401">
        <v>258856.3</v>
      </c>
      <c r="Q280" s="401">
        <v>463666.6</v>
      </c>
      <c r="R280" s="402">
        <v>167.64</v>
      </c>
      <c r="S280" s="402">
        <v>539128.85</v>
      </c>
      <c r="T280" s="337">
        <f t="shared" si="9"/>
        <v>7313394.0410427665</v>
      </c>
      <c r="U280" s="403">
        <v>71</v>
      </c>
      <c r="V280" s="406">
        <v>1536</v>
      </c>
      <c r="W280" s="409">
        <v>-42324.17</v>
      </c>
      <c r="X280" s="410"/>
      <c r="Y280" s="410">
        <v>-1891.18</v>
      </c>
      <c r="Z280" s="416">
        <v>1.2</v>
      </c>
      <c r="AA280" s="409"/>
      <c r="AB280" s="409"/>
      <c r="AC280" s="409"/>
      <c r="AD280" s="409"/>
      <c r="AE280" s="409"/>
      <c r="AF280" s="409"/>
    </row>
    <row r="281" spans="1:32" x14ac:dyDescent="0.25">
      <c r="A281" s="343">
        <v>5886</v>
      </c>
      <c r="B281" s="335" t="s">
        <v>51</v>
      </c>
      <c r="C281" s="395">
        <v>43855377.75</v>
      </c>
      <c r="D281" s="395">
        <v>10767482.84</v>
      </c>
      <c r="E281" s="395"/>
      <c r="F281" s="395"/>
      <c r="G281" s="385">
        <v>2115480.8942060606</v>
      </c>
      <c r="H281" s="385">
        <v>896048.00000000314</v>
      </c>
      <c r="I281" s="385">
        <v>509046.08378125378</v>
      </c>
      <c r="J281" s="398">
        <v>4863620.41</v>
      </c>
      <c r="K281" s="398">
        <v>2686994.85</v>
      </c>
      <c r="L281" s="398">
        <v>717374.25</v>
      </c>
      <c r="M281" s="398">
        <v>10229383.92</v>
      </c>
      <c r="N281" s="336">
        <f t="shared" si="8"/>
        <v>76640808.997987315</v>
      </c>
      <c r="O281" s="400">
        <v>935037.7</v>
      </c>
      <c r="P281" s="401">
        <v>15820832</v>
      </c>
      <c r="Q281" s="401">
        <v>4783529.55</v>
      </c>
      <c r="R281" s="402">
        <v>1080246.4099999999</v>
      </c>
      <c r="S281" s="402">
        <v>2825487.05</v>
      </c>
      <c r="T281" s="337">
        <f t="shared" si="9"/>
        <v>102085941.70798731</v>
      </c>
      <c r="U281" s="403">
        <v>65</v>
      </c>
      <c r="V281" s="406">
        <v>26006</v>
      </c>
      <c r="W281" s="409">
        <v>-2886213.3</v>
      </c>
      <c r="X281" s="410"/>
      <c r="Y281" s="410">
        <v>-65399.87</v>
      </c>
      <c r="Z281" s="416">
        <v>1.5</v>
      </c>
      <c r="AA281" s="409"/>
      <c r="AB281" s="409"/>
      <c r="AC281" s="409"/>
      <c r="AD281" s="409"/>
      <c r="AE281" s="409"/>
      <c r="AF281" s="409"/>
    </row>
    <row r="282" spans="1:32" x14ac:dyDescent="0.25">
      <c r="A282" s="343">
        <v>5888</v>
      </c>
      <c r="B282" s="335" t="s">
        <v>518</v>
      </c>
      <c r="C282" s="395">
        <v>16287568.92</v>
      </c>
      <c r="D282" s="395">
        <v>3642292.12</v>
      </c>
      <c r="E282" s="395"/>
      <c r="F282" s="395"/>
      <c r="G282" s="385">
        <v>389002.52908762428</v>
      </c>
      <c r="H282" s="385">
        <v>72744.10000000002</v>
      </c>
      <c r="I282" s="385">
        <v>78050.16039808483</v>
      </c>
      <c r="J282" s="398">
        <v>336888.7</v>
      </c>
      <c r="K282" s="398">
        <v>14283.69</v>
      </c>
      <c r="L282" s="398">
        <v>57640.4</v>
      </c>
      <c r="M282" s="398">
        <v>1801855.95</v>
      </c>
      <c r="N282" s="336">
        <f t="shared" si="8"/>
        <v>22680326.569485709</v>
      </c>
      <c r="O282" s="400">
        <v>196987.95</v>
      </c>
      <c r="P282" s="401">
        <v>237679.4</v>
      </c>
      <c r="Q282" s="401">
        <v>1099647.05</v>
      </c>
      <c r="R282" s="402">
        <v>27224.98</v>
      </c>
      <c r="S282" s="402">
        <v>505743</v>
      </c>
      <c r="T282" s="337">
        <f t="shared" si="9"/>
        <v>24747608.949485708</v>
      </c>
      <c r="U282" s="403">
        <v>70</v>
      </c>
      <c r="V282" s="406">
        <v>5185</v>
      </c>
      <c r="W282" s="409">
        <v>-381108.72</v>
      </c>
      <c r="X282" s="410"/>
      <c r="Y282" s="410">
        <v>-24183.64</v>
      </c>
      <c r="Z282" s="416">
        <v>1.2</v>
      </c>
      <c r="AA282" s="409"/>
      <c r="AB282" s="409"/>
      <c r="AC282" s="409"/>
      <c r="AD282" s="409"/>
      <c r="AE282" s="409"/>
      <c r="AF282" s="409"/>
    </row>
    <row r="283" spans="1:32" x14ac:dyDescent="0.25">
      <c r="A283" s="343">
        <v>5889</v>
      </c>
      <c r="B283" s="335" t="s">
        <v>52</v>
      </c>
      <c r="C283" s="395">
        <v>24520186.879999999</v>
      </c>
      <c r="D283" s="395">
        <v>5122067.62</v>
      </c>
      <c r="E283" s="395"/>
      <c r="F283" s="395"/>
      <c r="G283" s="385">
        <v>1438978.9030757863</v>
      </c>
      <c r="H283" s="385">
        <v>4940331.55</v>
      </c>
      <c r="I283" s="385">
        <v>1078310.4255153276</v>
      </c>
      <c r="J283" s="398">
        <v>791446.15</v>
      </c>
      <c r="K283" s="398">
        <v>952948.39</v>
      </c>
      <c r="L283" s="398">
        <v>139674.95000000001</v>
      </c>
      <c r="M283" s="398">
        <v>2758736.7</v>
      </c>
      <c r="N283" s="336">
        <f t="shared" si="8"/>
        <v>41742681.56859111</v>
      </c>
      <c r="O283" s="400">
        <v>131618.15</v>
      </c>
      <c r="P283" s="401">
        <v>3865016.2</v>
      </c>
      <c r="Q283" s="401">
        <v>2168065.25</v>
      </c>
      <c r="R283" s="402">
        <v>59764.22</v>
      </c>
      <c r="S283" s="402">
        <v>2106081</v>
      </c>
      <c r="T283" s="337">
        <f t="shared" si="9"/>
        <v>50073226.388591111</v>
      </c>
      <c r="U283" s="403">
        <v>64</v>
      </c>
      <c r="V283" s="406">
        <v>11871</v>
      </c>
      <c r="W283" s="409">
        <v>-462818.63</v>
      </c>
      <c r="X283" s="410"/>
      <c r="Y283" s="410">
        <v>-19719.11</v>
      </c>
      <c r="Z283" s="416">
        <v>1.2</v>
      </c>
      <c r="AA283" s="409"/>
      <c r="AB283" s="409"/>
      <c r="AC283" s="409"/>
      <c r="AD283" s="409"/>
      <c r="AE283" s="409"/>
      <c r="AF283" s="409"/>
    </row>
    <row r="284" spans="1:32" x14ac:dyDescent="0.25">
      <c r="A284" s="343">
        <v>5890</v>
      </c>
      <c r="B284" s="335" t="s">
        <v>53</v>
      </c>
      <c r="C284" s="395">
        <v>39473588.939999998</v>
      </c>
      <c r="D284" s="395">
        <v>4706473.17</v>
      </c>
      <c r="E284" s="395"/>
      <c r="F284" s="395"/>
      <c r="G284" s="385">
        <v>3354247.952818376</v>
      </c>
      <c r="H284" s="385">
        <v>12579512.999999993</v>
      </c>
      <c r="I284" s="385">
        <v>2693322.5274855532</v>
      </c>
      <c r="J284" s="398">
        <v>440123.1</v>
      </c>
      <c r="K284" s="398">
        <v>3161407.99</v>
      </c>
      <c r="L284" s="398">
        <v>510911.1</v>
      </c>
      <c r="M284" s="398">
        <v>5127346.2</v>
      </c>
      <c r="N284" s="336">
        <f t="shared" si="8"/>
        <v>72046933.980303928</v>
      </c>
      <c r="O284" s="400">
        <v>845604.05</v>
      </c>
      <c r="P284" s="401">
        <v>3910879.1</v>
      </c>
      <c r="Q284" s="401">
        <v>1589173.55</v>
      </c>
      <c r="R284" s="402">
        <v>209552.93</v>
      </c>
      <c r="S284" s="402">
        <v>1617245.6</v>
      </c>
      <c r="T284" s="337">
        <f t="shared" si="9"/>
        <v>80219389.210303918</v>
      </c>
      <c r="U284" s="403">
        <v>76</v>
      </c>
      <c r="V284" s="406">
        <v>19904</v>
      </c>
      <c r="W284" s="409">
        <v>-1082533.03</v>
      </c>
      <c r="X284" s="410"/>
      <c r="Y284" s="410">
        <v>-39020.400000000001</v>
      </c>
      <c r="Z284" s="416">
        <v>1.5</v>
      </c>
      <c r="AA284" s="409"/>
      <c r="AB284" s="409"/>
      <c r="AC284" s="409"/>
      <c r="AD284" s="409"/>
      <c r="AE284" s="409"/>
      <c r="AF284" s="409"/>
    </row>
    <row r="285" spans="1:32" x14ac:dyDescent="0.25">
      <c r="A285" s="343">
        <v>5891</v>
      </c>
      <c r="B285" s="335" t="s">
        <v>54</v>
      </c>
      <c r="C285" s="395">
        <v>1732378.31</v>
      </c>
      <c r="D285" s="395">
        <v>425838.44</v>
      </c>
      <c r="E285" s="395"/>
      <c r="F285" s="395"/>
      <c r="G285" s="385">
        <v>72537.814658053016</v>
      </c>
      <c r="H285" s="385">
        <v>-31311.599999999959</v>
      </c>
      <c r="I285" s="385">
        <v>6968.5677468287504</v>
      </c>
      <c r="J285" s="398">
        <v>57848.4</v>
      </c>
      <c r="K285" s="398">
        <v>59177.27</v>
      </c>
      <c r="L285" s="398">
        <v>196.20000000000101</v>
      </c>
      <c r="M285" s="398">
        <v>418747.5</v>
      </c>
      <c r="N285" s="336">
        <f t="shared" si="8"/>
        <v>2742380.902404882</v>
      </c>
      <c r="O285" s="400"/>
      <c r="P285" s="401">
        <v>517592.4</v>
      </c>
      <c r="Q285" s="401">
        <v>225963.55</v>
      </c>
      <c r="R285" s="402">
        <v>-2162.46</v>
      </c>
      <c r="S285" s="402">
        <v>125038.45</v>
      </c>
      <c r="T285" s="337">
        <f t="shared" si="9"/>
        <v>3608812.842404882</v>
      </c>
      <c r="U285" s="403">
        <v>71</v>
      </c>
      <c r="V285" s="406">
        <v>884</v>
      </c>
      <c r="W285" s="409">
        <v>-35511.449999999997</v>
      </c>
      <c r="X285" s="410"/>
      <c r="Y285" s="410">
        <v>-648.39</v>
      </c>
      <c r="Z285" s="416">
        <v>1.5</v>
      </c>
      <c r="AA285" s="409"/>
      <c r="AB285" s="409"/>
      <c r="AC285" s="409"/>
      <c r="AD285" s="409"/>
      <c r="AE285" s="409"/>
      <c r="AF285" s="409"/>
    </row>
    <row r="286" spans="1:32" x14ac:dyDescent="0.25">
      <c r="A286" s="343">
        <v>5902</v>
      </c>
      <c r="B286" s="335" t="s">
        <v>55</v>
      </c>
      <c r="C286" s="395">
        <v>672671.91</v>
      </c>
      <c r="D286" s="395">
        <v>55099.05</v>
      </c>
      <c r="E286" s="395"/>
      <c r="F286" s="395"/>
      <c r="G286" s="385">
        <v>918.01210855949921</v>
      </c>
      <c r="H286" s="385">
        <v>196.90000000000009</v>
      </c>
      <c r="I286" s="385">
        <v>188.45631656213462</v>
      </c>
      <c r="J286" s="398"/>
      <c r="K286" s="398">
        <v>295.73</v>
      </c>
      <c r="L286" s="398"/>
      <c r="M286" s="398">
        <v>55676.9</v>
      </c>
      <c r="N286" s="336">
        <f t="shared" si="8"/>
        <v>785046.95842512173</v>
      </c>
      <c r="O286" s="400"/>
      <c r="P286" s="401"/>
      <c r="Q286" s="401">
        <v>1273.9000000000001</v>
      </c>
      <c r="R286" s="402">
        <v>1345.1</v>
      </c>
      <c r="S286" s="402">
        <v>0</v>
      </c>
      <c r="T286" s="337">
        <f t="shared" si="9"/>
        <v>787665.95842512173</v>
      </c>
      <c r="U286" s="403">
        <v>76</v>
      </c>
      <c r="V286" s="406">
        <v>384</v>
      </c>
      <c r="W286" s="409">
        <v>-2697.85</v>
      </c>
      <c r="X286" s="410"/>
      <c r="Y286" s="410">
        <v>0</v>
      </c>
      <c r="Z286" s="416">
        <v>1</v>
      </c>
      <c r="AA286" s="409"/>
      <c r="AB286" s="409"/>
      <c r="AC286" s="409"/>
      <c r="AD286" s="409"/>
      <c r="AE286" s="409"/>
      <c r="AF286" s="409"/>
    </row>
    <row r="287" spans="1:32" x14ac:dyDescent="0.25">
      <c r="A287" s="343">
        <v>5903</v>
      </c>
      <c r="B287" s="335" t="s">
        <v>56</v>
      </c>
      <c r="C287" s="395">
        <v>315634.32</v>
      </c>
      <c r="D287" s="395">
        <v>46871.14</v>
      </c>
      <c r="E287" s="395"/>
      <c r="F287" s="395"/>
      <c r="G287" s="385">
        <v>4003.3988865096353</v>
      </c>
      <c r="H287" s="385">
        <v>139.6</v>
      </c>
      <c r="I287" s="385">
        <v>700.30121987052019</v>
      </c>
      <c r="J287" s="398"/>
      <c r="K287" s="398">
        <v>2546.4</v>
      </c>
      <c r="L287" s="398"/>
      <c r="M287" s="398">
        <v>25648.75</v>
      </c>
      <c r="N287" s="336">
        <f t="shared" si="8"/>
        <v>395543.91010638018</v>
      </c>
      <c r="O287" s="400">
        <v>28151.35</v>
      </c>
      <c r="P287" s="401">
        <v>269.89999999999998</v>
      </c>
      <c r="Q287" s="401">
        <v>5115</v>
      </c>
      <c r="R287" s="402"/>
      <c r="S287" s="402">
        <v>9172.6</v>
      </c>
      <c r="T287" s="337">
        <f t="shared" si="9"/>
        <v>438252.76010638016</v>
      </c>
      <c r="U287" s="403">
        <v>74</v>
      </c>
      <c r="V287" s="406">
        <v>225</v>
      </c>
      <c r="W287" s="409">
        <v>-4088.83</v>
      </c>
      <c r="X287" s="410"/>
      <c r="Y287" s="410">
        <v>0</v>
      </c>
      <c r="Z287" s="416">
        <v>0.7</v>
      </c>
      <c r="AA287" s="409"/>
      <c r="AB287" s="409"/>
      <c r="AC287" s="409"/>
      <c r="AD287" s="409"/>
      <c r="AE287" s="409"/>
      <c r="AF287" s="409"/>
    </row>
    <row r="288" spans="1:32" x14ac:dyDescent="0.25">
      <c r="A288" s="343">
        <v>5904</v>
      </c>
      <c r="B288" s="335" t="s">
        <v>57</v>
      </c>
      <c r="C288" s="395">
        <v>1070859.02</v>
      </c>
      <c r="D288" s="395">
        <v>122841.77</v>
      </c>
      <c r="E288" s="395"/>
      <c r="F288" s="395"/>
      <c r="G288" s="385">
        <v>4802.5964046822746</v>
      </c>
      <c r="H288" s="385">
        <v>911.35000000000036</v>
      </c>
      <c r="I288" s="385">
        <v>965.84231545495561</v>
      </c>
      <c r="J288" s="398"/>
      <c r="K288" s="398">
        <v>20344.86</v>
      </c>
      <c r="L288" s="398">
        <v>3183.15</v>
      </c>
      <c r="M288" s="398">
        <v>94251</v>
      </c>
      <c r="N288" s="336">
        <f t="shared" si="8"/>
        <v>1318159.5887201375</v>
      </c>
      <c r="O288" s="400">
        <v>32246.1</v>
      </c>
      <c r="P288" s="401"/>
      <c r="Q288" s="401">
        <v>26418.6</v>
      </c>
      <c r="R288" s="402">
        <v>21306.61</v>
      </c>
      <c r="S288" s="402">
        <v>23246.1</v>
      </c>
      <c r="T288" s="337">
        <f t="shared" si="9"/>
        <v>1421376.9987201379</v>
      </c>
      <c r="U288" s="403">
        <v>66</v>
      </c>
      <c r="V288" s="406">
        <v>542</v>
      </c>
      <c r="W288" s="409">
        <v>-21124.51</v>
      </c>
      <c r="X288" s="410"/>
      <c r="Y288" s="410">
        <v>-4.78</v>
      </c>
      <c r="Z288" s="416">
        <v>1</v>
      </c>
      <c r="AA288" s="409"/>
      <c r="AB288" s="409"/>
      <c r="AC288" s="409"/>
      <c r="AD288" s="409"/>
      <c r="AE288" s="409"/>
      <c r="AF288" s="409"/>
    </row>
    <row r="289" spans="1:32" x14ac:dyDescent="0.25">
      <c r="A289" s="343">
        <v>5905</v>
      </c>
      <c r="B289" s="335" t="s">
        <v>58</v>
      </c>
      <c r="C289" s="395">
        <v>1314693.81</v>
      </c>
      <c r="D289" s="395">
        <v>115050.36</v>
      </c>
      <c r="E289" s="395"/>
      <c r="F289" s="395"/>
      <c r="G289" s="385">
        <v>86760.554689240395</v>
      </c>
      <c r="H289" s="385">
        <v>12345.000000000002</v>
      </c>
      <c r="I289" s="385">
        <v>16752.053945949854</v>
      </c>
      <c r="J289" s="398"/>
      <c r="K289" s="398">
        <v>10164.43</v>
      </c>
      <c r="L289" s="398">
        <v>2957.7</v>
      </c>
      <c r="M289" s="398">
        <v>96615</v>
      </c>
      <c r="N289" s="336">
        <f t="shared" si="8"/>
        <v>1655338.9086351902</v>
      </c>
      <c r="O289" s="400">
        <v>111915.7</v>
      </c>
      <c r="P289" s="401">
        <v>2639.8</v>
      </c>
      <c r="Q289" s="401">
        <v>5876</v>
      </c>
      <c r="R289" s="402"/>
      <c r="S289" s="402">
        <v>5468.75</v>
      </c>
      <c r="T289" s="337">
        <f t="shared" si="9"/>
        <v>1781239.1586351902</v>
      </c>
      <c r="U289" s="403">
        <v>71</v>
      </c>
      <c r="V289" s="406">
        <v>685</v>
      </c>
      <c r="W289" s="409">
        <v>-25301.32</v>
      </c>
      <c r="X289" s="410"/>
      <c r="Y289" s="410">
        <v>0</v>
      </c>
      <c r="Z289" s="416">
        <v>1</v>
      </c>
      <c r="AA289" s="409"/>
      <c r="AB289" s="409"/>
      <c r="AC289" s="409"/>
      <c r="AD289" s="409"/>
      <c r="AE289" s="409"/>
      <c r="AF289" s="409"/>
    </row>
    <row r="290" spans="1:32" x14ac:dyDescent="0.25">
      <c r="A290" s="343">
        <v>5907</v>
      </c>
      <c r="B290" s="335" t="s">
        <v>59</v>
      </c>
      <c r="C290" s="395">
        <v>513106.17</v>
      </c>
      <c r="D290" s="395">
        <v>73936.639999999999</v>
      </c>
      <c r="E290" s="395"/>
      <c r="F290" s="395">
        <v>1850</v>
      </c>
      <c r="G290" s="385">
        <v>764.0881059063139</v>
      </c>
      <c r="H290" s="385">
        <v>973.69999999999993</v>
      </c>
      <c r="I290" s="385">
        <v>293.74256758923264</v>
      </c>
      <c r="J290" s="398"/>
      <c r="K290" s="398">
        <v>12081.91</v>
      </c>
      <c r="L290" s="398">
        <v>490</v>
      </c>
      <c r="M290" s="398">
        <v>41444.699999999997</v>
      </c>
      <c r="N290" s="336">
        <f t="shared" si="8"/>
        <v>644940.95067349542</v>
      </c>
      <c r="O290" s="400">
        <v>9747.75</v>
      </c>
      <c r="P290" s="401"/>
      <c r="Q290" s="401">
        <v>2282.5</v>
      </c>
      <c r="R290" s="402"/>
      <c r="S290" s="402">
        <v>8478.15</v>
      </c>
      <c r="T290" s="337">
        <f t="shared" si="9"/>
        <v>665449.35067349544</v>
      </c>
      <c r="U290" s="403">
        <v>78</v>
      </c>
      <c r="V290" s="406">
        <v>308</v>
      </c>
      <c r="W290" s="409">
        <v>-15172.28</v>
      </c>
      <c r="X290" s="410"/>
      <c r="Y290" s="410">
        <v>-358.31</v>
      </c>
      <c r="Z290" s="416">
        <v>1</v>
      </c>
      <c r="AA290" s="409"/>
      <c r="AB290" s="409"/>
      <c r="AC290" s="409"/>
      <c r="AD290" s="409"/>
      <c r="AE290" s="409"/>
      <c r="AF290" s="409"/>
    </row>
    <row r="291" spans="1:32" x14ac:dyDescent="0.25">
      <c r="A291" s="343">
        <v>5908</v>
      </c>
      <c r="B291" s="335" t="s">
        <v>60</v>
      </c>
      <c r="C291" s="395">
        <v>183035.49</v>
      </c>
      <c r="D291" s="395">
        <v>57916.15</v>
      </c>
      <c r="E291" s="395"/>
      <c r="F291" s="395"/>
      <c r="G291" s="385">
        <v>-1318.7150734554236</v>
      </c>
      <c r="H291" s="385">
        <v>782.5</v>
      </c>
      <c r="I291" s="385">
        <v>0</v>
      </c>
      <c r="J291" s="398"/>
      <c r="K291" s="398">
        <v>5196.34</v>
      </c>
      <c r="L291" s="398">
        <v>49.5</v>
      </c>
      <c r="M291" s="398">
        <v>16348</v>
      </c>
      <c r="N291" s="336">
        <f t="shared" si="8"/>
        <v>262009.26492654457</v>
      </c>
      <c r="O291" s="400">
        <v>297.45</v>
      </c>
      <c r="P291" s="401">
        <v>64020</v>
      </c>
      <c r="Q291" s="401">
        <v>5349.35</v>
      </c>
      <c r="R291" s="402"/>
      <c r="S291" s="402">
        <v>10450.549999999999</v>
      </c>
      <c r="T291" s="337">
        <f t="shared" si="9"/>
        <v>342126.61492654454</v>
      </c>
      <c r="U291" s="403">
        <v>79</v>
      </c>
      <c r="V291" s="406">
        <v>141</v>
      </c>
      <c r="W291" s="409">
        <v>-13121.61</v>
      </c>
      <c r="X291" s="410"/>
      <c r="Y291" s="410">
        <v>0</v>
      </c>
      <c r="Z291" s="416">
        <v>1</v>
      </c>
      <c r="AA291" s="409"/>
      <c r="AB291" s="409"/>
      <c r="AC291" s="409"/>
      <c r="AD291" s="409"/>
      <c r="AE291" s="409"/>
      <c r="AF291" s="409"/>
    </row>
    <row r="292" spans="1:32" x14ac:dyDescent="0.25">
      <c r="A292" s="343">
        <v>5909</v>
      </c>
      <c r="B292" s="335" t="s">
        <v>61</v>
      </c>
      <c r="C292" s="395">
        <v>1851590.49</v>
      </c>
      <c r="D292" s="395">
        <v>246187.72</v>
      </c>
      <c r="E292" s="395"/>
      <c r="F292" s="395"/>
      <c r="G292" s="385">
        <v>27932.448780487804</v>
      </c>
      <c r="H292" s="385">
        <v>2560.1499999999996</v>
      </c>
      <c r="I292" s="385">
        <v>5154.238441272696</v>
      </c>
      <c r="J292" s="398"/>
      <c r="K292" s="398">
        <v>8407.77</v>
      </c>
      <c r="L292" s="398">
        <v>2699.95</v>
      </c>
      <c r="M292" s="398">
        <v>160685</v>
      </c>
      <c r="N292" s="336">
        <f t="shared" si="8"/>
        <v>2305217.7672217605</v>
      </c>
      <c r="O292" s="400">
        <v>8427.9</v>
      </c>
      <c r="P292" s="401">
        <v>14272.2</v>
      </c>
      <c r="Q292" s="401">
        <v>77892.800000000003</v>
      </c>
      <c r="R292" s="402"/>
      <c r="S292" s="402">
        <v>81354.05</v>
      </c>
      <c r="T292" s="337">
        <f t="shared" si="9"/>
        <v>2487164.7172217602</v>
      </c>
      <c r="U292" s="403">
        <v>70</v>
      </c>
      <c r="V292" s="406">
        <v>721</v>
      </c>
      <c r="W292" s="409">
        <v>-1835.08</v>
      </c>
      <c r="X292" s="410">
        <v>-37825.730000000003</v>
      </c>
      <c r="Y292" s="410">
        <v>-86.48</v>
      </c>
      <c r="Z292" s="416">
        <v>1</v>
      </c>
      <c r="AA292" s="409"/>
      <c r="AB292" s="409"/>
      <c r="AC292" s="409"/>
      <c r="AD292" s="409"/>
      <c r="AE292" s="409"/>
      <c r="AF292" s="409"/>
    </row>
    <row r="293" spans="1:32" x14ac:dyDescent="0.25">
      <c r="A293" s="343">
        <v>5910</v>
      </c>
      <c r="B293" s="335" t="s">
        <v>62</v>
      </c>
      <c r="C293" s="395">
        <v>657443.81000000006</v>
      </c>
      <c r="D293" s="395">
        <v>61010.05</v>
      </c>
      <c r="E293" s="395"/>
      <c r="F293" s="395">
        <v>2230</v>
      </c>
      <c r="G293" s="385">
        <v>3462.3389816864556</v>
      </c>
      <c r="H293" s="385">
        <v>106.80000000000001</v>
      </c>
      <c r="I293" s="385">
        <v>603.30027867040747</v>
      </c>
      <c r="J293" s="398"/>
      <c r="K293" s="398">
        <v>3558.14</v>
      </c>
      <c r="L293" s="398"/>
      <c r="M293" s="398">
        <v>49553.4</v>
      </c>
      <c r="N293" s="336">
        <f t="shared" si="8"/>
        <v>777967.83926035708</v>
      </c>
      <c r="O293" s="400"/>
      <c r="P293" s="401">
        <v>678.7</v>
      </c>
      <c r="Q293" s="401">
        <v>18729.349999999999</v>
      </c>
      <c r="R293" s="402"/>
      <c r="S293" s="402">
        <v>8458.35</v>
      </c>
      <c r="T293" s="337">
        <f t="shared" si="9"/>
        <v>805834.23926035699</v>
      </c>
      <c r="U293" s="403">
        <v>79</v>
      </c>
      <c r="V293" s="406">
        <v>385</v>
      </c>
      <c r="W293" s="409">
        <v>-18838.95</v>
      </c>
      <c r="X293" s="410"/>
      <c r="Y293" s="410">
        <v>-5.76</v>
      </c>
      <c r="Z293" s="416">
        <v>1</v>
      </c>
      <c r="AA293" s="409"/>
      <c r="AB293" s="409"/>
      <c r="AC293" s="409"/>
      <c r="AD293" s="409"/>
      <c r="AE293" s="409"/>
      <c r="AF293" s="409"/>
    </row>
    <row r="294" spans="1:32" x14ac:dyDescent="0.25">
      <c r="A294" s="343">
        <v>5911</v>
      </c>
      <c r="B294" s="335" t="s">
        <v>63</v>
      </c>
      <c r="C294" s="395">
        <v>473854.49</v>
      </c>
      <c r="D294" s="395">
        <v>22621.01</v>
      </c>
      <c r="E294" s="395"/>
      <c r="F294" s="395">
        <v>1521</v>
      </c>
      <c r="G294" s="385">
        <v>5233.8996176293003</v>
      </c>
      <c r="H294" s="385">
        <v>883.29999999999984</v>
      </c>
      <c r="I294" s="385">
        <v>1034.0051908694413</v>
      </c>
      <c r="J294" s="398"/>
      <c r="K294" s="398">
        <v>5595.91</v>
      </c>
      <c r="L294" s="398">
        <v>827</v>
      </c>
      <c r="M294" s="398">
        <v>29745.7</v>
      </c>
      <c r="N294" s="336">
        <f t="shared" si="8"/>
        <v>541316.31480849872</v>
      </c>
      <c r="O294" s="400">
        <v>2766.6</v>
      </c>
      <c r="P294" s="401">
        <v>617.70000000000005</v>
      </c>
      <c r="Q294" s="401">
        <v>30416.25</v>
      </c>
      <c r="R294" s="402"/>
      <c r="S294" s="402">
        <v>24878</v>
      </c>
      <c r="T294" s="337">
        <f t="shared" si="9"/>
        <v>599994.86480849865</v>
      </c>
      <c r="U294" s="403">
        <v>79</v>
      </c>
      <c r="V294" s="406">
        <v>243</v>
      </c>
      <c r="W294" s="409">
        <v>-1133.1400000000001</v>
      </c>
      <c r="X294" s="410"/>
      <c r="Y294" s="410">
        <v>-111.78</v>
      </c>
      <c r="Z294" s="416">
        <v>1</v>
      </c>
      <c r="AA294" s="409"/>
      <c r="AB294" s="409"/>
      <c r="AC294" s="409"/>
      <c r="AD294" s="409"/>
      <c r="AE294" s="409"/>
      <c r="AF294" s="409"/>
    </row>
    <row r="295" spans="1:32" x14ac:dyDescent="0.25">
      <c r="A295" s="343">
        <v>5912</v>
      </c>
      <c r="B295" s="335" t="s">
        <v>64</v>
      </c>
      <c r="C295" s="395">
        <v>222781.97</v>
      </c>
      <c r="D295" s="395">
        <v>13922.26</v>
      </c>
      <c r="E295" s="395"/>
      <c r="F295" s="395">
        <v>840</v>
      </c>
      <c r="G295" s="385">
        <v>270.84142267636076</v>
      </c>
      <c r="H295" s="385">
        <v>55.8</v>
      </c>
      <c r="I295" s="385">
        <v>55.212997402760848</v>
      </c>
      <c r="J295" s="398"/>
      <c r="K295" s="398">
        <v>-67.06</v>
      </c>
      <c r="L295" s="398"/>
      <c r="M295" s="398">
        <v>19143.099999999999</v>
      </c>
      <c r="N295" s="336">
        <f t="shared" si="8"/>
        <v>257002.12442007914</v>
      </c>
      <c r="O295" s="400"/>
      <c r="P295" s="401"/>
      <c r="Q295" s="401"/>
      <c r="R295" s="402"/>
      <c r="S295" s="402"/>
      <c r="T295" s="337">
        <f t="shared" si="9"/>
        <v>257002.12442007914</v>
      </c>
      <c r="U295" s="403">
        <v>81</v>
      </c>
      <c r="V295" s="406">
        <v>141</v>
      </c>
      <c r="W295" s="409">
        <v>-3192.89</v>
      </c>
      <c r="X295" s="410"/>
      <c r="Y295" s="410">
        <v>0</v>
      </c>
      <c r="Z295" s="416">
        <v>1</v>
      </c>
      <c r="AA295" s="409"/>
      <c r="AB295" s="409"/>
      <c r="AC295" s="409"/>
      <c r="AD295" s="409"/>
      <c r="AE295" s="409"/>
      <c r="AF295" s="409"/>
    </row>
    <row r="296" spans="1:32" x14ac:dyDescent="0.25">
      <c r="A296" s="343">
        <v>5913</v>
      </c>
      <c r="B296" s="335" t="s">
        <v>65</v>
      </c>
      <c r="C296" s="395">
        <v>1210440.3600000001</v>
      </c>
      <c r="D296" s="395">
        <v>121885.44</v>
      </c>
      <c r="E296" s="395"/>
      <c r="F296" s="395"/>
      <c r="G296" s="385">
        <v>18781.551573009336</v>
      </c>
      <c r="H296" s="385">
        <v>294.39999999999998</v>
      </c>
      <c r="I296" s="385">
        <v>3224.4546819137399</v>
      </c>
      <c r="J296" s="398"/>
      <c r="K296" s="398">
        <v>19235</v>
      </c>
      <c r="L296" s="398">
        <v>1314.65</v>
      </c>
      <c r="M296" s="398">
        <v>109909.4</v>
      </c>
      <c r="N296" s="336">
        <f t="shared" si="8"/>
        <v>1485085.2562549228</v>
      </c>
      <c r="O296" s="400">
        <v>22459.05</v>
      </c>
      <c r="P296" s="401">
        <v>31.2</v>
      </c>
      <c r="Q296" s="401">
        <v>95782.5</v>
      </c>
      <c r="R296" s="402">
        <v>2495.17</v>
      </c>
      <c r="S296" s="402">
        <v>51418.8</v>
      </c>
      <c r="T296" s="337">
        <f t="shared" si="9"/>
        <v>1657271.9762549228</v>
      </c>
      <c r="U296" s="403">
        <v>73</v>
      </c>
      <c r="V296" s="406">
        <v>809</v>
      </c>
      <c r="W296" s="409">
        <v>-19214.46</v>
      </c>
      <c r="X296" s="410"/>
      <c r="Y296" s="410">
        <v>-290.07</v>
      </c>
      <c r="Z296" s="416">
        <v>1</v>
      </c>
      <c r="AA296" s="409"/>
      <c r="AB296" s="409"/>
      <c r="AC296" s="409"/>
      <c r="AD296" s="409"/>
      <c r="AE296" s="409"/>
      <c r="AF296" s="409"/>
    </row>
    <row r="297" spans="1:32" x14ac:dyDescent="0.25">
      <c r="A297" s="343">
        <v>5914</v>
      </c>
      <c r="B297" s="335" t="s">
        <v>66</v>
      </c>
      <c r="C297" s="395">
        <v>531910.35</v>
      </c>
      <c r="D297" s="395">
        <v>91638.45</v>
      </c>
      <c r="E297" s="395"/>
      <c r="F297" s="395">
        <v>2200</v>
      </c>
      <c r="G297" s="385">
        <v>4440.8089640591952</v>
      </c>
      <c r="H297" s="385">
        <v>21094.5</v>
      </c>
      <c r="I297" s="385">
        <v>4316.2956368464593</v>
      </c>
      <c r="J297" s="398"/>
      <c r="K297" s="398">
        <v>8998.52</v>
      </c>
      <c r="L297" s="398">
        <v>3449.45</v>
      </c>
      <c r="M297" s="398">
        <v>50883.65</v>
      </c>
      <c r="N297" s="336">
        <f t="shared" si="8"/>
        <v>718932.0246009056</v>
      </c>
      <c r="O297" s="400">
        <v>12.4</v>
      </c>
      <c r="P297" s="401"/>
      <c r="Q297" s="401">
        <v>29230.1</v>
      </c>
      <c r="R297" s="402">
        <v>15616.31</v>
      </c>
      <c r="S297" s="402">
        <v>8560.2999999999993</v>
      </c>
      <c r="T297" s="337">
        <f t="shared" si="9"/>
        <v>772351.1346009057</v>
      </c>
      <c r="U297" s="403">
        <v>75</v>
      </c>
      <c r="V297" s="406">
        <v>360</v>
      </c>
      <c r="W297" s="409">
        <v>-23336.240000000002</v>
      </c>
      <c r="X297" s="410"/>
      <c r="Y297" s="410">
        <v>0</v>
      </c>
      <c r="Z297" s="416">
        <v>1</v>
      </c>
      <c r="AA297" s="409"/>
      <c r="AB297" s="409"/>
      <c r="AC297" s="409"/>
      <c r="AD297" s="409"/>
      <c r="AE297" s="409"/>
      <c r="AF297" s="409"/>
    </row>
    <row r="298" spans="1:32" x14ac:dyDescent="0.25">
      <c r="A298" s="343">
        <v>5919</v>
      </c>
      <c r="B298" s="335" t="s">
        <v>394</v>
      </c>
      <c r="C298" s="395">
        <v>963699.41</v>
      </c>
      <c r="D298" s="395">
        <v>129778</v>
      </c>
      <c r="E298" s="395"/>
      <c r="F298" s="395">
        <v>3640</v>
      </c>
      <c r="G298" s="385">
        <v>4031.7135194548259</v>
      </c>
      <c r="H298" s="385">
        <v>1404.8000000000002</v>
      </c>
      <c r="I298" s="385">
        <v>918.94715731489111</v>
      </c>
      <c r="J298" s="398"/>
      <c r="K298" s="398">
        <v>14754.13</v>
      </c>
      <c r="L298" s="398">
        <v>9931.7000000000007</v>
      </c>
      <c r="M298" s="398">
        <v>128011.9</v>
      </c>
      <c r="N298" s="336">
        <f t="shared" si="8"/>
        <v>1256170.6006767699</v>
      </c>
      <c r="O298" s="400">
        <v>8139.8</v>
      </c>
      <c r="P298" s="401">
        <v>106.5</v>
      </c>
      <c r="Q298" s="401">
        <v>80839.8</v>
      </c>
      <c r="R298" s="402">
        <v>12306.42</v>
      </c>
      <c r="S298" s="402">
        <v>128908.95</v>
      </c>
      <c r="T298" s="337">
        <f t="shared" si="9"/>
        <v>1486472.0706767698</v>
      </c>
      <c r="U298" s="403">
        <v>72</v>
      </c>
      <c r="V298" s="406">
        <v>611</v>
      </c>
      <c r="W298" s="409">
        <v>-15089</v>
      </c>
      <c r="X298" s="410"/>
      <c r="Y298" s="410">
        <v>-66.599999999999994</v>
      </c>
      <c r="Z298" s="416">
        <v>1.2</v>
      </c>
      <c r="AA298" s="409"/>
      <c r="AB298" s="409"/>
      <c r="AC298" s="409"/>
      <c r="AD298" s="409"/>
      <c r="AE298" s="409"/>
      <c r="AF298" s="409"/>
    </row>
    <row r="299" spans="1:32" x14ac:dyDescent="0.25">
      <c r="A299" s="343">
        <v>5921</v>
      </c>
      <c r="B299" s="335" t="s">
        <v>395</v>
      </c>
      <c r="C299" s="395">
        <v>309397.78999999998</v>
      </c>
      <c r="D299" s="395">
        <v>44977.73</v>
      </c>
      <c r="E299" s="395"/>
      <c r="F299" s="395">
        <v>1370</v>
      </c>
      <c r="G299" s="385">
        <v>28417.35586559245</v>
      </c>
      <c r="H299" s="385">
        <v>2862.4000000000005</v>
      </c>
      <c r="I299" s="385">
        <v>5287.2935257728323</v>
      </c>
      <c r="J299" s="398"/>
      <c r="K299" s="398">
        <v>13405.95</v>
      </c>
      <c r="L299" s="398"/>
      <c r="M299" s="398">
        <v>30414.05</v>
      </c>
      <c r="N299" s="336">
        <f t="shared" si="8"/>
        <v>436132.56939136522</v>
      </c>
      <c r="O299" s="400"/>
      <c r="P299" s="401">
        <v>5029</v>
      </c>
      <c r="Q299" s="401">
        <v>9240</v>
      </c>
      <c r="R299" s="402"/>
      <c r="S299" s="402">
        <v>7524.8</v>
      </c>
      <c r="T299" s="337">
        <f t="shared" si="9"/>
        <v>457926.36939136521</v>
      </c>
      <c r="U299" s="403">
        <v>81</v>
      </c>
      <c r="V299" s="406">
        <v>235</v>
      </c>
      <c r="W299" s="409">
        <v>-13098.52</v>
      </c>
      <c r="X299" s="410"/>
      <c r="Y299" s="410">
        <v>0</v>
      </c>
      <c r="Z299" s="416">
        <v>1</v>
      </c>
      <c r="AA299" s="409"/>
      <c r="AB299" s="409"/>
      <c r="AC299" s="409"/>
      <c r="AD299" s="409"/>
      <c r="AE299" s="409"/>
      <c r="AF299" s="409"/>
    </row>
    <row r="300" spans="1:32" x14ac:dyDescent="0.25">
      <c r="A300" s="343">
        <v>5922</v>
      </c>
      <c r="B300" s="335" t="s">
        <v>273</v>
      </c>
      <c r="C300" s="395">
        <v>1388400.45</v>
      </c>
      <c r="D300" s="395">
        <v>205817.22</v>
      </c>
      <c r="E300" s="395"/>
      <c r="F300" s="395"/>
      <c r="G300" s="385">
        <v>245422.57153939392</v>
      </c>
      <c r="H300" s="385">
        <v>21554.699999999975</v>
      </c>
      <c r="I300" s="385">
        <v>45127.820223541785</v>
      </c>
      <c r="J300" s="398"/>
      <c r="K300" s="398">
        <v>81972.91</v>
      </c>
      <c r="L300" s="398">
        <v>45778.95</v>
      </c>
      <c r="M300" s="398">
        <v>245218.45</v>
      </c>
      <c r="N300" s="336">
        <f t="shared" si="8"/>
        <v>2279293.0717629353</v>
      </c>
      <c r="O300" s="400">
        <v>185044.2</v>
      </c>
      <c r="P300" s="401">
        <v>303290.2</v>
      </c>
      <c r="Q300" s="401">
        <v>25315.3</v>
      </c>
      <c r="R300" s="402">
        <v>827.08</v>
      </c>
      <c r="S300" s="402">
        <v>44514.2</v>
      </c>
      <c r="T300" s="337">
        <f t="shared" si="9"/>
        <v>2838284.0517629357</v>
      </c>
      <c r="U300" s="403">
        <v>65</v>
      </c>
      <c r="V300" s="406">
        <v>738</v>
      </c>
      <c r="W300" s="409">
        <v>-28253.3</v>
      </c>
      <c r="X300" s="410"/>
      <c r="Y300" s="410">
        <v>-167.95</v>
      </c>
      <c r="Z300" s="416">
        <v>0.8</v>
      </c>
      <c r="AA300" s="409"/>
      <c r="AB300" s="409"/>
      <c r="AC300" s="409"/>
      <c r="AD300" s="409"/>
      <c r="AE300" s="409"/>
      <c r="AF300" s="409"/>
    </row>
    <row r="301" spans="1:32" x14ac:dyDescent="0.25">
      <c r="A301" s="343">
        <v>5923</v>
      </c>
      <c r="B301" s="335" t="s">
        <v>274</v>
      </c>
      <c r="C301" s="395">
        <v>332300.95</v>
      </c>
      <c r="D301" s="395">
        <v>34592.21</v>
      </c>
      <c r="E301" s="395"/>
      <c r="F301" s="395"/>
      <c r="G301" s="385">
        <v>-292.83788563568493</v>
      </c>
      <c r="H301" s="385">
        <v>2271.8000000000002</v>
      </c>
      <c r="I301" s="385">
        <v>334.50879923707424</v>
      </c>
      <c r="J301" s="398"/>
      <c r="K301" s="398">
        <v>28952.13</v>
      </c>
      <c r="L301" s="398"/>
      <c r="M301" s="398">
        <v>24160</v>
      </c>
      <c r="N301" s="336">
        <f t="shared" si="8"/>
        <v>422318.76091360144</v>
      </c>
      <c r="O301" s="400">
        <v>28113.25</v>
      </c>
      <c r="P301" s="401">
        <v>132.1</v>
      </c>
      <c r="Q301" s="401">
        <v>6140.75</v>
      </c>
      <c r="R301" s="402"/>
      <c r="S301" s="402">
        <v>10208.35</v>
      </c>
      <c r="T301" s="337">
        <f t="shared" si="9"/>
        <v>466913.21091360139</v>
      </c>
      <c r="U301" s="403">
        <v>81</v>
      </c>
      <c r="V301" s="406">
        <v>196</v>
      </c>
      <c r="W301" s="409">
        <v>-3483.09</v>
      </c>
      <c r="X301" s="410"/>
      <c r="Y301" s="410">
        <v>0</v>
      </c>
      <c r="Z301" s="416">
        <v>1</v>
      </c>
      <c r="AA301" s="409"/>
      <c r="AB301" s="409"/>
      <c r="AC301" s="409"/>
      <c r="AD301" s="409"/>
      <c r="AE301" s="409"/>
      <c r="AF301" s="409"/>
    </row>
    <row r="302" spans="1:32" x14ac:dyDescent="0.25">
      <c r="A302" s="343">
        <v>5924</v>
      </c>
      <c r="B302" s="335" t="s">
        <v>275</v>
      </c>
      <c r="C302" s="395">
        <v>611686.34</v>
      </c>
      <c r="D302" s="395">
        <v>71353.539999999994</v>
      </c>
      <c r="E302" s="395"/>
      <c r="F302" s="395"/>
      <c r="G302" s="385">
        <v>20583.902312633832</v>
      </c>
      <c r="H302" s="385">
        <v>813.29999999999984</v>
      </c>
      <c r="I302" s="385">
        <v>3616.821363420112</v>
      </c>
      <c r="J302" s="398"/>
      <c r="K302" s="398">
        <v>6746.31</v>
      </c>
      <c r="L302" s="398"/>
      <c r="M302" s="398">
        <v>49693.599999999999</v>
      </c>
      <c r="N302" s="336">
        <f t="shared" si="8"/>
        <v>764493.81367605401</v>
      </c>
      <c r="O302" s="400">
        <v>39972.85</v>
      </c>
      <c r="P302" s="401"/>
      <c r="Q302" s="401">
        <v>19738.7</v>
      </c>
      <c r="R302" s="402"/>
      <c r="S302" s="402"/>
      <c r="T302" s="337">
        <f t="shared" si="9"/>
        <v>824205.36367605394</v>
      </c>
      <c r="U302" s="403">
        <v>74</v>
      </c>
      <c r="V302" s="406">
        <v>332</v>
      </c>
      <c r="W302" s="409">
        <v>-4072.86</v>
      </c>
      <c r="X302" s="410"/>
      <c r="Y302" s="410">
        <v>-33.19</v>
      </c>
      <c r="Z302" s="416">
        <v>1</v>
      </c>
      <c r="AA302" s="409"/>
      <c r="AB302" s="409"/>
      <c r="AC302" s="409"/>
      <c r="AD302" s="409"/>
      <c r="AE302" s="409"/>
      <c r="AF302" s="409"/>
    </row>
    <row r="303" spans="1:32" x14ac:dyDescent="0.25">
      <c r="A303" s="343">
        <v>5925</v>
      </c>
      <c r="B303" s="335" t="s">
        <v>399</v>
      </c>
      <c r="C303" s="395">
        <v>355546.72</v>
      </c>
      <c r="D303" s="395">
        <v>53813.120000000003</v>
      </c>
      <c r="E303" s="395"/>
      <c r="F303" s="395">
        <v>1160</v>
      </c>
      <c r="G303" s="385">
        <v>2226.1375729523038</v>
      </c>
      <c r="H303" s="385">
        <v>-0.80000000000001137</v>
      </c>
      <c r="I303" s="385">
        <v>376.15424470343419</v>
      </c>
      <c r="J303" s="398"/>
      <c r="K303" s="398">
        <v>715.55</v>
      </c>
      <c r="L303" s="398"/>
      <c r="M303" s="398">
        <v>30671</v>
      </c>
      <c r="N303" s="336">
        <f t="shared" si="8"/>
        <v>444507.8818176557</v>
      </c>
      <c r="O303" s="400">
        <v>31078.1</v>
      </c>
      <c r="P303" s="401">
        <v>24832.55</v>
      </c>
      <c r="Q303" s="401">
        <v>121</v>
      </c>
      <c r="R303" s="402"/>
      <c r="S303" s="402">
        <v>6772.55</v>
      </c>
      <c r="T303" s="337">
        <f t="shared" si="9"/>
        <v>507312.08181765565</v>
      </c>
      <c r="U303" s="403">
        <v>79</v>
      </c>
      <c r="V303" s="406">
        <v>196</v>
      </c>
      <c r="W303" s="409">
        <v>-4939.18</v>
      </c>
      <c r="X303" s="410"/>
      <c r="Y303" s="410">
        <v>0</v>
      </c>
      <c r="Z303" s="416">
        <v>1</v>
      </c>
      <c r="AA303" s="409"/>
      <c r="AB303" s="409"/>
      <c r="AC303" s="409"/>
      <c r="AD303" s="409"/>
      <c r="AE303" s="409"/>
      <c r="AF303" s="409"/>
    </row>
    <row r="304" spans="1:32" x14ac:dyDescent="0.25">
      <c r="A304" s="343">
        <v>5926</v>
      </c>
      <c r="B304" s="335" t="s">
        <v>400</v>
      </c>
      <c r="C304" s="395">
        <v>1467247.09</v>
      </c>
      <c r="D304" s="395">
        <v>296122.62</v>
      </c>
      <c r="E304" s="395"/>
      <c r="F304" s="395"/>
      <c r="G304" s="385">
        <v>2009.1659612385808</v>
      </c>
      <c r="H304" s="385">
        <v>1267.1999999999998</v>
      </c>
      <c r="I304" s="385">
        <v>553.81214001016394</v>
      </c>
      <c r="J304" s="398"/>
      <c r="K304" s="398">
        <v>9575.85</v>
      </c>
      <c r="L304" s="398"/>
      <c r="M304" s="398">
        <v>120388.5</v>
      </c>
      <c r="N304" s="336">
        <f t="shared" si="8"/>
        <v>1897164.2381012486</v>
      </c>
      <c r="O304" s="400">
        <v>7673.7</v>
      </c>
      <c r="P304" s="401">
        <v>5601.9</v>
      </c>
      <c r="Q304" s="401">
        <v>21082.85</v>
      </c>
      <c r="R304" s="402"/>
      <c r="S304" s="402">
        <v>25344.85</v>
      </c>
      <c r="T304" s="337">
        <f t="shared" si="9"/>
        <v>1956867.5381012487</v>
      </c>
      <c r="U304" s="403">
        <v>71</v>
      </c>
      <c r="V304" s="406">
        <v>780</v>
      </c>
      <c r="W304" s="409">
        <v>-8745.7099999999991</v>
      </c>
      <c r="X304" s="410"/>
      <c r="Y304" s="410">
        <v>-189.99</v>
      </c>
      <c r="Z304" s="416">
        <v>1</v>
      </c>
      <c r="AA304" s="409"/>
      <c r="AB304" s="409"/>
      <c r="AC304" s="409"/>
      <c r="AD304" s="409"/>
      <c r="AE304" s="409"/>
      <c r="AF304" s="409"/>
    </row>
    <row r="305" spans="1:32" x14ac:dyDescent="0.25">
      <c r="A305" s="343">
        <v>5928</v>
      </c>
      <c r="B305" s="335" t="s">
        <v>401</v>
      </c>
      <c r="C305" s="395">
        <v>260597.15</v>
      </c>
      <c r="D305" s="395">
        <v>38901.64</v>
      </c>
      <c r="E305" s="395"/>
      <c r="F305" s="395"/>
      <c r="G305" s="385">
        <v>170.53590800607506</v>
      </c>
      <c r="H305" s="385">
        <v>115.3</v>
      </c>
      <c r="I305" s="385">
        <v>48.315541602303199</v>
      </c>
      <c r="J305" s="398"/>
      <c r="K305" s="398">
        <v>236.96</v>
      </c>
      <c r="L305" s="398"/>
      <c r="M305" s="398">
        <v>20913.400000000001</v>
      </c>
      <c r="N305" s="336">
        <f t="shared" si="8"/>
        <v>320983.30144960841</v>
      </c>
      <c r="O305" s="400">
        <v>3919.1</v>
      </c>
      <c r="P305" s="401">
        <v>21366.400000000001</v>
      </c>
      <c r="Q305" s="401">
        <v>880</v>
      </c>
      <c r="R305" s="402"/>
      <c r="S305" s="402">
        <v>3881.3</v>
      </c>
      <c r="T305" s="337">
        <f t="shared" si="9"/>
        <v>351030.1014496084</v>
      </c>
      <c r="U305" s="403">
        <v>73</v>
      </c>
      <c r="V305" s="406">
        <v>180</v>
      </c>
      <c r="W305" s="409">
        <v>-4699.6099999999997</v>
      </c>
      <c r="X305" s="410"/>
      <c r="Y305" s="410">
        <v>-0.33</v>
      </c>
      <c r="Z305" s="416">
        <v>1</v>
      </c>
      <c r="AA305" s="409"/>
      <c r="AB305" s="409"/>
      <c r="AC305" s="409"/>
      <c r="AD305" s="409"/>
      <c r="AE305" s="409"/>
      <c r="AF305" s="409"/>
    </row>
    <row r="306" spans="1:32" x14ac:dyDescent="0.25">
      <c r="A306" s="343">
        <v>5929</v>
      </c>
      <c r="B306" s="335" t="s">
        <v>402</v>
      </c>
      <c r="C306" s="395">
        <v>939461.06</v>
      </c>
      <c r="D306" s="395">
        <v>121380.19</v>
      </c>
      <c r="E306" s="395"/>
      <c r="F306" s="395"/>
      <c r="G306" s="385">
        <v>2559.1658536585355</v>
      </c>
      <c r="H306" s="385">
        <v>1308</v>
      </c>
      <c r="I306" s="385">
        <v>653.67648868480933</v>
      </c>
      <c r="J306" s="398">
        <v>41100.15</v>
      </c>
      <c r="K306" s="398">
        <v>10957.02</v>
      </c>
      <c r="L306" s="398"/>
      <c r="M306" s="398">
        <v>84295.05</v>
      </c>
      <c r="N306" s="336">
        <f t="shared" si="8"/>
        <v>1201714.3123423432</v>
      </c>
      <c r="O306" s="400">
        <v>3741.4</v>
      </c>
      <c r="P306" s="401">
        <v>11616</v>
      </c>
      <c r="Q306" s="401">
        <v>45410.8</v>
      </c>
      <c r="R306" s="402">
        <v>91.08</v>
      </c>
      <c r="S306" s="402">
        <v>38356.050000000003</v>
      </c>
      <c r="T306" s="337">
        <f t="shared" si="9"/>
        <v>1300929.6423423432</v>
      </c>
      <c r="U306" s="403">
        <v>70</v>
      </c>
      <c r="V306" s="406">
        <v>599</v>
      </c>
      <c r="W306" s="409">
        <v>-24213.96</v>
      </c>
      <c r="X306" s="410"/>
      <c r="Y306" s="410">
        <v>-15.07</v>
      </c>
      <c r="Z306" s="416">
        <v>0.8</v>
      </c>
      <c r="AA306" s="409"/>
      <c r="AB306" s="409"/>
      <c r="AC306" s="409"/>
      <c r="AD306" s="409"/>
      <c r="AE306" s="409"/>
      <c r="AF306" s="409"/>
    </row>
    <row r="307" spans="1:32" x14ac:dyDescent="0.25">
      <c r="A307" s="343">
        <v>5930</v>
      </c>
      <c r="B307" s="335" t="s">
        <v>403</v>
      </c>
      <c r="C307" s="395">
        <v>344418.59</v>
      </c>
      <c r="D307" s="395">
        <v>39905.56</v>
      </c>
      <c r="E307" s="395"/>
      <c r="F307" s="395"/>
      <c r="G307" s="385">
        <v>4320.8880193449104</v>
      </c>
      <c r="H307" s="385">
        <v>-27.1</v>
      </c>
      <c r="I307" s="385">
        <v>725.78947525277636</v>
      </c>
      <c r="J307" s="398"/>
      <c r="K307" s="398">
        <v>4218.47</v>
      </c>
      <c r="L307" s="398">
        <v>228.6</v>
      </c>
      <c r="M307" s="398">
        <v>27268.400000000001</v>
      </c>
      <c r="N307" s="336">
        <f t="shared" si="8"/>
        <v>421059.1974945977</v>
      </c>
      <c r="O307" s="400">
        <v>7063.35</v>
      </c>
      <c r="P307" s="401"/>
      <c r="Q307" s="401">
        <v>28454.1</v>
      </c>
      <c r="R307" s="402"/>
      <c r="S307" s="402">
        <v>28608.799999999999</v>
      </c>
      <c r="T307" s="337">
        <f t="shared" si="9"/>
        <v>485185.44749459764</v>
      </c>
      <c r="U307" s="403">
        <v>72</v>
      </c>
      <c r="V307" s="406">
        <v>213</v>
      </c>
      <c r="W307" s="409">
        <v>-214.06</v>
      </c>
      <c r="X307" s="410"/>
      <c r="Y307" s="410">
        <v>0</v>
      </c>
      <c r="Z307" s="416">
        <v>1</v>
      </c>
      <c r="AA307" s="409"/>
      <c r="AB307" s="409"/>
      <c r="AC307" s="409"/>
      <c r="AD307" s="409"/>
      <c r="AE307" s="409"/>
      <c r="AF307" s="409"/>
    </row>
    <row r="308" spans="1:32" x14ac:dyDescent="0.25">
      <c r="A308" s="343">
        <v>5931</v>
      </c>
      <c r="B308" s="335" t="s">
        <v>404</v>
      </c>
      <c r="C308" s="395">
        <v>800571.13</v>
      </c>
      <c r="D308" s="395">
        <v>96395.9</v>
      </c>
      <c r="E308" s="395"/>
      <c r="F308" s="395"/>
      <c r="G308" s="385">
        <v>502.19399577166973</v>
      </c>
      <c r="H308" s="385">
        <v>778.30000000000018</v>
      </c>
      <c r="I308" s="385">
        <v>216.44502734376766</v>
      </c>
      <c r="J308" s="398"/>
      <c r="K308" s="398">
        <v>11564.76</v>
      </c>
      <c r="L308" s="398">
        <v>781.4</v>
      </c>
      <c r="M308" s="398">
        <v>71864</v>
      </c>
      <c r="N308" s="336">
        <f t="shared" si="8"/>
        <v>982674.12902311562</v>
      </c>
      <c r="O308" s="400">
        <v>7347.25</v>
      </c>
      <c r="P308" s="401">
        <v>7000</v>
      </c>
      <c r="Q308" s="401">
        <v>29945.45</v>
      </c>
      <c r="R308" s="402">
        <v>-680.68</v>
      </c>
      <c r="S308" s="402">
        <v>27689.9</v>
      </c>
      <c r="T308" s="337">
        <f t="shared" si="9"/>
        <v>1053976.0490231155</v>
      </c>
      <c r="U308" s="403">
        <v>75</v>
      </c>
      <c r="V308" s="406">
        <v>480</v>
      </c>
      <c r="W308" s="409">
        <v>-9008.5300000000007</v>
      </c>
      <c r="X308" s="410"/>
      <c r="Y308" s="410">
        <v>-1.37</v>
      </c>
      <c r="Z308" s="416">
        <v>1</v>
      </c>
      <c r="AA308" s="409"/>
      <c r="AB308" s="409"/>
      <c r="AC308" s="409"/>
      <c r="AD308" s="409"/>
      <c r="AE308" s="409"/>
      <c r="AF308" s="409"/>
    </row>
    <row r="309" spans="1:32" x14ac:dyDescent="0.25">
      <c r="A309" s="343">
        <v>5932</v>
      </c>
      <c r="B309" s="335" t="s">
        <v>276</v>
      </c>
      <c r="C309" s="395">
        <v>447184.94</v>
      </c>
      <c r="D309" s="395">
        <v>49983.47</v>
      </c>
      <c r="E309" s="395"/>
      <c r="F309" s="395">
        <v>1180</v>
      </c>
      <c r="G309" s="385">
        <v>10.698556701031059</v>
      </c>
      <c r="H309" s="385">
        <v>349.5</v>
      </c>
      <c r="I309" s="385">
        <v>60.885241720604093</v>
      </c>
      <c r="J309" s="398">
        <v>30322.15</v>
      </c>
      <c r="K309" s="398">
        <v>3399.58</v>
      </c>
      <c r="L309" s="398">
        <v>131.5</v>
      </c>
      <c r="M309" s="398">
        <v>30170.7</v>
      </c>
      <c r="N309" s="336">
        <f t="shared" si="8"/>
        <v>562793.42379842151</v>
      </c>
      <c r="O309" s="400"/>
      <c r="P309" s="401">
        <v>767</v>
      </c>
      <c r="Q309" s="401">
        <v>4180</v>
      </c>
      <c r="R309" s="402"/>
      <c r="S309" s="402">
        <v>42340.800000000003</v>
      </c>
      <c r="T309" s="337">
        <f t="shared" si="9"/>
        <v>610081.22379842156</v>
      </c>
      <c r="U309" s="403">
        <v>77</v>
      </c>
      <c r="V309" s="406">
        <v>230</v>
      </c>
      <c r="W309" s="409">
        <v>-17045.36</v>
      </c>
      <c r="X309" s="410">
        <v>-30909.35</v>
      </c>
      <c r="Y309" s="410">
        <v>0</v>
      </c>
      <c r="Z309" s="416">
        <v>1</v>
      </c>
      <c r="AA309" s="409"/>
      <c r="AB309" s="409"/>
      <c r="AC309" s="409"/>
      <c r="AD309" s="409"/>
      <c r="AE309" s="409"/>
      <c r="AF309" s="409"/>
    </row>
    <row r="310" spans="1:32" x14ac:dyDescent="0.25">
      <c r="A310" s="343">
        <v>5933</v>
      </c>
      <c r="B310" s="335" t="s">
        <v>397</v>
      </c>
      <c r="C310" s="395">
        <v>1399894.53</v>
      </c>
      <c r="D310" s="395">
        <v>182244.71</v>
      </c>
      <c r="E310" s="395"/>
      <c r="F310" s="395"/>
      <c r="G310" s="385">
        <v>-15881.003473290828</v>
      </c>
      <c r="H310" s="385">
        <v>471.2000000000001</v>
      </c>
      <c r="I310" s="385">
        <v>0</v>
      </c>
      <c r="J310" s="398"/>
      <c r="K310" s="398">
        <v>31328.9</v>
      </c>
      <c r="L310" s="398">
        <v>2863.55</v>
      </c>
      <c r="M310" s="398">
        <v>115047.15</v>
      </c>
      <c r="N310" s="336">
        <f t="shared" si="8"/>
        <v>1715969.0365267089</v>
      </c>
      <c r="O310" s="400">
        <v>11134.15</v>
      </c>
      <c r="P310" s="401"/>
      <c r="Q310" s="401">
        <v>27236.15</v>
      </c>
      <c r="R310" s="402">
        <v>775.47</v>
      </c>
      <c r="S310" s="402">
        <v>59797.05</v>
      </c>
      <c r="T310" s="337">
        <f t="shared" si="9"/>
        <v>1814911.8565267087</v>
      </c>
      <c r="U310" s="403">
        <v>72</v>
      </c>
      <c r="V310" s="406">
        <v>708</v>
      </c>
      <c r="W310" s="409">
        <v>-32696.55</v>
      </c>
      <c r="X310" s="410">
        <v>-54537.4</v>
      </c>
      <c r="Y310" s="410">
        <v>-23.61</v>
      </c>
      <c r="Z310" s="416">
        <v>1</v>
      </c>
      <c r="AA310" s="409"/>
      <c r="AB310" s="409"/>
      <c r="AC310" s="409"/>
      <c r="AD310" s="409"/>
      <c r="AE310" s="409"/>
      <c r="AF310" s="409"/>
    </row>
    <row r="311" spans="1:32" x14ac:dyDescent="0.25">
      <c r="A311" s="343">
        <v>5934</v>
      </c>
      <c r="B311" s="335" t="s">
        <v>398</v>
      </c>
      <c r="C311" s="395">
        <v>490608.19</v>
      </c>
      <c r="D311" s="395">
        <v>47699.7</v>
      </c>
      <c r="E311" s="395"/>
      <c r="F311" s="395">
        <v>1360</v>
      </c>
      <c r="G311" s="385">
        <v>-1091.4721674381162</v>
      </c>
      <c r="H311" s="385">
        <v>59.70000000000001</v>
      </c>
      <c r="I311" s="385">
        <v>0</v>
      </c>
      <c r="J311" s="398"/>
      <c r="K311" s="398">
        <v>40631</v>
      </c>
      <c r="L311" s="398"/>
      <c r="M311" s="398">
        <v>27719.3</v>
      </c>
      <c r="N311" s="336">
        <f t="shared" si="8"/>
        <v>606986.41783256189</v>
      </c>
      <c r="O311" s="400">
        <v>4685</v>
      </c>
      <c r="P311" s="401"/>
      <c r="Q311" s="401"/>
      <c r="R311" s="402"/>
      <c r="S311" s="402"/>
      <c r="T311" s="337">
        <f t="shared" si="9"/>
        <v>611671.41783256189</v>
      </c>
      <c r="U311" s="403">
        <v>79</v>
      </c>
      <c r="V311" s="406">
        <v>232</v>
      </c>
      <c r="W311" s="409">
        <v>-1824.64</v>
      </c>
      <c r="X311" s="410">
        <v>-1455.55</v>
      </c>
      <c r="Y311" s="410">
        <v>0</v>
      </c>
      <c r="Z311" s="416">
        <v>1</v>
      </c>
      <c r="AA311" s="409"/>
      <c r="AB311" s="409"/>
      <c r="AC311" s="409"/>
      <c r="AD311" s="409"/>
      <c r="AE311" s="409"/>
      <c r="AF311" s="409"/>
    </row>
    <row r="312" spans="1:32" x14ac:dyDescent="0.25">
      <c r="A312" s="343">
        <v>5935</v>
      </c>
      <c r="B312" s="335" t="s">
        <v>299</v>
      </c>
      <c r="C312" s="395">
        <v>287908.19</v>
      </c>
      <c r="D312" s="395">
        <v>27931.84</v>
      </c>
      <c r="E312" s="395"/>
      <c r="F312" s="395"/>
      <c r="G312" s="385">
        <v>732.90137434554981</v>
      </c>
      <c r="H312" s="385">
        <v>38</v>
      </c>
      <c r="I312" s="385">
        <v>130.30734201062484</v>
      </c>
      <c r="J312" s="398"/>
      <c r="K312" s="398">
        <v>52.62</v>
      </c>
      <c r="L312" s="398"/>
      <c r="M312" s="398">
        <v>18717.95</v>
      </c>
      <c r="N312" s="336">
        <f t="shared" si="8"/>
        <v>335511.80871635617</v>
      </c>
      <c r="O312" s="400"/>
      <c r="P312" s="401"/>
      <c r="Q312" s="401">
        <v>3047</v>
      </c>
      <c r="R312" s="402"/>
      <c r="S312" s="402">
        <v>10429.1</v>
      </c>
      <c r="T312" s="337">
        <f t="shared" si="9"/>
        <v>348987.90871635615</v>
      </c>
      <c r="U312" s="403">
        <v>60</v>
      </c>
      <c r="V312" s="406">
        <v>100</v>
      </c>
      <c r="W312" s="409">
        <v>-28.89</v>
      </c>
      <c r="X312" s="410"/>
      <c r="Y312" s="410">
        <v>0</v>
      </c>
      <c r="Z312" s="416">
        <v>1</v>
      </c>
      <c r="AA312" s="409"/>
      <c r="AB312" s="409"/>
      <c r="AC312" s="409"/>
      <c r="AD312" s="409"/>
      <c r="AE312" s="409"/>
      <c r="AF312" s="409"/>
    </row>
    <row r="313" spans="1:32" x14ac:dyDescent="0.25">
      <c r="A313" s="343">
        <v>5937</v>
      </c>
      <c r="B313" s="335" t="s">
        <v>277</v>
      </c>
      <c r="C313" s="395">
        <v>146531.68</v>
      </c>
      <c r="D313" s="395">
        <v>10680.1</v>
      </c>
      <c r="E313" s="395"/>
      <c r="F313" s="395"/>
      <c r="G313" s="385">
        <v>2058.483197831978</v>
      </c>
      <c r="H313" s="385">
        <v>-13.800000000000004</v>
      </c>
      <c r="I313" s="385">
        <v>345.61779448046684</v>
      </c>
      <c r="J313" s="398"/>
      <c r="K313" s="398">
        <v>1368.2</v>
      </c>
      <c r="L313" s="398"/>
      <c r="M313" s="398">
        <v>10726.4</v>
      </c>
      <c r="N313" s="336">
        <f t="shared" si="8"/>
        <v>171696.68099231247</v>
      </c>
      <c r="O313" s="400"/>
      <c r="P313" s="401"/>
      <c r="Q313" s="401">
        <v>15928</v>
      </c>
      <c r="R313" s="402"/>
      <c r="S313" s="402">
        <v>2625</v>
      </c>
      <c r="T313" s="337">
        <f t="shared" si="9"/>
        <v>190249.68099231247</v>
      </c>
      <c r="U313" s="403">
        <v>70</v>
      </c>
      <c r="V313" s="406">
        <v>132</v>
      </c>
      <c r="W313" s="409">
        <v>-8099.53</v>
      </c>
      <c r="X313" s="410"/>
      <c r="Y313" s="410">
        <v>-2.34</v>
      </c>
      <c r="Z313" s="416">
        <v>0.7</v>
      </c>
      <c r="AA313" s="409"/>
      <c r="AB313" s="409"/>
      <c r="AC313" s="409"/>
      <c r="AD313" s="409"/>
      <c r="AE313" s="409"/>
      <c r="AF313" s="409"/>
    </row>
    <row r="314" spans="1:32" x14ac:dyDescent="0.25">
      <c r="A314" s="343">
        <v>5938</v>
      </c>
      <c r="B314" s="335" t="s">
        <v>150</v>
      </c>
      <c r="C314" s="395">
        <v>43730384.280000001</v>
      </c>
      <c r="D314" s="395">
        <v>4600362.18</v>
      </c>
      <c r="E314" s="395"/>
      <c r="F314" s="395"/>
      <c r="G314" s="385">
        <v>2597985.7664522822</v>
      </c>
      <c r="H314" s="385">
        <v>693192.54999999236</v>
      </c>
      <c r="I314" s="385">
        <v>556315.908586854</v>
      </c>
      <c r="J314" s="398">
        <v>30574.76</v>
      </c>
      <c r="K314" s="398">
        <v>1721060.09</v>
      </c>
      <c r="L314" s="398">
        <v>718416.2</v>
      </c>
      <c r="M314" s="398">
        <v>4046037.5</v>
      </c>
      <c r="N314" s="336">
        <f t="shared" si="8"/>
        <v>58694329.23503913</v>
      </c>
      <c r="O314" s="400">
        <v>3860310.2</v>
      </c>
      <c r="P314" s="401">
        <v>1472711.3</v>
      </c>
      <c r="Q314" s="401">
        <v>1608559.4</v>
      </c>
      <c r="R314" s="402">
        <v>317811.61</v>
      </c>
      <c r="S314" s="402">
        <v>1777261.3</v>
      </c>
      <c r="T314" s="337">
        <f t="shared" si="9"/>
        <v>67730983.045039132</v>
      </c>
      <c r="U314" s="403">
        <v>76.5</v>
      </c>
      <c r="V314" s="406">
        <v>30211</v>
      </c>
      <c r="W314" s="409">
        <v>-1649201.82</v>
      </c>
      <c r="X314" s="410"/>
      <c r="Y314" s="410">
        <v>-76269.289999999994</v>
      </c>
      <c r="Z314" s="416">
        <v>1</v>
      </c>
      <c r="AA314" s="409"/>
      <c r="AB314" s="409"/>
      <c r="AC314" s="409"/>
      <c r="AD314" s="409"/>
      <c r="AE314" s="409"/>
      <c r="AF314" s="409"/>
    </row>
    <row r="315" spans="1:32" x14ac:dyDescent="0.25">
      <c r="A315" s="343">
        <v>5939</v>
      </c>
      <c r="B315" s="335" t="s">
        <v>149</v>
      </c>
      <c r="C315" s="395">
        <v>5410587.2000000002</v>
      </c>
      <c r="D315" s="395">
        <v>577931.42000000004</v>
      </c>
      <c r="E315" s="395"/>
      <c r="F315" s="395"/>
      <c r="G315" s="385">
        <v>131639.82798871776</v>
      </c>
      <c r="H315" s="385">
        <v>3685.5999999999822</v>
      </c>
      <c r="I315" s="385">
        <v>22874.387586388952</v>
      </c>
      <c r="J315" s="398"/>
      <c r="K315" s="398">
        <v>89176.97</v>
      </c>
      <c r="L315" s="398">
        <v>34212.25</v>
      </c>
      <c r="M315" s="398">
        <v>524450</v>
      </c>
      <c r="N315" s="336">
        <f t="shared" si="8"/>
        <v>6794557.6555751059</v>
      </c>
      <c r="O315" s="400">
        <v>112928.8</v>
      </c>
      <c r="P315" s="401">
        <v>79474.7</v>
      </c>
      <c r="Q315" s="401">
        <v>400601.45</v>
      </c>
      <c r="R315" s="402">
        <v>14034.57</v>
      </c>
      <c r="S315" s="402">
        <v>152893.35</v>
      </c>
      <c r="T315" s="337">
        <f t="shared" si="9"/>
        <v>7554490.525575106</v>
      </c>
      <c r="U315" s="405">
        <v>73</v>
      </c>
      <c r="V315" s="408">
        <v>3426</v>
      </c>
      <c r="W315" s="409">
        <v>-92649.7</v>
      </c>
      <c r="X315" s="410"/>
      <c r="Y315" s="410">
        <v>-104.93</v>
      </c>
      <c r="Z315" s="417">
        <v>1</v>
      </c>
      <c r="AA315" s="409"/>
      <c r="AB315" s="409"/>
      <c r="AC315" s="409"/>
      <c r="AD315" s="409"/>
      <c r="AE315" s="409"/>
      <c r="AF315" s="409"/>
    </row>
    <row r="316" spans="1:32" x14ac:dyDescent="0.25">
      <c r="A316" s="345"/>
      <c r="B316" s="365">
        <f>COUNTA(B7:B315)</f>
        <v>309</v>
      </c>
      <c r="C316" s="394">
        <f>SUM(C7:C315)</f>
        <v>1645480561.5899994</v>
      </c>
      <c r="D316" s="394">
        <f t="shared" ref="D316:F316" si="10">SUM(D7:D315)</f>
        <v>302285280.90999985</v>
      </c>
      <c r="E316" s="394">
        <f t="shared" si="10"/>
        <v>0</v>
      </c>
      <c r="F316" s="394">
        <f t="shared" si="10"/>
        <v>113954.35</v>
      </c>
      <c r="G316" s="397">
        <f t="shared" ref="G316" si="11">SUM(G7:G315)</f>
        <v>135296833.48490795</v>
      </c>
      <c r="H316" s="397">
        <f t="shared" ref="H316" si="12">SUM(H7:H315)</f>
        <v>52701314.950000033</v>
      </c>
      <c r="I316" s="397">
        <f>SUM(I7:I315)</f>
        <v>31799999.999999996</v>
      </c>
      <c r="J316" s="397">
        <f t="shared" ref="J316" si="13">SUM(J7:J315)</f>
        <v>43162155.140000001</v>
      </c>
      <c r="K316" s="397">
        <f t="shared" ref="K316" si="14">SUM(K7:K315)</f>
        <v>75886241.049999952</v>
      </c>
      <c r="L316" s="397">
        <f t="shared" ref="L316" si="15">SUM(L7:L315)</f>
        <v>18556976.099999998</v>
      </c>
      <c r="M316" s="397">
        <f t="shared" ref="M316" si="16">SUM(M7:M315)</f>
        <v>197202307.48999989</v>
      </c>
      <c r="N316" s="399">
        <f t="shared" ref="N316" si="17">SUM(N7:N315)</f>
        <v>2502485625.0649076</v>
      </c>
      <c r="O316" s="19">
        <f t="shared" ref="O316:T316" si="18">SUM(O7:O315)</f>
        <v>73714387.099999964</v>
      </c>
      <c r="P316" s="19">
        <f t="shared" si="18"/>
        <v>98104740.300000027</v>
      </c>
      <c r="Q316" s="19">
        <f t="shared" si="18"/>
        <v>95912664.59999992</v>
      </c>
      <c r="R316" s="19">
        <f t="shared" si="18"/>
        <v>9042385.9799999986</v>
      </c>
      <c r="S316" s="19">
        <f t="shared" si="18"/>
        <v>66901784.589999974</v>
      </c>
      <c r="T316" s="348">
        <f t="shared" si="18"/>
        <v>2846161587.6349096</v>
      </c>
      <c r="U316" s="88"/>
      <c r="V316" s="18">
        <f>SUM(V7:V315)</f>
        <v>800162</v>
      </c>
      <c r="W316" s="19">
        <f t="shared" ref="W316:Y316" si="19">SUM(W7:W315)</f>
        <v>-42897388.010000028</v>
      </c>
      <c r="X316" s="19">
        <f t="shared" si="19"/>
        <v>-1122458.08</v>
      </c>
      <c r="Y316" s="19">
        <f t="shared" si="19"/>
        <v>-2162451.5100000002</v>
      </c>
      <c r="Z316" s="19"/>
      <c r="AB316" s="409"/>
      <c r="AC316" s="409"/>
      <c r="AD316" s="409"/>
      <c r="AE316" s="409"/>
      <c r="AF316" s="409"/>
    </row>
    <row r="317" spans="1:32" x14ac:dyDescent="0.25">
      <c r="A317" s="342" t="s">
        <v>562</v>
      </c>
      <c r="I317" s="398"/>
      <c r="J317" s="376"/>
      <c r="K317" s="376"/>
      <c r="L317" s="376"/>
      <c r="M317" s="376"/>
      <c r="N317" s="376"/>
      <c r="O317" s="376"/>
      <c r="P317" s="376"/>
      <c r="Q317" s="376"/>
      <c r="R317" s="376"/>
      <c r="S317" s="376"/>
      <c r="AD317" s="409"/>
      <c r="AE317" s="409"/>
      <c r="AF317" s="409"/>
    </row>
    <row r="318" spans="1:32" s="339" customFormat="1" x14ac:dyDescent="0.25">
      <c r="A318" s="447" t="s">
        <v>566</v>
      </c>
      <c r="C318" s="448"/>
      <c r="D318" s="448"/>
      <c r="E318" s="448"/>
      <c r="F318" s="448"/>
      <c r="G318" s="448"/>
      <c r="H318" s="448"/>
      <c r="I318" s="398"/>
      <c r="J318" s="448"/>
      <c r="K318" s="448"/>
      <c r="L318" s="448"/>
      <c r="M318" s="409"/>
      <c r="N318" s="409"/>
      <c r="O318" s="409"/>
      <c r="P318" s="409"/>
      <c r="Q318" s="409"/>
      <c r="R318" s="409"/>
      <c r="S318" s="409"/>
      <c r="T318" s="409"/>
      <c r="U318" s="409"/>
      <c r="V318" s="409"/>
      <c r="W318" s="409"/>
      <c r="X318" s="409"/>
      <c r="Y318" s="409"/>
      <c r="Z318" s="409"/>
      <c r="AA318" s="409"/>
      <c r="AB318" s="409"/>
      <c r="AC318" s="409"/>
      <c r="AD318" s="409"/>
      <c r="AE318" s="409"/>
      <c r="AF318" s="409"/>
    </row>
  </sheetData>
  <protectedRanges>
    <protectedRange sqref="A7:B315 O7:S315 U7:Y315 C316:H316 J316:N316" name="Plage1"/>
    <protectedRange sqref="E8:F170 J8:M170 J172:M315 E7:M7 G8:H315 C7:D170 C172:F315 I8:I318" name="Plage1_1"/>
    <protectedRange sqref="J171:M171 C171:F171" name="Plage1_3"/>
  </protectedRanges>
  <mergeCells count="26">
    <mergeCell ref="Z4:Z6"/>
    <mergeCell ref="V4:V5"/>
    <mergeCell ref="W4:W6"/>
    <mergeCell ref="Y4:Y6"/>
    <mergeCell ref="X4:X6"/>
    <mergeCell ref="U4:U5"/>
    <mergeCell ref="A4:A6"/>
    <mergeCell ref="B4:B6"/>
    <mergeCell ref="R4:R6"/>
    <mergeCell ref="M4:M5"/>
    <mergeCell ref="G4:G5"/>
    <mergeCell ref="H4:H5"/>
    <mergeCell ref="J4:J5"/>
    <mergeCell ref="K4:K5"/>
    <mergeCell ref="C4:C5"/>
    <mergeCell ref="D4:D5"/>
    <mergeCell ref="E4:E5"/>
    <mergeCell ref="O4:O5"/>
    <mergeCell ref="T4:T5"/>
    <mergeCell ref="P4:P5"/>
    <mergeCell ref="F4:F5"/>
    <mergeCell ref="L4:L5"/>
    <mergeCell ref="N4:N5"/>
    <mergeCell ref="Q4:Q5"/>
    <mergeCell ref="S4:S5"/>
    <mergeCell ref="I4:I5"/>
  </mergeCells>
  <phoneticPr fontId="19" type="noConversion"/>
  <pageMargins left="0.19685039370078741" right="0.39370078740157483"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rgb="FF00B050"/>
  </sheetPr>
  <dimension ref="A1:AA325"/>
  <sheetViews>
    <sheetView zoomScaleNormal="100" workbookViewId="0">
      <pane ySplit="6" topLeftCell="A7" activePane="bottomLeft" state="frozen"/>
      <selection pane="bottomLeft" activeCell="B3" sqref="B3"/>
    </sheetView>
  </sheetViews>
  <sheetFormatPr baseColWidth="10" defaultColWidth="8.625" defaultRowHeight="15" x14ac:dyDescent="0.25"/>
  <cols>
    <col min="1" max="1" width="7.625" style="4" customWidth="1"/>
    <col min="2" max="2" width="20.375" style="13" bestFit="1" customWidth="1"/>
    <col min="3" max="3" width="15.875" style="13" bestFit="1" customWidth="1"/>
    <col min="4" max="4" width="12.125" style="6" bestFit="1" customWidth="1"/>
    <col min="5" max="5" width="9.125" style="13" bestFit="1" customWidth="1"/>
    <col min="6" max="6" width="13.375" style="6" bestFit="1" customWidth="1"/>
    <col min="7" max="7" width="18.375" style="13" bestFit="1" customWidth="1"/>
    <col min="8" max="8" width="10" style="6" bestFit="1" customWidth="1"/>
    <col min="9" max="9" width="10.125" style="13" bestFit="1" customWidth="1"/>
    <col min="10" max="10" width="16" style="13" bestFit="1" customWidth="1"/>
    <col min="11" max="12" width="12.25" style="13" bestFit="1" customWidth="1"/>
    <col min="13" max="13" width="13.375" style="13" bestFit="1" customWidth="1"/>
    <col min="14" max="14" width="15.875" style="13" bestFit="1" customWidth="1"/>
    <col min="15" max="15" width="13" style="13" bestFit="1" customWidth="1"/>
    <col min="16" max="16" width="13.125" style="13" bestFit="1" customWidth="1"/>
    <col min="17" max="17" width="8.625" style="13" customWidth="1"/>
    <col min="18" max="18" width="14.375" style="13" bestFit="1" customWidth="1"/>
    <col min="19" max="19" width="12.125" style="15" bestFit="1" customWidth="1"/>
    <col min="20" max="20" width="14.375" style="15" bestFit="1" customWidth="1"/>
    <col min="21" max="21" width="12.125" style="13" customWidth="1"/>
    <col min="22" max="22" width="13.5" style="13" bestFit="1" customWidth="1"/>
    <col min="23" max="24" width="12.25" style="13" bestFit="1" customWidth="1"/>
    <col min="25" max="25" width="15.5" style="13" customWidth="1"/>
    <col min="26" max="26" width="12.5" style="13" bestFit="1" customWidth="1"/>
    <col min="27" max="27" width="8.625" style="13" customWidth="1"/>
    <col min="28" max="16384" width="8.625" style="13"/>
  </cols>
  <sheetData>
    <row r="1" spans="1:27" ht="21" x14ac:dyDescent="0.35">
      <c r="A1" s="25" t="s">
        <v>450</v>
      </c>
      <c r="B1" s="26"/>
      <c r="C1" s="26"/>
      <c r="E1" s="28"/>
      <c r="G1" s="4"/>
      <c r="H1" s="5"/>
      <c r="I1" s="4"/>
      <c r="J1" s="4"/>
      <c r="K1" s="4"/>
      <c r="L1" s="4"/>
    </row>
    <row r="2" spans="1:27" ht="21" x14ac:dyDescent="0.35">
      <c r="A2" s="25" t="str">
        <f>Paramètres!B5</f>
        <v>Acomptes 2020</v>
      </c>
      <c r="C2" s="25"/>
      <c r="E2" s="28"/>
      <c r="G2" s="29"/>
      <c r="H2" s="5"/>
      <c r="I2" s="4"/>
      <c r="J2" s="4"/>
      <c r="K2" s="4"/>
      <c r="L2" s="4"/>
    </row>
    <row r="3" spans="1:27" x14ac:dyDescent="0.25">
      <c r="A3" s="3"/>
      <c r="B3" s="4"/>
      <c r="C3" s="4"/>
      <c r="E3" s="28"/>
      <c r="G3" s="4"/>
      <c r="H3" s="5"/>
      <c r="I3" s="4"/>
      <c r="J3" s="4"/>
      <c r="K3" s="4"/>
      <c r="L3" s="4"/>
      <c r="O3" s="27"/>
    </row>
    <row r="4" spans="1:27" s="16" customFormat="1" ht="38.1" customHeight="1" x14ac:dyDescent="0.2">
      <c r="A4" s="484" t="s">
        <v>46</v>
      </c>
      <c r="B4" s="487" t="s">
        <v>96</v>
      </c>
      <c r="C4" s="493" t="s">
        <v>251</v>
      </c>
      <c r="D4" s="490" t="s">
        <v>246</v>
      </c>
      <c r="E4" s="495" t="s">
        <v>247</v>
      </c>
      <c r="F4" s="490" t="s">
        <v>248</v>
      </c>
      <c r="G4" s="493" t="s">
        <v>249</v>
      </c>
      <c r="H4" s="490" t="s">
        <v>258</v>
      </c>
      <c r="I4" s="493" t="s">
        <v>259</v>
      </c>
      <c r="J4" s="493" t="s">
        <v>260</v>
      </c>
      <c r="K4" s="493" t="s">
        <v>382</v>
      </c>
      <c r="L4" s="493" t="s">
        <v>383</v>
      </c>
      <c r="M4" s="493" t="s">
        <v>384</v>
      </c>
      <c r="N4" s="490" t="s">
        <v>416</v>
      </c>
      <c r="O4" s="493" t="s">
        <v>48</v>
      </c>
      <c r="P4" s="493" t="s">
        <v>385</v>
      </c>
      <c r="Q4" s="495" t="s">
        <v>501</v>
      </c>
      <c r="R4" s="501" t="s">
        <v>472</v>
      </c>
      <c r="S4" s="467" t="s">
        <v>78</v>
      </c>
      <c r="T4" s="501" t="s">
        <v>341</v>
      </c>
      <c r="U4" s="501" t="s">
        <v>452</v>
      </c>
      <c r="V4" s="493" t="s">
        <v>195</v>
      </c>
      <c r="W4" s="493" t="s">
        <v>196</v>
      </c>
      <c r="X4" s="493" t="s">
        <v>197</v>
      </c>
      <c r="Y4" s="498" t="s">
        <v>425</v>
      </c>
      <c r="Z4" s="493" t="s">
        <v>194</v>
      </c>
      <c r="AA4" s="493" t="s">
        <v>304</v>
      </c>
    </row>
    <row r="5" spans="1:27" s="16" customFormat="1" ht="38.1" customHeight="1" x14ac:dyDescent="0.2">
      <c r="A5" s="485"/>
      <c r="B5" s="488"/>
      <c r="C5" s="494"/>
      <c r="D5" s="491"/>
      <c r="E5" s="496"/>
      <c r="F5" s="491"/>
      <c r="G5" s="494"/>
      <c r="H5" s="492"/>
      <c r="I5" s="494"/>
      <c r="J5" s="494"/>
      <c r="K5" s="494"/>
      <c r="L5" s="494"/>
      <c r="M5" s="494"/>
      <c r="N5" s="491"/>
      <c r="O5" s="504"/>
      <c r="P5" s="494"/>
      <c r="Q5" s="496"/>
      <c r="R5" s="502"/>
      <c r="S5" s="468"/>
      <c r="T5" s="502"/>
      <c r="U5" s="503"/>
      <c r="V5" s="494"/>
      <c r="W5" s="494"/>
      <c r="X5" s="494"/>
      <c r="Y5" s="499"/>
      <c r="Z5" s="494"/>
      <c r="AA5" s="494"/>
    </row>
    <row r="6" spans="1:27" ht="14.25" customHeight="1" x14ac:dyDescent="0.25">
      <c r="A6" s="486"/>
      <c r="B6" s="489"/>
      <c r="C6" s="39" t="s">
        <v>252</v>
      </c>
      <c r="D6" s="492"/>
      <c r="E6" s="497"/>
      <c r="F6" s="492"/>
      <c r="G6" s="39" t="s">
        <v>250</v>
      </c>
      <c r="H6" s="20" t="s">
        <v>79</v>
      </c>
      <c r="I6" s="21" t="s">
        <v>80</v>
      </c>
      <c r="J6" s="21" t="s">
        <v>81</v>
      </c>
      <c r="K6" s="39" t="s">
        <v>82</v>
      </c>
      <c r="L6" s="21" t="s">
        <v>83</v>
      </c>
      <c r="M6" s="21" t="s">
        <v>84</v>
      </c>
      <c r="N6" s="492"/>
      <c r="O6" s="494"/>
      <c r="P6" s="21" t="s">
        <v>85</v>
      </c>
      <c r="Q6" s="497"/>
      <c r="R6" s="503"/>
      <c r="S6" s="40">
        <f>Paramètres!B8</f>
        <v>2018</v>
      </c>
      <c r="T6" s="503"/>
      <c r="U6" s="201" t="str">
        <f>Paramètres!B5</f>
        <v>Acomptes 2020</v>
      </c>
      <c r="V6" s="21" t="s">
        <v>88</v>
      </c>
      <c r="W6" s="21" t="s">
        <v>89</v>
      </c>
      <c r="X6" s="21" t="s">
        <v>90</v>
      </c>
      <c r="Y6" s="500"/>
      <c r="Z6" s="39" t="s">
        <v>87</v>
      </c>
      <c r="AA6" s="23">
        <f>Paramètres!B7</f>
        <v>42003</v>
      </c>
    </row>
    <row r="7" spans="1:27" x14ac:dyDescent="0.25">
      <c r="A7" s="8">
        <f>'A) Base RI'!A7</f>
        <v>5401</v>
      </c>
      <c r="B7" s="32" t="str">
        <f>'A) Base RI'!B7</f>
        <v>Aigle</v>
      </c>
      <c r="C7" s="10">
        <f>'A) Base RI'!C7+'A) Base RI'!D7</f>
        <v>14310979.130000001</v>
      </c>
      <c r="D7" s="10">
        <f>'A) Base RI'!W7</f>
        <v>-321666.98</v>
      </c>
      <c r="E7" s="31">
        <f>'A) Base RI'!X7</f>
        <v>0</v>
      </c>
      <c r="F7" s="31">
        <f>'A) Base RI'!Y7</f>
        <v>-645.51</v>
      </c>
      <c r="G7" s="2">
        <f>SUM(C7:F7)</f>
        <v>13988666.640000001</v>
      </c>
      <c r="H7" s="10">
        <f>+'A) Base RI'!E7</f>
        <v>0</v>
      </c>
      <c r="I7" s="10">
        <f>+'A) Base RI'!F7</f>
        <v>0</v>
      </c>
      <c r="J7" s="10">
        <f>+'A) Base RI'!G7+'A) Base RI'!H7+'A) Base RI'!I7</f>
        <v>1263202.5115785878</v>
      </c>
      <c r="K7" s="10">
        <f>+'A) Base RI'!J7</f>
        <v>7765.25</v>
      </c>
      <c r="L7" s="10">
        <f>+'A) Base RI'!K7</f>
        <v>616612.9</v>
      </c>
      <c r="M7" s="10">
        <f>+'A) Base RI'!L7</f>
        <v>223186.85</v>
      </c>
      <c r="N7" s="10">
        <f>+'A) Base RI'!R7</f>
        <v>60316.67</v>
      </c>
      <c r="O7" s="10">
        <f>(P7/Q7)*1</f>
        <v>1727551.1666666667</v>
      </c>
      <c r="P7" s="10">
        <f>+'A) Base RI'!M7</f>
        <v>2073061.4</v>
      </c>
      <c r="Q7" s="34">
        <f>'A) Base RI'!Z7</f>
        <v>1.2</v>
      </c>
      <c r="R7" s="2">
        <f>SUM(G7:O7)</f>
        <v>17887301.988245256</v>
      </c>
      <c r="S7" s="33">
        <f>+'A) Base RI'!U7</f>
        <v>67.5</v>
      </c>
      <c r="T7" s="2">
        <f>(G7+H7+J7+K7+L7+N7)</f>
        <v>15936563.971578589</v>
      </c>
      <c r="U7" s="2">
        <f>R7/S7</f>
        <v>264997.06649252231</v>
      </c>
      <c r="V7" s="10">
        <f>+'A) Base RI'!P7</f>
        <v>586742</v>
      </c>
      <c r="W7" s="10">
        <f>+'A) Base RI'!Q7</f>
        <v>811384.1</v>
      </c>
      <c r="X7" s="10">
        <f>+'A) Base RI'!S7</f>
        <v>402573.65</v>
      </c>
      <c r="Y7" s="2">
        <f>SUM(V7:X7)</f>
        <v>1800699.75</v>
      </c>
      <c r="Z7" s="10">
        <f>+'A) Base RI'!O7</f>
        <v>1058449.45</v>
      </c>
      <c r="AA7" s="10">
        <f>'A) Base RI'!V7</f>
        <v>10134</v>
      </c>
    </row>
    <row r="8" spans="1:27" x14ac:dyDescent="0.25">
      <c r="A8" s="8">
        <f>'A) Base RI'!A8</f>
        <v>5402</v>
      </c>
      <c r="B8" s="32" t="str">
        <f>'A) Base RI'!B8</f>
        <v>Bex</v>
      </c>
      <c r="C8" s="10">
        <f>'A) Base RI'!C8+'A) Base RI'!D8</f>
        <v>9920613.8699999992</v>
      </c>
      <c r="D8" s="10">
        <f>'A) Base RI'!W8</f>
        <v>-344821.64</v>
      </c>
      <c r="E8" s="406">
        <f>'A) Base RI'!X8</f>
        <v>0</v>
      </c>
      <c r="F8" s="406">
        <f>'A) Base RI'!Y8</f>
        <v>-401.51</v>
      </c>
      <c r="G8" s="420">
        <f t="shared" ref="G8:G71" si="0">SUM(C8:F8)</f>
        <v>9575390.7199999988</v>
      </c>
      <c r="H8" s="10">
        <f>+'A) Base RI'!E8</f>
        <v>0</v>
      </c>
      <c r="I8" s="10">
        <f>+'A) Base RI'!F8</f>
        <v>0</v>
      </c>
      <c r="J8" s="10">
        <f>+'A) Base RI'!G8+'A) Base RI'!H8+'A) Base RI'!I8</f>
        <v>629569.73489994393</v>
      </c>
      <c r="K8" s="10">
        <f>+'A) Base RI'!J8</f>
        <v>-67367.5</v>
      </c>
      <c r="L8" s="10">
        <f>+'A) Base RI'!K8</f>
        <v>309541.81</v>
      </c>
      <c r="M8" s="10">
        <f>+'A) Base RI'!L8</f>
        <v>106621.8</v>
      </c>
      <c r="N8" s="10">
        <f>+'A) Base RI'!R8</f>
        <v>104295.16</v>
      </c>
      <c r="O8" s="10">
        <f t="shared" ref="O8:O71" si="1">(P8/Q8)*1</f>
        <v>1239859.04</v>
      </c>
      <c r="P8" s="10">
        <f>+'A) Base RI'!M8</f>
        <v>1549823.8</v>
      </c>
      <c r="Q8" s="428">
        <f>'A) Base RI'!Z8</f>
        <v>1.25</v>
      </c>
      <c r="R8" s="420">
        <f t="shared" ref="R8:R71" si="2">SUM(G8:O8)</f>
        <v>11897910.764899943</v>
      </c>
      <c r="S8" s="410">
        <f>+'A) Base RI'!U8</f>
        <v>71</v>
      </c>
      <c r="T8" s="420">
        <f t="shared" ref="T8:T71" si="3">(G8+H8+J8+K8+L8+N8)</f>
        <v>10551429.924899943</v>
      </c>
      <c r="U8" s="420">
        <f t="shared" ref="U8:U71" si="4">R8/S8</f>
        <v>167576.20795633722</v>
      </c>
      <c r="V8" s="10">
        <f>+'A) Base RI'!P8</f>
        <v>57137.7</v>
      </c>
      <c r="W8" s="10">
        <f>+'A) Base RI'!Q8</f>
        <v>540896.75</v>
      </c>
      <c r="X8" s="10">
        <f>+'A) Base RI'!S8</f>
        <v>285520.5</v>
      </c>
      <c r="Y8" s="420">
        <f t="shared" ref="Y8:Y71" si="5">SUM(V8:X8)</f>
        <v>883554.95</v>
      </c>
      <c r="Z8" s="10">
        <f>+'A) Base RI'!O8</f>
        <v>202311.1</v>
      </c>
      <c r="AA8" s="10">
        <f>'A) Base RI'!V8</f>
        <v>7757</v>
      </c>
    </row>
    <row r="9" spans="1:27" x14ac:dyDescent="0.25">
      <c r="A9" s="8">
        <f>'A) Base RI'!A9</f>
        <v>5403</v>
      </c>
      <c r="B9" s="32" t="str">
        <f>'A) Base RI'!B9</f>
        <v>Chessel</v>
      </c>
      <c r="C9" s="10">
        <f>'A) Base RI'!C9+'A) Base RI'!D9</f>
        <v>652297.76</v>
      </c>
      <c r="D9" s="10">
        <f>'A) Base RI'!W9</f>
        <v>-16488.96</v>
      </c>
      <c r="E9" s="406">
        <f>'A) Base RI'!X9</f>
        <v>0</v>
      </c>
      <c r="F9" s="406">
        <f>'A) Base RI'!Y9</f>
        <v>-0.37</v>
      </c>
      <c r="G9" s="420">
        <f t="shared" si="0"/>
        <v>635808.43000000005</v>
      </c>
      <c r="H9" s="10">
        <f>+'A) Base RI'!E9</f>
        <v>0</v>
      </c>
      <c r="I9" s="10">
        <f>+'A) Base RI'!F9</f>
        <v>0</v>
      </c>
      <c r="J9" s="10">
        <f>+'A) Base RI'!G9+'A) Base RI'!H9+'A) Base RI'!I9</f>
        <v>8590.3561862409333</v>
      </c>
      <c r="K9" s="10">
        <f>+'A) Base RI'!J9</f>
        <v>0</v>
      </c>
      <c r="L9" s="10">
        <f>+'A) Base RI'!K9</f>
        <v>37312.67</v>
      </c>
      <c r="M9" s="10">
        <f>+'A) Base RI'!L9</f>
        <v>975.8</v>
      </c>
      <c r="N9" s="10">
        <f>+'A) Base RI'!R9</f>
        <v>4460.54</v>
      </c>
      <c r="O9" s="10">
        <f t="shared" si="1"/>
        <v>59116.75</v>
      </c>
      <c r="P9" s="10">
        <f>+'A) Base RI'!M9</f>
        <v>59116.75</v>
      </c>
      <c r="Q9" s="428">
        <f>'A) Base RI'!Z9</f>
        <v>1</v>
      </c>
      <c r="R9" s="420">
        <f t="shared" si="2"/>
        <v>746264.54618624109</v>
      </c>
      <c r="S9" s="410">
        <f>+'A) Base RI'!U9</f>
        <v>74</v>
      </c>
      <c r="T9" s="420">
        <f t="shared" si="3"/>
        <v>686171.99618624104</v>
      </c>
      <c r="U9" s="420">
        <f t="shared" si="4"/>
        <v>10084.656029543799</v>
      </c>
      <c r="V9" s="10">
        <f>+'A) Base RI'!P9</f>
        <v>55.5</v>
      </c>
      <c r="W9" s="10">
        <f>+'A) Base RI'!Q9</f>
        <v>45793</v>
      </c>
      <c r="X9" s="10">
        <f>+'A) Base RI'!S9</f>
        <v>18465.7</v>
      </c>
      <c r="Y9" s="420">
        <f t="shared" si="5"/>
        <v>64314.2</v>
      </c>
      <c r="Z9" s="10">
        <f>+'A) Base RI'!O9</f>
        <v>0</v>
      </c>
      <c r="AA9" s="10">
        <f>'A) Base RI'!V9</f>
        <v>426</v>
      </c>
    </row>
    <row r="10" spans="1:27" x14ac:dyDescent="0.25">
      <c r="A10" s="8">
        <f>'A) Base RI'!A10</f>
        <v>5404</v>
      </c>
      <c r="B10" s="32" t="str">
        <f>'A) Base RI'!B10</f>
        <v>Corbeyrier</v>
      </c>
      <c r="C10" s="10">
        <f>'A) Base RI'!C10+'A) Base RI'!D10</f>
        <v>738020.36</v>
      </c>
      <c r="D10" s="10">
        <f>'A) Base RI'!W10</f>
        <v>-6462.73</v>
      </c>
      <c r="E10" s="406">
        <f>'A) Base RI'!X10</f>
        <v>0</v>
      </c>
      <c r="F10" s="406">
        <f>'A) Base RI'!Y10</f>
        <v>-17.23</v>
      </c>
      <c r="G10" s="420">
        <f t="shared" si="0"/>
        <v>731540.4</v>
      </c>
      <c r="H10" s="10">
        <f>+'A) Base RI'!E10</f>
        <v>0</v>
      </c>
      <c r="I10" s="10">
        <f>+'A) Base RI'!F10</f>
        <v>0</v>
      </c>
      <c r="J10" s="10">
        <f>+'A) Base RI'!G10+'A) Base RI'!H10+'A) Base RI'!I10</f>
        <v>15831.824185262954</v>
      </c>
      <c r="K10" s="10">
        <f>+'A) Base RI'!J10</f>
        <v>0</v>
      </c>
      <c r="L10" s="10">
        <f>+'A) Base RI'!K10</f>
        <v>2754.62</v>
      </c>
      <c r="M10" s="10">
        <f>+'A) Base RI'!L10</f>
        <v>565.75</v>
      </c>
      <c r="N10" s="10">
        <f>+'A) Base RI'!R10</f>
        <v>1993.73</v>
      </c>
      <c r="O10" s="10">
        <f t="shared" si="1"/>
        <v>79337.566666666666</v>
      </c>
      <c r="P10" s="10">
        <f>+'A) Base RI'!M10</f>
        <v>119006.35</v>
      </c>
      <c r="Q10" s="428">
        <f>'A) Base RI'!Z10</f>
        <v>1.5</v>
      </c>
      <c r="R10" s="420">
        <f t="shared" si="2"/>
        <v>832023.89085192955</v>
      </c>
      <c r="S10" s="410">
        <f>+'A) Base RI'!U10</f>
        <v>70</v>
      </c>
      <c r="T10" s="420">
        <f t="shared" si="3"/>
        <v>752120.5741852629</v>
      </c>
      <c r="U10" s="420">
        <f t="shared" si="4"/>
        <v>11886.055583598994</v>
      </c>
      <c r="V10" s="10">
        <f>+'A) Base RI'!P10</f>
        <v>6544.4</v>
      </c>
      <c r="W10" s="10">
        <f>+'A) Base RI'!Q10</f>
        <v>17595.75</v>
      </c>
      <c r="X10" s="10">
        <f>+'A) Base RI'!S10</f>
        <v>34218</v>
      </c>
      <c r="Y10" s="420">
        <f t="shared" si="5"/>
        <v>58358.15</v>
      </c>
      <c r="Z10" s="10">
        <f>+'A) Base RI'!O10</f>
        <v>22870.9</v>
      </c>
      <c r="AA10" s="10">
        <f>'A) Base RI'!V10</f>
        <v>438</v>
      </c>
    </row>
    <row r="11" spans="1:27" x14ac:dyDescent="0.25">
      <c r="A11" s="8">
        <f>'A) Base RI'!A11</f>
        <v>5405</v>
      </c>
      <c r="B11" s="32" t="str">
        <f>'A) Base RI'!B11</f>
        <v>Gryon</v>
      </c>
      <c r="C11" s="10">
        <f>'A) Base RI'!C11+'A) Base RI'!D11</f>
        <v>4239852.9000000004</v>
      </c>
      <c r="D11" s="10">
        <f>'A) Base RI'!W11</f>
        <v>-107816.78</v>
      </c>
      <c r="E11" s="406">
        <f>'A) Base RI'!X11</f>
        <v>0</v>
      </c>
      <c r="F11" s="406">
        <f>'A) Base RI'!Y11</f>
        <v>-1020.24</v>
      </c>
      <c r="G11" s="420">
        <f t="shared" si="0"/>
        <v>4131015.8800000004</v>
      </c>
      <c r="H11" s="10">
        <f>+'A) Base RI'!E11</f>
        <v>0</v>
      </c>
      <c r="I11" s="10">
        <f>+'A) Base RI'!F11</f>
        <v>0</v>
      </c>
      <c r="J11" s="10">
        <f>+'A) Base RI'!G11+'A) Base RI'!H11+'A) Base RI'!I11</f>
        <v>64037.108603501678</v>
      </c>
      <c r="K11" s="10">
        <f>+'A) Base RI'!J11</f>
        <v>167661.60999999999</v>
      </c>
      <c r="L11" s="10">
        <f>+'A) Base RI'!K11</f>
        <v>78110.41</v>
      </c>
      <c r="M11" s="10">
        <f>+'A) Base RI'!L11</f>
        <v>14245.65</v>
      </c>
      <c r="N11" s="10">
        <f>+'A) Base RI'!R11</f>
        <v>69386.649999999994</v>
      </c>
      <c r="O11" s="10">
        <f t="shared" si="1"/>
        <v>503842.56666666665</v>
      </c>
      <c r="P11" s="10">
        <f>+'A) Base RI'!M11</f>
        <v>755763.85</v>
      </c>
      <c r="Q11" s="428">
        <f>'A) Base RI'!Z11</f>
        <v>1.5</v>
      </c>
      <c r="R11" s="420">
        <f t="shared" si="2"/>
        <v>5028299.8752701692</v>
      </c>
      <c r="S11" s="410">
        <f>+'A) Base RI'!U11</f>
        <v>75</v>
      </c>
      <c r="T11" s="420">
        <f t="shared" si="3"/>
        <v>4510211.6586035024</v>
      </c>
      <c r="U11" s="420">
        <f t="shared" si="4"/>
        <v>67043.99833693559</v>
      </c>
      <c r="V11" s="10">
        <f>+'A) Base RI'!P11</f>
        <v>850859.6</v>
      </c>
      <c r="W11" s="10">
        <f>+'A) Base RI'!Q11</f>
        <v>436669.5</v>
      </c>
      <c r="X11" s="10">
        <f>+'A) Base RI'!S11</f>
        <v>288698.25</v>
      </c>
      <c r="Y11" s="420">
        <f t="shared" si="5"/>
        <v>1576227.35</v>
      </c>
      <c r="Z11" s="10">
        <f>+'A) Base RI'!O11</f>
        <v>0</v>
      </c>
      <c r="AA11" s="10">
        <f>'A) Base RI'!V11</f>
        <v>1332</v>
      </c>
    </row>
    <row r="12" spans="1:27" x14ac:dyDescent="0.25">
      <c r="A12" s="8">
        <f>'A) Base RI'!A12</f>
        <v>5406</v>
      </c>
      <c r="B12" s="32" t="str">
        <f>'A) Base RI'!B12</f>
        <v>Lavey-Morcles</v>
      </c>
      <c r="C12" s="10">
        <f>'A) Base RI'!C12+'A) Base RI'!D12</f>
        <v>1292754.78</v>
      </c>
      <c r="D12" s="10">
        <f>'A) Base RI'!W12</f>
        <v>-33929.61</v>
      </c>
      <c r="E12" s="406">
        <f>'A) Base RI'!X12</f>
        <v>0</v>
      </c>
      <c r="F12" s="406">
        <f>'A) Base RI'!Y12</f>
        <v>0</v>
      </c>
      <c r="G12" s="420">
        <f t="shared" si="0"/>
        <v>1258825.17</v>
      </c>
      <c r="H12" s="10">
        <f>+'A) Base RI'!E12</f>
        <v>0</v>
      </c>
      <c r="I12" s="10">
        <f>+'A) Base RI'!F12</f>
        <v>0</v>
      </c>
      <c r="J12" s="10">
        <f>+'A) Base RI'!G12+'A) Base RI'!H12+'A) Base RI'!I12</f>
        <v>41754.613762047695</v>
      </c>
      <c r="K12" s="10">
        <f>+'A) Base RI'!J12</f>
        <v>0</v>
      </c>
      <c r="L12" s="10">
        <f>+'A) Base RI'!K12</f>
        <v>48594.14</v>
      </c>
      <c r="M12" s="10">
        <f>+'A) Base RI'!L12</f>
        <v>9162.85</v>
      </c>
      <c r="N12" s="10">
        <f>+'A) Base RI'!R12</f>
        <v>15.05</v>
      </c>
      <c r="O12" s="10">
        <f t="shared" si="1"/>
        <v>145600.80769230769</v>
      </c>
      <c r="P12" s="10">
        <f>+'A) Base RI'!M12</f>
        <v>189281.05</v>
      </c>
      <c r="Q12" s="428">
        <f>'A) Base RI'!Z12</f>
        <v>1.3</v>
      </c>
      <c r="R12" s="420">
        <f t="shared" si="2"/>
        <v>1503952.6314543553</v>
      </c>
      <c r="S12" s="410">
        <f>+'A) Base RI'!U12</f>
        <v>71</v>
      </c>
      <c r="T12" s="420">
        <f t="shared" si="3"/>
        <v>1349188.9737620475</v>
      </c>
      <c r="U12" s="420">
        <f t="shared" si="4"/>
        <v>21182.431428934582</v>
      </c>
      <c r="V12" s="10">
        <f>+'A) Base RI'!P12</f>
        <v>6382.9</v>
      </c>
      <c r="W12" s="10">
        <f>+'A) Base RI'!Q12</f>
        <v>22417.05</v>
      </c>
      <c r="X12" s="10">
        <f>+'A) Base RI'!S12</f>
        <v>18573.349999999999</v>
      </c>
      <c r="Y12" s="420">
        <f t="shared" si="5"/>
        <v>47373.299999999996</v>
      </c>
      <c r="Z12" s="10">
        <f>+'A) Base RI'!O12</f>
        <v>5025.7</v>
      </c>
      <c r="AA12" s="10">
        <f>'A) Base RI'!V12</f>
        <v>946</v>
      </c>
    </row>
    <row r="13" spans="1:27" x14ac:dyDescent="0.25">
      <c r="A13" s="8">
        <f>'A) Base RI'!A13</f>
        <v>5407</v>
      </c>
      <c r="B13" s="32" t="str">
        <f>'A) Base RI'!B13</f>
        <v>Leysin</v>
      </c>
      <c r="C13" s="10">
        <f>'A) Base RI'!C13+'A) Base RI'!D13</f>
        <v>4980204.1900000004</v>
      </c>
      <c r="D13" s="10">
        <f>'A) Base RI'!W13</f>
        <v>-200535.16</v>
      </c>
      <c r="E13" s="406">
        <f>'A) Base RI'!X13</f>
        <v>0</v>
      </c>
      <c r="F13" s="406">
        <f>'A) Base RI'!Y13</f>
        <v>-390.55</v>
      </c>
      <c r="G13" s="420">
        <f t="shared" si="0"/>
        <v>4779278.4800000004</v>
      </c>
      <c r="H13" s="10">
        <f>+'A) Base RI'!E13</f>
        <v>0</v>
      </c>
      <c r="I13" s="10">
        <f>+'A) Base RI'!F13</f>
        <v>0</v>
      </c>
      <c r="J13" s="10">
        <f>+'A) Base RI'!G13+'A) Base RI'!H13+'A) Base RI'!I13</f>
        <v>504930.99307463894</v>
      </c>
      <c r="K13" s="10">
        <f>+'A) Base RI'!J13</f>
        <v>103811.4</v>
      </c>
      <c r="L13" s="10">
        <f>+'A) Base RI'!K13</f>
        <v>530827.74</v>
      </c>
      <c r="M13" s="10">
        <f>+'A) Base RI'!L13</f>
        <v>56627.1</v>
      </c>
      <c r="N13" s="10">
        <f>+'A) Base RI'!R13</f>
        <v>64255.360000000001</v>
      </c>
      <c r="O13" s="10">
        <f t="shared" si="1"/>
        <v>808673.03333333333</v>
      </c>
      <c r="P13" s="10">
        <f>+'A) Base RI'!M13</f>
        <v>1213009.55</v>
      </c>
      <c r="Q13" s="428">
        <f>'A) Base RI'!Z13</f>
        <v>1.5</v>
      </c>
      <c r="R13" s="420">
        <f t="shared" si="2"/>
        <v>6848404.106407973</v>
      </c>
      <c r="S13" s="410">
        <f>+'A) Base RI'!U13</f>
        <v>78</v>
      </c>
      <c r="T13" s="420">
        <f t="shared" si="3"/>
        <v>5983103.9730746401</v>
      </c>
      <c r="U13" s="420">
        <f t="shared" si="4"/>
        <v>87800.052646256067</v>
      </c>
      <c r="V13" s="10">
        <f>+'A) Base RI'!P13</f>
        <v>64833.3</v>
      </c>
      <c r="W13" s="10">
        <f>+'A) Base RI'!Q13</f>
        <v>240474.65</v>
      </c>
      <c r="X13" s="10">
        <f>+'A) Base RI'!S13</f>
        <v>116951.25</v>
      </c>
      <c r="Y13" s="420">
        <f t="shared" si="5"/>
        <v>422259.20000000001</v>
      </c>
      <c r="Z13" s="10">
        <f>+'A) Base RI'!O13</f>
        <v>40574.25</v>
      </c>
      <c r="AA13" s="10">
        <f>'A) Base RI'!V13</f>
        <v>3939</v>
      </c>
    </row>
    <row r="14" spans="1:27" x14ac:dyDescent="0.25">
      <c r="A14" s="8">
        <f>'A) Base RI'!A14</f>
        <v>5408</v>
      </c>
      <c r="B14" s="32" t="str">
        <f>'A) Base RI'!B14</f>
        <v>Noville</v>
      </c>
      <c r="C14" s="10">
        <f>'A) Base RI'!C14+'A) Base RI'!D14</f>
        <v>2034282.19</v>
      </c>
      <c r="D14" s="10">
        <f>'A) Base RI'!W14</f>
        <v>-40391.29</v>
      </c>
      <c r="E14" s="406">
        <f>'A) Base RI'!X14</f>
        <v>0</v>
      </c>
      <c r="F14" s="406">
        <f>'A) Base RI'!Y14</f>
        <v>-224.14</v>
      </c>
      <c r="G14" s="420">
        <f t="shared" si="0"/>
        <v>1993666.76</v>
      </c>
      <c r="H14" s="10">
        <f>+'A) Base RI'!E14</f>
        <v>0</v>
      </c>
      <c r="I14" s="10">
        <f>+'A) Base RI'!F14</f>
        <v>0</v>
      </c>
      <c r="J14" s="10">
        <f>+'A) Base RI'!G14+'A) Base RI'!H14+'A) Base RI'!I14</f>
        <v>413155.80103911244</v>
      </c>
      <c r="K14" s="10">
        <f>+'A) Base RI'!J14</f>
        <v>0</v>
      </c>
      <c r="L14" s="10">
        <f>+'A) Base RI'!K14</f>
        <v>88283.43</v>
      </c>
      <c r="M14" s="10">
        <f>+'A) Base RI'!L14</f>
        <v>16158.25</v>
      </c>
      <c r="N14" s="10">
        <f>+'A) Base RI'!R14</f>
        <v>8032.71</v>
      </c>
      <c r="O14" s="10">
        <f t="shared" si="1"/>
        <v>187782.56666666665</v>
      </c>
      <c r="P14" s="10">
        <f>+'A) Base RI'!M14</f>
        <v>281673.84999999998</v>
      </c>
      <c r="Q14" s="428">
        <f>'A) Base RI'!Z14</f>
        <v>1.5</v>
      </c>
      <c r="R14" s="420">
        <f t="shared" si="2"/>
        <v>2707079.5177057795</v>
      </c>
      <c r="S14" s="410">
        <f>+'A) Base RI'!U14</f>
        <v>78.5</v>
      </c>
      <c r="T14" s="420">
        <f t="shared" si="3"/>
        <v>2503138.7010391126</v>
      </c>
      <c r="U14" s="420">
        <f t="shared" si="4"/>
        <v>34485.089397525851</v>
      </c>
      <c r="V14" s="10">
        <f>+'A) Base RI'!P14</f>
        <v>0</v>
      </c>
      <c r="W14" s="10">
        <f>+'A) Base RI'!Q14</f>
        <v>387372.55</v>
      </c>
      <c r="X14" s="10">
        <f>+'A) Base RI'!S14</f>
        <v>50551.65</v>
      </c>
      <c r="Y14" s="420">
        <f t="shared" si="5"/>
        <v>437924.2</v>
      </c>
      <c r="Z14" s="10">
        <f>+'A) Base RI'!O14</f>
        <v>139114.85</v>
      </c>
      <c r="AA14" s="10">
        <f>'A) Base RI'!V14</f>
        <v>1113</v>
      </c>
    </row>
    <row r="15" spans="1:27" x14ac:dyDescent="0.25">
      <c r="A15" s="8">
        <f>'A) Base RI'!A15</f>
        <v>5409</v>
      </c>
      <c r="B15" s="32" t="str">
        <f>'A) Base RI'!B15</f>
        <v>Ollon</v>
      </c>
      <c r="C15" s="10">
        <f>'A) Base RI'!C15+'A) Base RI'!D15</f>
        <v>17743422.600000001</v>
      </c>
      <c r="D15" s="10">
        <f>'A) Base RI'!W15</f>
        <v>-272742.56</v>
      </c>
      <c r="E15" s="406">
        <f>'A) Base RI'!X15</f>
        <v>0</v>
      </c>
      <c r="F15" s="406">
        <f>'A) Base RI'!Y15</f>
        <v>-6460.57</v>
      </c>
      <c r="G15" s="420">
        <f t="shared" si="0"/>
        <v>17464219.470000003</v>
      </c>
      <c r="H15" s="10">
        <f>+'A) Base RI'!E15</f>
        <v>0</v>
      </c>
      <c r="I15" s="10">
        <f>+'A) Base RI'!F15</f>
        <v>0</v>
      </c>
      <c r="J15" s="10">
        <f>+'A) Base RI'!G15+'A) Base RI'!H15+'A) Base RI'!I15</f>
        <v>625463.35193042294</v>
      </c>
      <c r="K15" s="10">
        <f>+'A) Base RI'!J15</f>
        <v>2663385.38</v>
      </c>
      <c r="L15" s="10">
        <f>+'A) Base RI'!K15</f>
        <v>636620.25</v>
      </c>
      <c r="M15" s="10">
        <f>+'A) Base RI'!L15</f>
        <v>116612.8</v>
      </c>
      <c r="N15" s="10">
        <f>+'A) Base RI'!R15</f>
        <v>105851.69</v>
      </c>
      <c r="O15" s="10">
        <f t="shared" si="1"/>
        <v>3156160.423076923</v>
      </c>
      <c r="P15" s="10">
        <f>+'A) Base RI'!M15</f>
        <v>4103008.55</v>
      </c>
      <c r="Q15" s="428">
        <f>'A) Base RI'!Z15</f>
        <v>1.3</v>
      </c>
      <c r="R15" s="420">
        <f t="shared" si="2"/>
        <v>24768313.365007352</v>
      </c>
      <c r="S15" s="410">
        <f>+'A) Base RI'!U15</f>
        <v>68</v>
      </c>
      <c r="T15" s="420">
        <f t="shared" si="3"/>
        <v>21495540.141930427</v>
      </c>
      <c r="U15" s="420">
        <f t="shared" si="4"/>
        <v>364239.90242657869</v>
      </c>
      <c r="V15" s="10">
        <f>+'A) Base RI'!P15</f>
        <v>1989328.1</v>
      </c>
      <c r="W15" s="10">
        <f>+'A) Base RI'!Q15</f>
        <v>1463003.25</v>
      </c>
      <c r="X15" s="10">
        <f>+'A) Base RI'!S15</f>
        <v>648955.65</v>
      </c>
      <c r="Y15" s="420">
        <f t="shared" si="5"/>
        <v>4101287</v>
      </c>
      <c r="Z15" s="10">
        <f>+'A) Base RI'!O15</f>
        <v>74320.850000000006</v>
      </c>
      <c r="AA15" s="10">
        <f>'A) Base RI'!V15</f>
        <v>7461</v>
      </c>
    </row>
    <row r="16" spans="1:27" x14ac:dyDescent="0.25">
      <c r="A16" s="8">
        <f>'A) Base RI'!A16</f>
        <v>5410</v>
      </c>
      <c r="B16" s="32" t="str">
        <f>'A) Base RI'!B16</f>
        <v>Ormont-Dessous</v>
      </c>
      <c r="C16" s="10">
        <f>'A) Base RI'!C16+'A) Base RI'!D16</f>
        <v>3005518.7199999997</v>
      </c>
      <c r="D16" s="10">
        <f>'A) Base RI'!W16</f>
        <v>-85157.28</v>
      </c>
      <c r="E16" s="406">
        <f>'A) Base RI'!X16</f>
        <v>0</v>
      </c>
      <c r="F16" s="406">
        <f>'A) Base RI'!Y16</f>
        <v>-112.78</v>
      </c>
      <c r="G16" s="420">
        <f t="shared" si="0"/>
        <v>2920248.66</v>
      </c>
      <c r="H16" s="10">
        <f>+'A) Base RI'!E16</f>
        <v>0</v>
      </c>
      <c r="I16" s="10">
        <f>+'A) Base RI'!F16</f>
        <v>0</v>
      </c>
      <c r="J16" s="10">
        <f>+'A) Base RI'!G16+'A) Base RI'!H16+'A) Base RI'!I16</f>
        <v>31328.216952640094</v>
      </c>
      <c r="K16" s="10">
        <f>+'A) Base RI'!J16</f>
        <v>0</v>
      </c>
      <c r="L16" s="10">
        <f>+'A) Base RI'!K16</f>
        <v>62143.42</v>
      </c>
      <c r="M16" s="10">
        <f>+'A) Base RI'!L16</f>
        <v>7310.15</v>
      </c>
      <c r="N16" s="10">
        <f>+'A) Base RI'!R16</f>
        <v>80.61</v>
      </c>
      <c r="O16" s="10">
        <f t="shared" si="1"/>
        <v>370395.7</v>
      </c>
      <c r="P16" s="10">
        <f>+'A) Base RI'!M16</f>
        <v>555593.55000000005</v>
      </c>
      <c r="Q16" s="428">
        <f>'A) Base RI'!Z16</f>
        <v>1.5</v>
      </c>
      <c r="R16" s="420">
        <f t="shared" si="2"/>
        <v>3391506.7569526401</v>
      </c>
      <c r="S16" s="410">
        <f>+'A) Base RI'!U16</f>
        <v>78.5</v>
      </c>
      <c r="T16" s="420">
        <f t="shared" si="3"/>
        <v>3013800.90695264</v>
      </c>
      <c r="U16" s="420">
        <f t="shared" si="4"/>
        <v>43203.907731880769</v>
      </c>
      <c r="V16" s="10">
        <f>+'A) Base RI'!P16</f>
        <v>48586.2</v>
      </c>
      <c r="W16" s="10">
        <f>+'A) Base RI'!Q16</f>
        <v>153604.75</v>
      </c>
      <c r="X16" s="10">
        <f>+'A) Base RI'!S16</f>
        <v>120544.2</v>
      </c>
      <c r="Y16" s="420">
        <f t="shared" si="5"/>
        <v>322735.15000000002</v>
      </c>
      <c r="Z16" s="10">
        <f>+'A) Base RI'!O16</f>
        <v>0</v>
      </c>
      <c r="AA16" s="10">
        <f>'A) Base RI'!V16</f>
        <v>1121</v>
      </c>
    </row>
    <row r="17" spans="1:27" x14ac:dyDescent="0.25">
      <c r="A17" s="8">
        <f>'A) Base RI'!A17</f>
        <v>5411</v>
      </c>
      <c r="B17" s="32" t="str">
        <f>'A) Base RI'!B17</f>
        <v>Ormont-Dessus</v>
      </c>
      <c r="C17" s="10">
        <f>'A) Base RI'!C17+'A) Base RI'!D17</f>
        <v>4508661.5199999996</v>
      </c>
      <c r="D17" s="10">
        <f>'A) Base RI'!W17</f>
        <v>-46070.25</v>
      </c>
      <c r="E17" s="406">
        <f>'A) Base RI'!X17</f>
        <v>0</v>
      </c>
      <c r="F17" s="406">
        <f>'A) Base RI'!Y17</f>
        <v>-608.16999999999996</v>
      </c>
      <c r="G17" s="420">
        <f t="shared" si="0"/>
        <v>4461983.0999999996</v>
      </c>
      <c r="H17" s="10">
        <f>+'A) Base RI'!E17</f>
        <v>0</v>
      </c>
      <c r="I17" s="10">
        <f>+'A) Base RI'!F17</f>
        <v>0</v>
      </c>
      <c r="J17" s="10">
        <f>+'A) Base RI'!G17+'A) Base RI'!H17+'A) Base RI'!I17</f>
        <v>61509.183753279882</v>
      </c>
      <c r="K17" s="10">
        <f>+'A) Base RI'!J17</f>
        <v>67080.78</v>
      </c>
      <c r="L17" s="10">
        <f>+'A) Base RI'!K17</f>
        <v>119038.02</v>
      </c>
      <c r="M17" s="10">
        <f>+'A) Base RI'!L17</f>
        <v>21713.05</v>
      </c>
      <c r="N17" s="10">
        <f>+'A) Base RI'!R17</f>
        <v>-114.66</v>
      </c>
      <c r="O17" s="10">
        <f t="shared" si="1"/>
        <v>787211.20000000007</v>
      </c>
      <c r="P17" s="10">
        <f>+'A) Base RI'!M17</f>
        <v>1180816.8</v>
      </c>
      <c r="Q17" s="428">
        <f>'A) Base RI'!Z17</f>
        <v>1.5</v>
      </c>
      <c r="R17" s="420">
        <f t="shared" si="2"/>
        <v>5518420.6737532793</v>
      </c>
      <c r="S17" s="410">
        <f>+'A) Base RI'!U17</f>
        <v>76</v>
      </c>
      <c r="T17" s="420">
        <f t="shared" si="3"/>
        <v>4709496.4237532793</v>
      </c>
      <c r="U17" s="420">
        <f t="shared" si="4"/>
        <v>72610.798338858935</v>
      </c>
      <c r="V17" s="10">
        <f>+'A) Base RI'!P17</f>
        <v>123078.6</v>
      </c>
      <c r="W17" s="10">
        <f>+'A) Base RI'!Q17</f>
        <v>354188.05</v>
      </c>
      <c r="X17" s="10">
        <f>+'A) Base RI'!S17</f>
        <v>260238.1</v>
      </c>
      <c r="Y17" s="420">
        <f t="shared" si="5"/>
        <v>737504.75</v>
      </c>
      <c r="Z17" s="10">
        <f>+'A) Base RI'!O17</f>
        <v>10324.950000000001</v>
      </c>
      <c r="AA17" s="10">
        <f>'A) Base RI'!V17</f>
        <v>1446</v>
      </c>
    </row>
    <row r="18" spans="1:27" x14ac:dyDescent="0.25">
      <c r="A18" s="8">
        <f>'A) Base RI'!A18</f>
        <v>5412</v>
      </c>
      <c r="B18" s="32" t="str">
        <f>'A) Base RI'!B18</f>
        <v>Rennaz</v>
      </c>
      <c r="C18" s="10">
        <f>'A) Base RI'!C18+'A) Base RI'!D18</f>
        <v>1277986.6500000001</v>
      </c>
      <c r="D18" s="10">
        <f>'A) Base RI'!W18</f>
        <v>-51995.75</v>
      </c>
      <c r="E18" s="406">
        <f>'A) Base RI'!X18</f>
        <v>0</v>
      </c>
      <c r="F18" s="406">
        <f>'A) Base RI'!Y18</f>
        <v>-62.62</v>
      </c>
      <c r="G18" s="420">
        <f t="shared" si="0"/>
        <v>1225928.28</v>
      </c>
      <c r="H18" s="10">
        <f>+'A) Base RI'!E18</f>
        <v>0</v>
      </c>
      <c r="I18" s="10">
        <f>+'A) Base RI'!F18</f>
        <v>0</v>
      </c>
      <c r="J18" s="10">
        <f>+'A) Base RI'!G18+'A) Base RI'!H18+'A) Base RI'!I18</f>
        <v>176827.7019068354</v>
      </c>
      <c r="K18" s="10">
        <f>+'A) Base RI'!J18</f>
        <v>26681.200000000001</v>
      </c>
      <c r="L18" s="10">
        <f>+'A) Base RI'!K18</f>
        <v>83177.75</v>
      </c>
      <c r="M18" s="10">
        <f>+'A) Base RI'!L18</f>
        <v>48414.7</v>
      </c>
      <c r="N18" s="10">
        <f>+'A) Base RI'!R18</f>
        <v>7537.12</v>
      </c>
      <c r="O18" s="10">
        <f t="shared" si="1"/>
        <v>217898.9</v>
      </c>
      <c r="P18" s="10">
        <f>+'A) Base RI'!M18</f>
        <v>217898.9</v>
      </c>
      <c r="Q18" s="428">
        <f>'A) Base RI'!Z18</f>
        <v>1</v>
      </c>
      <c r="R18" s="420">
        <f t="shared" si="2"/>
        <v>1786465.6519068354</v>
      </c>
      <c r="S18" s="410">
        <f>+'A) Base RI'!U18</f>
        <v>67.5</v>
      </c>
      <c r="T18" s="420">
        <f t="shared" si="3"/>
        <v>1520152.0519068355</v>
      </c>
      <c r="U18" s="420">
        <f t="shared" si="4"/>
        <v>26466.15780602719</v>
      </c>
      <c r="V18" s="10">
        <f>+'A) Base RI'!P18</f>
        <v>0</v>
      </c>
      <c r="W18" s="10">
        <f>+'A) Base RI'!Q18</f>
        <v>581927.75</v>
      </c>
      <c r="X18" s="10">
        <f>+'A) Base RI'!S18</f>
        <v>242241.05</v>
      </c>
      <c r="Y18" s="420">
        <f t="shared" si="5"/>
        <v>824168.8</v>
      </c>
      <c r="Z18" s="10">
        <f>+'A) Base RI'!O18</f>
        <v>91968.35</v>
      </c>
      <c r="AA18" s="10">
        <f>'A) Base RI'!V18</f>
        <v>826</v>
      </c>
    </row>
    <row r="19" spans="1:27" x14ac:dyDescent="0.25">
      <c r="A19" s="8">
        <f>'A) Base RI'!A19</f>
        <v>5413</v>
      </c>
      <c r="B19" s="32" t="str">
        <f>'A) Base RI'!B19</f>
        <v>Roche</v>
      </c>
      <c r="C19" s="10">
        <f>'A) Base RI'!C19+'A) Base RI'!D19</f>
        <v>2124422.91</v>
      </c>
      <c r="D19" s="10">
        <f>'A) Base RI'!W19</f>
        <v>-69426.48</v>
      </c>
      <c r="E19" s="406">
        <f>'A) Base RI'!X19</f>
        <v>0</v>
      </c>
      <c r="F19" s="406">
        <f>'A) Base RI'!Y19</f>
        <v>-76.510000000000005</v>
      </c>
      <c r="G19" s="420">
        <f t="shared" si="0"/>
        <v>2054919.9200000002</v>
      </c>
      <c r="H19" s="10">
        <f>+'A) Base RI'!E19</f>
        <v>0</v>
      </c>
      <c r="I19" s="10">
        <f>+'A) Base RI'!F19</f>
        <v>0</v>
      </c>
      <c r="J19" s="10">
        <f>+'A) Base RI'!G19+'A) Base RI'!H19+'A) Base RI'!I19</f>
        <v>125127.91465680712</v>
      </c>
      <c r="K19" s="10">
        <f>+'A) Base RI'!J19</f>
        <v>0</v>
      </c>
      <c r="L19" s="10">
        <f>+'A) Base RI'!K19</f>
        <v>101427.47</v>
      </c>
      <c r="M19" s="10">
        <f>+'A) Base RI'!L19</f>
        <v>33889.550000000003</v>
      </c>
      <c r="N19" s="10">
        <f>+'A) Base RI'!R19</f>
        <v>23241.56</v>
      </c>
      <c r="O19" s="10">
        <f t="shared" si="1"/>
        <v>244739.8</v>
      </c>
      <c r="P19" s="10">
        <f>+'A) Base RI'!M19</f>
        <v>244739.8</v>
      </c>
      <c r="Q19" s="428">
        <f>'A) Base RI'!Z19</f>
        <v>1</v>
      </c>
      <c r="R19" s="420">
        <f t="shared" si="2"/>
        <v>2583346.214656807</v>
      </c>
      <c r="S19" s="410">
        <f>+'A) Base RI'!U19</f>
        <v>68</v>
      </c>
      <c r="T19" s="420">
        <f t="shared" si="3"/>
        <v>2304716.8646568074</v>
      </c>
      <c r="U19" s="420">
        <f t="shared" si="4"/>
        <v>37990.385509658925</v>
      </c>
      <c r="V19" s="10">
        <f>+'A) Base RI'!P19</f>
        <v>26964.3</v>
      </c>
      <c r="W19" s="10">
        <f>+'A) Base RI'!Q19</f>
        <v>247564.85</v>
      </c>
      <c r="X19" s="10">
        <f>+'A) Base RI'!S19</f>
        <v>87070.45</v>
      </c>
      <c r="Y19" s="420">
        <f t="shared" si="5"/>
        <v>361599.60000000003</v>
      </c>
      <c r="Z19" s="10">
        <f>+'A) Base RI'!O19</f>
        <v>228358.3</v>
      </c>
      <c r="AA19" s="10">
        <f>'A) Base RI'!V19</f>
        <v>1775</v>
      </c>
    </row>
    <row r="20" spans="1:27" x14ac:dyDescent="0.25">
      <c r="A20" s="8">
        <f>'A) Base RI'!A20</f>
        <v>5414</v>
      </c>
      <c r="B20" s="32" t="str">
        <f>'A) Base RI'!B20</f>
        <v>Villeneuve</v>
      </c>
      <c r="C20" s="10">
        <f>'A) Base RI'!C20+'A) Base RI'!D20</f>
        <v>9008213.6600000001</v>
      </c>
      <c r="D20" s="10">
        <f>'A) Base RI'!W20</f>
        <v>-256734.91</v>
      </c>
      <c r="E20" s="406">
        <f>'A) Base RI'!X20</f>
        <v>0</v>
      </c>
      <c r="F20" s="406">
        <f>'A) Base RI'!Y20</f>
        <v>-843.06</v>
      </c>
      <c r="G20" s="420">
        <f t="shared" si="0"/>
        <v>8750635.6899999995</v>
      </c>
      <c r="H20" s="10">
        <f>+'A) Base RI'!E20</f>
        <v>0</v>
      </c>
      <c r="I20" s="10">
        <f>+'A) Base RI'!F20</f>
        <v>0</v>
      </c>
      <c r="J20" s="10">
        <f>+'A) Base RI'!G20+'A) Base RI'!H20+'A) Base RI'!I20</f>
        <v>648503.34298561059</v>
      </c>
      <c r="K20" s="10">
        <f>+'A) Base RI'!J20</f>
        <v>137304.20000000001</v>
      </c>
      <c r="L20" s="10">
        <f>+'A) Base RI'!K20</f>
        <v>500025.99</v>
      </c>
      <c r="M20" s="10">
        <f>+'A) Base RI'!L20</f>
        <v>150985.95000000001</v>
      </c>
      <c r="N20" s="10">
        <f>+'A) Base RI'!R20</f>
        <v>35069.129999999997</v>
      </c>
      <c r="O20" s="10">
        <f t="shared" si="1"/>
        <v>1200106.1000000001</v>
      </c>
      <c r="P20" s="10">
        <f>+'A) Base RI'!M20</f>
        <v>1200106.1000000001</v>
      </c>
      <c r="Q20" s="428">
        <f>'A) Base RI'!Z20</f>
        <v>1</v>
      </c>
      <c r="R20" s="420">
        <f t="shared" si="2"/>
        <v>11422630.40298561</v>
      </c>
      <c r="S20" s="410">
        <f>+'A) Base RI'!U20</f>
        <v>69</v>
      </c>
      <c r="T20" s="420">
        <f t="shared" si="3"/>
        <v>10071538.352985611</v>
      </c>
      <c r="U20" s="420">
        <f t="shared" si="4"/>
        <v>165545.36815921174</v>
      </c>
      <c r="V20" s="10">
        <f>+'A) Base RI'!P20</f>
        <v>640549.19999999995</v>
      </c>
      <c r="W20" s="10">
        <f>+'A) Base RI'!Q20</f>
        <v>799684.8</v>
      </c>
      <c r="X20" s="10">
        <f>+'A) Base RI'!S20</f>
        <v>227065.15</v>
      </c>
      <c r="Y20" s="420">
        <f t="shared" si="5"/>
        <v>1667299.15</v>
      </c>
      <c r="Z20" s="10">
        <f>+'A) Base RI'!O20</f>
        <v>1387107.6</v>
      </c>
      <c r="AA20" s="10">
        <f>'A) Base RI'!V20</f>
        <v>5771</v>
      </c>
    </row>
    <row r="21" spans="1:27" x14ac:dyDescent="0.25">
      <c r="A21" s="8">
        <f>'A) Base RI'!A21</f>
        <v>5415</v>
      </c>
      <c r="B21" s="32" t="str">
        <f>'A) Base RI'!B21</f>
        <v>Yvorne</v>
      </c>
      <c r="C21" s="10">
        <f>'A) Base RI'!C21+'A) Base RI'!D21</f>
        <v>2018356.28</v>
      </c>
      <c r="D21" s="10">
        <f>'A) Base RI'!W21</f>
        <v>-28198.14</v>
      </c>
      <c r="E21" s="406">
        <f>'A) Base RI'!X21</f>
        <v>0</v>
      </c>
      <c r="F21" s="406">
        <f>'A) Base RI'!Y21</f>
        <v>-634.12</v>
      </c>
      <c r="G21" s="420">
        <f t="shared" si="0"/>
        <v>1989524.02</v>
      </c>
      <c r="H21" s="10">
        <f>+'A) Base RI'!E21</f>
        <v>0</v>
      </c>
      <c r="I21" s="10">
        <f>+'A) Base RI'!F21</f>
        <v>0</v>
      </c>
      <c r="J21" s="10">
        <f>+'A) Base RI'!G21+'A) Base RI'!H21+'A) Base RI'!I21</f>
        <v>104122.17835723401</v>
      </c>
      <c r="K21" s="10">
        <f>+'A) Base RI'!J21</f>
        <v>567.5</v>
      </c>
      <c r="L21" s="10">
        <f>+'A) Base RI'!K21</f>
        <v>64534.82</v>
      </c>
      <c r="M21" s="10">
        <f>+'A) Base RI'!L21</f>
        <v>8444.25</v>
      </c>
      <c r="N21" s="10">
        <f>+'A) Base RI'!R21</f>
        <v>11963.97</v>
      </c>
      <c r="O21" s="10">
        <f t="shared" si="1"/>
        <v>206407.69999999998</v>
      </c>
      <c r="P21" s="10">
        <f>+'A) Base RI'!M21</f>
        <v>309611.55</v>
      </c>
      <c r="Q21" s="428">
        <f>'A) Base RI'!Z21</f>
        <v>1.5</v>
      </c>
      <c r="R21" s="420">
        <f t="shared" si="2"/>
        <v>2385564.4383572345</v>
      </c>
      <c r="S21" s="410">
        <f>+'A) Base RI'!U21</f>
        <v>71.5</v>
      </c>
      <c r="T21" s="420">
        <f t="shared" si="3"/>
        <v>2170712.4883572343</v>
      </c>
      <c r="U21" s="420">
        <f t="shared" si="4"/>
        <v>33364.537599401883</v>
      </c>
      <c r="V21" s="10">
        <f>+'A) Base RI'!P21</f>
        <v>1177.9000000000001</v>
      </c>
      <c r="W21" s="10">
        <f>+'A) Base RI'!Q21</f>
        <v>90705.75</v>
      </c>
      <c r="X21" s="10">
        <f>+'A) Base RI'!S21</f>
        <v>47979.8</v>
      </c>
      <c r="Y21" s="420">
        <f t="shared" si="5"/>
        <v>139863.45000000001</v>
      </c>
      <c r="Z21" s="10">
        <f>+'A) Base RI'!O21</f>
        <v>37308.5</v>
      </c>
      <c r="AA21" s="10">
        <f>'A) Base RI'!V21</f>
        <v>1066</v>
      </c>
    </row>
    <row r="22" spans="1:27" x14ac:dyDescent="0.25">
      <c r="A22" s="8">
        <f>'A) Base RI'!A22</f>
        <v>5421</v>
      </c>
      <c r="B22" s="32" t="str">
        <f>'A) Base RI'!B22</f>
        <v>Apples</v>
      </c>
      <c r="C22" s="10">
        <f>'A) Base RI'!C22+'A) Base RI'!D22</f>
        <v>4862145.21</v>
      </c>
      <c r="D22" s="10">
        <f>'A) Base RI'!W22</f>
        <v>-83924.68</v>
      </c>
      <c r="E22" s="406">
        <f>'A) Base RI'!X22</f>
        <v>0</v>
      </c>
      <c r="F22" s="406">
        <f>'A) Base RI'!Y22</f>
        <v>-1675.87</v>
      </c>
      <c r="G22" s="420">
        <f t="shared" si="0"/>
        <v>4776544.66</v>
      </c>
      <c r="H22" s="10">
        <f>+'A) Base RI'!E22</f>
        <v>0</v>
      </c>
      <c r="I22" s="10">
        <f>+'A) Base RI'!F22</f>
        <v>0</v>
      </c>
      <c r="J22" s="10">
        <f>+'A) Base RI'!G22+'A) Base RI'!H22+'A) Base RI'!I22</f>
        <v>182313.98979485154</v>
      </c>
      <c r="K22" s="10">
        <f>+'A) Base RI'!J22</f>
        <v>-387052.39</v>
      </c>
      <c r="L22" s="10">
        <f>+'A) Base RI'!K22</f>
        <v>214893.62</v>
      </c>
      <c r="M22" s="10">
        <f>+'A) Base RI'!L22</f>
        <v>12675.65</v>
      </c>
      <c r="N22" s="10">
        <f>+'A) Base RI'!R22</f>
        <v>1238.24</v>
      </c>
      <c r="O22" s="10">
        <f t="shared" si="1"/>
        <v>289507.84999999998</v>
      </c>
      <c r="P22" s="10">
        <f>+'A) Base RI'!M22</f>
        <v>289507.84999999998</v>
      </c>
      <c r="Q22" s="428">
        <f>'A) Base RI'!Z22</f>
        <v>1</v>
      </c>
      <c r="R22" s="420">
        <f t="shared" si="2"/>
        <v>5090121.6197948521</v>
      </c>
      <c r="S22" s="410">
        <f>+'A) Base RI'!U22</f>
        <v>76</v>
      </c>
      <c r="T22" s="420">
        <f t="shared" si="3"/>
        <v>4787938.1197948521</v>
      </c>
      <c r="U22" s="420">
        <f t="shared" si="4"/>
        <v>66975.284470984901</v>
      </c>
      <c r="V22" s="10">
        <f>+'A) Base RI'!P22</f>
        <v>2947.5</v>
      </c>
      <c r="W22" s="10">
        <f>+'A) Base RI'!Q22</f>
        <v>109777.35</v>
      </c>
      <c r="X22" s="10">
        <f>+'A) Base RI'!S22</f>
        <v>70069.399999999994</v>
      </c>
      <c r="Y22" s="420">
        <f t="shared" si="5"/>
        <v>182794.25</v>
      </c>
      <c r="Z22" s="10">
        <f>+'A) Base RI'!O22</f>
        <v>27569.15</v>
      </c>
      <c r="AA22" s="10">
        <f>'A) Base RI'!V22</f>
        <v>1469</v>
      </c>
    </row>
    <row r="23" spans="1:27" x14ac:dyDescent="0.25">
      <c r="A23" s="8">
        <f>'A) Base RI'!A23</f>
        <v>5422</v>
      </c>
      <c r="B23" s="32" t="str">
        <f>'A) Base RI'!B23</f>
        <v>Aubonne</v>
      </c>
      <c r="C23" s="10">
        <f>'A) Base RI'!C23+'A) Base RI'!D23</f>
        <v>10939660.450000001</v>
      </c>
      <c r="D23" s="10">
        <f>'A) Base RI'!W23</f>
        <v>-84992.53</v>
      </c>
      <c r="E23" s="406">
        <f>'A) Base RI'!X23</f>
        <v>0</v>
      </c>
      <c r="F23" s="406">
        <f>'A) Base RI'!Y23</f>
        <v>-1803.41</v>
      </c>
      <c r="G23" s="420">
        <f t="shared" si="0"/>
        <v>10852864.510000002</v>
      </c>
      <c r="H23" s="10">
        <f>+'A) Base RI'!E23</f>
        <v>0</v>
      </c>
      <c r="I23" s="10">
        <f>+'A) Base RI'!F23</f>
        <v>0</v>
      </c>
      <c r="J23" s="10">
        <f>+'A) Base RI'!G23+'A) Base RI'!H23+'A) Base RI'!I23</f>
        <v>2442210.4141178727</v>
      </c>
      <c r="K23" s="10">
        <f>+'A) Base RI'!J23</f>
        <v>240354.05</v>
      </c>
      <c r="L23" s="10">
        <f>+'A) Base RI'!K23</f>
        <v>669107.03</v>
      </c>
      <c r="M23" s="10">
        <f>+'A) Base RI'!L23</f>
        <v>185342.2</v>
      </c>
      <c r="N23" s="10">
        <f>+'A) Base RI'!R23</f>
        <v>4139.51</v>
      </c>
      <c r="O23" s="10">
        <f t="shared" si="1"/>
        <v>944512.26</v>
      </c>
      <c r="P23" s="10">
        <f>+'A) Base RI'!M23</f>
        <v>944512.26</v>
      </c>
      <c r="Q23" s="428">
        <f>'A) Base RI'!Z23</f>
        <v>1</v>
      </c>
      <c r="R23" s="420">
        <f t="shared" si="2"/>
        <v>15338529.974117873</v>
      </c>
      <c r="S23" s="410">
        <f>+'A) Base RI'!U23</f>
        <v>68</v>
      </c>
      <c r="T23" s="420">
        <f t="shared" si="3"/>
        <v>14208675.514117874</v>
      </c>
      <c r="U23" s="420">
        <f t="shared" si="4"/>
        <v>225566.61726643931</v>
      </c>
      <c r="V23" s="10">
        <f>+'A) Base RI'!P23</f>
        <v>461684.8</v>
      </c>
      <c r="W23" s="10">
        <f>+'A) Base RI'!Q23</f>
        <v>446452.45</v>
      </c>
      <c r="X23" s="10">
        <f>+'A) Base RI'!S23</f>
        <v>1448074.1</v>
      </c>
      <c r="Y23" s="420">
        <f t="shared" si="5"/>
        <v>2356211.35</v>
      </c>
      <c r="Z23" s="10">
        <f>+'A) Base RI'!O23</f>
        <v>883114.1</v>
      </c>
      <c r="AA23" s="10">
        <f>'A) Base RI'!V23</f>
        <v>3242</v>
      </c>
    </row>
    <row r="24" spans="1:27" x14ac:dyDescent="0.25">
      <c r="A24" s="8">
        <f>'A) Base RI'!A24</f>
        <v>5423</v>
      </c>
      <c r="B24" s="32" t="str">
        <f>'A) Base RI'!B24</f>
        <v>Ballens</v>
      </c>
      <c r="C24" s="10">
        <f>'A) Base RI'!C24+'A) Base RI'!D24</f>
        <v>1006693.5</v>
      </c>
      <c r="D24" s="10">
        <f>'A) Base RI'!W24</f>
        <v>-185172.08</v>
      </c>
      <c r="E24" s="406">
        <f>'A) Base RI'!X24</f>
        <v>0</v>
      </c>
      <c r="F24" s="406">
        <f>'A) Base RI'!Y24</f>
        <v>-214.02</v>
      </c>
      <c r="G24" s="420">
        <f t="shared" si="0"/>
        <v>821307.4</v>
      </c>
      <c r="H24" s="10">
        <f>+'A) Base RI'!E24</f>
        <v>0</v>
      </c>
      <c r="I24" s="10">
        <f>+'A) Base RI'!F24</f>
        <v>2730</v>
      </c>
      <c r="J24" s="10">
        <f>+'A) Base RI'!G24+'A) Base RI'!H24+'A) Base RI'!I24</f>
        <v>26259.140597614729</v>
      </c>
      <c r="K24" s="10">
        <f>+'A) Base RI'!J24</f>
        <v>0</v>
      </c>
      <c r="L24" s="10">
        <f>+'A) Base RI'!K24</f>
        <v>60665.62</v>
      </c>
      <c r="M24" s="10">
        <f>+'A) Base RI'!L24</f>
        <v>3179.05</v>
      </c>
      <c r="N24" s="10">
        <f>+'A) Base RI'!R24</f>
        <v>266.7</v>
      </c>
      <c r="O24" s="10">
        <f t="shared" si="1"/>
        <v>74511</v>
      </c>
      <c r="P24" s="10">
        <f>+'A) Base RI'!M24</f>
        <v>37255.5</v>
      </c>
      <c r="Q24" s="428">
        <f>'A) Base RI'!Z24</f>
        <v>0.5</v>
      </c>
      <c r="R24" s="420">
        <f t="shared" si="2"/>
        <v>988918.91059761471</v>
      </c>
      <c r="S24" s="410">
        <f>+'A) Base RI'!U24</f>
        <v>73</v>
      </c>
      <c r="T24" s="420">
        <f t="shared" si="3"/>
        <v>908498.86059761466</v>
      </c>
      <c r="U24" s="420">
        <f t="shared" si="4"/>
        <v>13546.834391748147</v>
      </c>
      <c r="V24" s="10">
        <f>+'A) Base RI'!P24</f>
        <v>0</v>
      </c>
      <c r="W24" s="10">
        <f>+'A) Base RI'!Q24</f>
        <v>20222.8</v>
      </c>
      <c r="X24" s="10">
        <f>+'A) Base RI'!S24</f>
        <v>14117.25</v>
      </c>
      <c r="Y24" s="420">
        <f t="shared" si="5"/>
        <v>34340.050000000003</v>
      </c>
      <c r="Z24" s="10">
        <f>+'A) Base RI'!O24</f>
        <v>20050.099999999999</v>
      </c>
      <c r="AA24" s="10">
        <f>'A) Base RI'!V24</f>
        <v>536</v>
      </c>
    </row>
    <row r="25" spans="1:27" x14ac:dyDescent="0.25">
      <c r="A25" s="8">
        <f>'A) Base RI'!A25</f>
        <v>5424</v>
      </c>
      <c r="B25" s="32" t="str">
        <f>'A) Base RI'!B25</f>
        <v>Berolle</v>
      </c>
      <c r="C25" s="10">
        <f>'A) Base RI'!C25+'A) Base RI'!D25</f>
        <v>689096.57000000007</v>
      </c>
      <c r="D25" s="10">
        <f>'A) Base RI'!W25</f>
        <v>-15019.7</v>
      </c>
      <c r="E25" s="406">
        <f>'A) Base RI'!X25</f>
        <v>0</v>
      </c>
      <c r="F25" s="406">
        <f>'A) Base RI'!Y25</f>
        <v>-196.35</v>
      </c>
      <c r="G25" s="420">
        <f t="shared" si="0"/>
        <v>673880.52000000014</v>
      </c>
      <c r="H25" s="10">
        <f>+'A) Base RI'!E25</f>
        <v>0</v>
      </c>
      <c r="I25" s="10">
        <f>+'A) Base RI'!F25</f>
        <v>0</v>
      </c>
      <c r="J25" s="10">
        <f>+'A) Base RI'!G25+'A) Base RI'!H25+'A) Base RI'!I25</f>
        <v>509.97784485537341</v>
      </c>
      <c r="K25" s="10">
        <f>+'A) Base RI'!J25</f>
        <v>-741.75</v>
      </c>
      <c r="L25" s="10">
        <f>+'A) Base RI'!K25</f>
        <v>-7071.08</v>
      </c>
      <c r="M25" s="10">
        <f>+'A) Base RI'!L25</f>
        <v>767.1</v>
      </c>
      <c r="N25" s="10">
        <f>+'A) Base RI'!R25</f>
        <v>0</v>
      </c>
      <c r="O25" s="10">
        <f t="shared" si="1"/>
        <v>49339.9</v>
      </c>
      <c r="P25" s="10">
        <f>+'A) Base RI'!M25</f>
        <v>49339.9</v>
      </c>
      <c r="Q25" s="428">
        <f>'A) Base RI'!Z25</f>
        <v>1</v>
      </c>
      <c r="R25" s="420">
        <f t="shared" si="2"/>
        <v>716684.66784485558</v>
      </c>
      <c r="S25" s="410">
        <f>+'A) Base RI'!U25</f>
        <v>77</v>
      </c>
      <c r="T25" s="420">
        <f t="shared" si="3"/>
        <v>666577.66784485558</v>
      </c>
      <c r="U25" s="420">
        <f t="shared" si="4"/>
        <v>9307.5930888942275</v>
      </c>
      <c r="V25" s="10">
        <f>+'A) Base RI'!P25</f>
        <v>0</v>
      </c>
      <c r="W25" s="10">
        <f>+'A) Base RI'!Q25</f>
        <v>4002.35</v>
      </c>
      <c r="X25" s="10">
        <f>+'A) Base RI'!S25</f>
        <v>4550</v>
      </c>
      <c r="Y25" s="420">
        <f t="shared" si="5"/>
        <v>8552.35</v>
      </c>
      <c r="Z25" s="10">
        <f>+'A) Base RI'!O25</f>
        <v>0</v>
      </c>
      <c r="AA25" s="10">
        <f>'A) Base RI'!V25</f>
        <v>307</v>
      </c>
    </row>
    <row r="26" spans="1:27" x14ac:dyDescent="0.25">
      <c r="A26" s="8">
        <f>'A) Base RI'!A26</f>
        <v>5425</v>
      </c>
      <c r="B26" s="32" t="str">
        <f>'A) Base RI'!B26</f>
        <v>Bière</v>
      </c>
      <c r="C26" s="10">
        <f>'A) Base RI'!C26+'A) Base RI'!D26</f>
        <v>2345778.38</v>
      </c>
      <c r="D26" s="10">
        <f>'A) Base RI'!W26</f>
        <v>-98388.38</v>
      </c>
      <c r="E26" s="406">
        <f>'A) Base RI'!X26</f>
        <v>0</v>
      </c>
      <c r="F26" s="406">
        <f>'A) Base RI'!Y26</f>
        <v>-2.61</v>
      </c>
      <c r="G26" s="420">
        <f t="shared" si="0"/>
        <v>2247387.39</v>
      </c>
      <c r="H26" s="10">
        <f>+'A) Base RI'!E26</f>
        <v>0</v>
      </c>
      <c r="I26" s="10">
        <f>+'A) Base RI'!F26</f>
        <v>0</v>
      </c>
      <c r="J26" s="10">
        <f>+'A) Base RI'!G26+'A) Base RI'!H26+'A) Base RI'!I26</f>
        <v>75685.226021901821</v>
      </c>
      <c r="K26" s="10">
        <f>+'A) Base RI'!J26</f>
        <v>0</v>
      </c>
      <c r="L26" s="10">
        <f>+'A) Base RI'!K26</f>
        <v>143065.01999999999</v>
      </c>
      <c r="M26" s="10">
        <f>+'A) Base RI'!L26</f>
        <v>16082.9</v>
      </c>
      <c r="N26" s="10">
        <f>+'A) Base RI'!R26</f>
        <v>16103.51</v>
      </c>
      <c r="O26" s="10">
        <f t="shared" si="1"/>
        <v>197150.25862068965</v>
      </c>
      <c r="P26" s="10">
        <f>+'A) Base RI'!M26</f>
        <v>114347.15</v>
      </c>
      <c r="Q26" s="428">
        <f>'A) Base RI'!Z26</f>
        <v>0.57999999999999996</v>
      </c>
      <c r="R26" s="420">
        <f t="shared" si="2"/>
        <v>2695474.3046425912</v>
      </c>
      <c r="S26" s="410">
        <f>+'A) Base RI'!U26</f>
        <v>70</v>
      </c>
      <c r="T26" s="420">
        <f t="shared" si="3"/>
        <v>2482241.1460219016</v>
      </c>
      <c r="U26" s="420">
        <f t="shared" si="4"/>
        <v>38506.775780608448</v>
      </c>
      <c r="V26" s="10">
        <f>+'A) Base RI'!P26</f>
        <v>45543.5</v>
      </c>
      <c r="W26" s="10">
        <f>+'A) Base RI'!Q26</f>
        <v>65086.1</v>
      </c>
      <c r="X26" s="10">
        <f>+'A) Base RI'!S26</f>
        <v>42665.15</v>
      </c>
      <c r="Y26" s="420">
        <f t="shared" si="5"/>
        <v>153294.75</v>
      </c>
      <c r="Z26" s="10">
        <f>+'A) Base RI'!O26</f>
        <v>57880.65</v>
      </c>
      <c r="AA26" s="10">
        <f>'A) Base RI'!V26</f>
        <v>1595</v>
      </c>
    </row>
    <row r="27" spans="1:27" x14ac:dyDescent="0.25">
      <c r="A27" s="8">
        <f>'A) Base RI'!A27</f>
        <v>5426</v>
      </c>
      <c r="B27" s="32" t="str">
        <f>'A) Base RI'!B27</f>
        <v>Bougy-Villars</v>
      </c>
      <c r="C27" s="10">
        <f>'A) Base RI'!C27+'A) Base RI'!D27</f>
        <v>2426040.58</v>
      </c>
      <c r="D27" s="10">
        <f>'A) Base RI'!W27</f>
        <v>-5555.45</v>
      </c>
      <c r="E27" s="406">
        <f>'A) Base RI'!X27</f>
        <v>0</v>
      </c>
      <c r="F27" s="406">
        <f>'A) Base RI'!Y27</f>
        <v>-1636.76</v>
      </c>
      <c r="G27" s="420">
        <f t="shared" si="0"/>
        <v>2418848.37</v>
      </c>
      <c r="H27" s="10">
        <f>+'A) Base RI'!E27</f>
        <v>0</v>
      </c>
      <c r="I27" s="10">
        <f>+'A) Base RI'!F27</f>
        <v>0</v>
      </c>
      <c r="J27" s="10">
        <f>+'A) Base RI'!G27+'A) Base RI'!H27+'A) Base RI'!I27</f>
        <v>13260.114395092207</v>
      </c>
      <c r="K27" s="10">
        <f>+'A) Base RI'!J27</f>
        <v>645105.65</v>
      </c>
      <c r="L27" s="10">
        <f>+'A) Base RI'!K27</f>
        <v>22792.9</v>
      </c>
      <c r="M27" s="10">
        <f>+'A) Base RI'!L27</f>
        <v>6577.3</v>
      </c>
      <c r="N27" s="10">
        <f>+'A) Base RI'!R27</f>
        <v>-6543.37</v>
      </c>
      <c r="O27" s="10">
        <f t="shared" si="1"/>
        <v>243293.79166666666</v>
      </c>
      <c r="P27" s="10">
        <f>+'A) Base RI'!M27</f>
        <v>291952.55</v>
      </c>
      <c r="Q27" s="428">
        <f>'A) Base RI'!Z27</f>
        <v>1.2</v>
      </c>
      <c r="R27" s="420">
        <f t="shared" si="2"/>
        <v>3343334.7560617584</v>
      </c>
      <c r="S27" s="410">
        <f>+'A) Base RI'!U27</f>
        <v>66</v>
      </c>
      <c r="T27" s="420">
        <f t="shared" si="3"/>
        <v>3093463.6643950921</v>
      </c>
      <c r="U27" s="420">
        <f t="shared" si="4"/>
        <v>50656.587213056948</v>
      </c>
      <c r="V27" s="10">
        <f>+'A) Base RI'!P27</f>
        <v>2170859.9</v>
      </c>
      <c r="W27" s="10">
        <f>+'A) Base RI'!Q27</f>
        <v>103518.8</v>
      </c>
      <c r="X27" s="10">
        <f>+'A) Base RI'!S27</f>
        <v>2479.15</v>
      </c>
      <c r="Y27" s="420">
        <f t="shared" si="5"/>
        <v>2276857.8499999996</v>
      </c>
      <c r="Z27" s="10">
        <f>+'A) Base RI'!O27</f>
        <v>16551.05</v>
      </c>
      <c r="AA27" s="10">
        <f>'A) Base RI'!V27</f>
        <v>490</v>
      </c>
    </row>
    <row r="28" spans="1:27" x14ac:dyDescent="0.25">
      <c r="A28" s="8">
        <f>'A) Base RI'!A28</f>
        <v>5427</v>
      </c>
      <c r="B28" s="32" t="str">
        <f>'A) Base RI'!B28</f>
        <v>Féchy</v>
      </c>
      <c r="C28" s="10">
        <f>'A) Base RI'!C28+'A) Base RI'!D28</f>
        <v>3928639.5300000003</v>
      </c>
      <c r="D28" s="10">
        <f>'A) Base RI'!W28</f>
        <v>-80706.03</v>
      </c>
      <c r="E28" s="406">
        <f>'A) Base RI'!X28</f>
        <v>0</v>
      </c>
      <c r="F28" s="406">
        <f>'A) Base RI'!Y28</f>
        <v>0</v>
      </c>
      <c r="G28" s="420">
        <f t="shared" si="0"/>
        <v>3847933.5000000005</v>
      </c>
      <c r="H28" s="10">
        <f>+'A) Base RI'!E28</f>
        <v>0</v>
      </c>
      <c r="I28" s="10">
        <f>+'A) Base RI'!F28</f>
        <v>0</v>
      </c>
      <c r="J28" s="10">
        <f>+'A) Base RI'!G28+'A) Base RI'!H28+'A) Base RI'!I28</f>
        <v>17349.635328321798</v>
      </c>
      <c r="K28" s="10">
        <f>+'A) Base RI'!J28</f>
        <v>395011.25</v>
      </c>
      <c r="L28" s="10">
        <f>+'A) Base RI'!K28</f>
        <v>49438.61</v>
      </c>
      <c r="M28" s="10">
        <f>+'A) Base RI'!L28</f>
        <v>4090.2</v>
      </c>
      <c r="N28" s="10">
        <f>+'A) Base RI'!R28</f>
        <v>0</v>
      </c>
      <c r="O28" s="10">
        <f t="shared" si="1"/>
        <v>344441.57692307688</v>
      </c>
      <c r="P28" s="10">
        <f>+'A) Base RI'!M28</f>
        <v>447774.05</v>
      </c>
      <c r="Q28" s="428">
        <f>'A) Base RI'!Z28</f>
        <v>1.3</v>
      </c>
      <c r="R28" s="420">
        <f t="shared" si="2"/>
        <v>4658264.7722514002</v>
      </c>
      <c r="S28" s="410">
        <f>+'A) Base RI'!U28</f>
        <v>64</v>
      </c>
      <c r="T28" s="420">
        <f t="shared" si="3"/>
        <v>4309732.995328323</v>
      </c>
      <c r="U28" s="420">
        <f t="shared" si="4"/>
        <v>72785.387066428128</v>
      </c>
      <c r="V28" s="10">
        <f>+'A) Base RI'!P28</f>
        <v>37690.199999999997</v>
      </c>
      <c r="W28" s="10">
        <f>+'A) Base RI'!Q28</f>
        <v>252488.85</v>
      </c>
      <c r="X28" s="10">
        <f>+'A) Base RI'!S28</f>
        <v>134378.15</v>
      </c>
      <c r="Y28" s="420">
        <f t="shared" si="5"/>
        <v>424557.19999999995</v>
      </c>
      <c r="Z28" s="10">
        <f>+'A) Base RI'!O28</f>
        <v>11374.1</v>
      </c>
      <c r="AA28" s="10">
        <f>'A) Base RI'!V28</f>
        <v>860</v>
      </c>
    </row>
    <row r="29" spans="1:27" x14ac:dyDescent="0.25">
      <c r="A29" s="8">
        <f>'A) Base RI'!A29</f>
        <v>5428</v>
      </c>
      <c r="B29" s="32" t="str">
        <f>'A) Base RI'!B29</f>
        <v>Gimel</v>
      </c>
      <c r="C29" s="10">
        <f>'A) Base RI'!C29+'A) Base RI'!D29</f>
        <v>3621956.24</v>
      </c>
      <c r="D29" s="10">
        <f>'A) Base RI'!W29</f>
        <v>-75426.34</v>
      </c>
      <c r="E29" s="406">
        <f>'A) Base RI'!X29</f>
        <v>0</v>
      </c>
      <c r="F29" s="406">
        <f>'A) Base RI'!Y29</f>
        <v>-59.63</v>
      </c>
      <c r="G29" s="420">
        <f t="shared" si="0"/>
        <v>3546470.2700000005</v>
      </c>
      <c r="H29" s="10">
        <f>+'A) Base RI'!E29</f>
        <v>0</v>
      </c>
      <c r="I29" s="10">
        <f>+'A) Base RI'!F29</f>
        <v>0</v>
      </c>
      <c r="J29" s="10">
        <f>+'A) Base RI'!G29+'A) Base RI'!H29+'A) Base RI'!I29</f>
        <v>105125.3853713024</v>
      </c>
      <c r="K29" s="10">
        <f>+'A) Base RI'!J29</f>
        <v>42710.15</v>
      </c>
      <c r="L29" s="10">
        <f>+'A) Base RI'!K29</f>
        <v>162212.21</v>
      </c>
      <c r="M29" s="10">
        <f>+'A) Base RI'!L29</f>
        <v>15766.45</v>
      </c>
      <c r="N29" s="10">
        <f>+'A) Base RI'!R29</f>
        <v>8198.9500000000007</v>
      </c>
      <c r="O29" s="10">
        <f t="shared" si="1"/>
        <v>331591.25</v>
      </c>
      <c r="P29" s="10">
        <f>+'A) Base RI'!M29</f>
        <v>397909.5</v>
      </c>
      <c r="Q29" s="428">
        <f>'A) Base RI'!Z29</f>
        <v>1.2</v>
      </c>
      <c r="R29" s="420">
        <f t="shared" si="2"/>
        <v>4212074.6653713025</v>
      </c>
      <c r="S29" s="410">
        <f>+'A) Base RI'!U29</f>
        <v>71.5</v>
      </c>
      <c r="T29" s="420">
        <f t="shared" si="3"/>
        <v>3864716.9653713028</v>
      </c>
      <c r="U29" s="420">
        <f t="shared" si="4"/>
        <v>58910.135180018216</v>
      </c>
      <c r="V29" s="10">
        <f>+'A) Base RI'!P29</f>
        <v>124279.5</v>
      </c>
      <c r="W29" s="10">
        <f>+'A) Base RI'!Q29</f>
        <v>386124.45</v>
      </c>
      <c r="X29" s="10">
        <f>+'A) Base RI'!S29</f>
        <v>194064.55</v>
      </c>
      <c r="Y29" s="420">
        <f t="shared" si="5"/>
        <v>704468.5</v>
      </c>
      <c r="Z29" s="10">
        <f>+'A) Base RI'!O29</f>
        <v>228410.25</v>
      </c>
      <c r="AA29" s="10">
        <f>'A) Base RI'!V29</f>
        <v>2186</v>
      </c>
    </row>
    <row r="30" spans="1:27" x14ac:dyDescent="0.25">
      <c r="A30" s="8">
        <f>'A) Base RI'!A30</f>
        <v>5429</v>
      </c>
      <c r="B30" s="32" t="str">
        <f>'A) Base RI'!B30</f>
        <v>Longirod</v>
      </c>
      <c r="C30" s="10">
        <f>'A) Base RI'!C30+'A) Base RI'!D30</f>
        <v>995817.33000000007</v>
      </c>
      <c r="D30" s="10">
        <f>'A) Base RI'!W30</f>
        <v>-7247.67</v>
      </c>
      <c r="E30" s="406">
        <f>'A) Base RI'!X30</f>
        <v>0</v>
      </c>
      <c r="F30" s="406">
        <f>'A) Base RI'!Y30</f>
        <v>-42.22</v>
      </c>
      <c r="G30" s="420">
        <f t="shared" si="0"/>
        <v>988527.44000000006</v>
      </c>
      <c r="H30" s="10">
        <f>+'A) Base RI'!E30</f>
        <v>0</v>
      </c>
      <c r="I30" s="10">
        <f>+'A) Base RI'!F30</f>
        <v>0</v>
      </c>
      <c r="J30" s="10">
        <f>+'A) Base RI'!G30+'A) Base RI'!H30+'A) Base RI'!I30</f>
        <v>3014.8347413463762</v>
      </c>
      <c r="K30" s="10">
        <f>+'A) Base RI'!J30</f>
        <v>0</v>
      </c>
      <c r="L30" s="10">
        <f>+'A) Base RI'!K30</f>
        <v>24882.77</v>
      </c>
      <c r="M30" s="10">
        <f>+'A) Base RI'!L30</f>
        <v>1589.4</v>
      </c>
      <c r="N30" s="10">
        <f>+'A) Base RI'!R30</f>
        <v>1131.28</v>
      </c>
      <c r="O30" s="10">
        <f t="shared" si="1"/>
        <v>95963.8</v>
      </c>
      <c r="P30" s="10">
        <f>+'A) Base RI'!M30</f>
        <v>95963.8</v>
      </c>
      <c r="Q30" s="428">
        <f>'A) Base RI'!Z30</f>
        <v>1</v>
      </c>
      <c r="R30" s="420">
        <f t="shared" si="2"/>
        <v>1115109.5247413465</v>
      </c>
      <c r="S30" s="410">
        <f>+'A) Base RI'!U30</f>
        <v>81</v>
      </c>
      <c r="T30" s="420">
        <f t="shared" si="3"/>
        <v>1017556.3247413465</v>
      </c>
      <c r="U30" s="420">
        <f t="shared" si="4"/>
        <v>13766.784256066006</v>
      </c>
      <c r="V30" s="10">
        <f>+'A) Base RI'!P30</f>
        <v>0</v>
      </c>
      <c r="W30" s="10">
        <f>+'A) Base RI'!Q30</f>
        <v>44047.7</v>
      </c>
      <c r="X30" s="10">
        <f>+'A) Base RI'!S30</f>
        <v>28737.7</v>
      </c>
      <c r="Y30" s="420">
        <f t="shared" si="5"/>
        <v>72785.399999999994</v>
      </c>
      <c r="Z30" s="10">
        <f>+'A) Base RI'!O30</f>
        <v>0</v>
      </c>
      <c r="AA30" s="10">
        <f>'A) Base RI'!V30</f>
        <v>478</v>
      </c>
    </row>
    <row r="31" spans="1:27" x14ac:dyDescent="0.25">
      <c r="A31" s="8">
        <f>'A) Base RI'!A31</f>
        <v>5430</v>
      </c>
      <c r="B31" s="32" t="str">
        <f>'A) Base RI'!B31</f>
        <v>Marchissy</v>
      </c>
      <c r="C31" s="10">
        <f>'A) Base RI'!C31+'A) Base RI'!D31</f>
        <v>940135.5</v>
      </c>
      <c r="D31" s="10">
        <f>'A) Base RI'!W31</f>
        <v>-13287.86</v>
      </c>
      <c r="E31" s="406">
        <f>'A) Base RI'!X31</f>
        <v>0</v>
      </c>
      <c r="F31" s="406">
        <f>'A) Base RI'!Y31</f>
        <v>-72.08</v>
      </c>
      <c r="G31" s="420">
        <f t="shared" si="0"/>
        <v>926775.56</v>
      </c>
      <c r="H31" s="10">
        <f>+'A) Base RI'!E31</f>
        <v>0</v>
      </c>
      <c r="I31" s="10">
        <f>+'A) Base RI'!F31</f>
        <v>0</v>
      </c>
      <c r="J31" s="10">
        <f>+'A) Base RI'!G31+'A) Base RI'!H31+'A) Base RI'!I31</f>
        <v>45640.979303391272</v>
      </c>
      <c r="K31" s="10">
        <f>+'A) Base RI'!J31</f>
        <v>0</v>
      </c>
      <c r="L31" s="10">
        <f>+'A) Base RI'!K31</f>
        <v>12134.07</v>
      </c>
      <c r="M31" s="10">
        <f>+'A) Base RI'!L31</f>
        <v>433.1</v>
      </c>
      <c r="N31" s="10">
        <f>+'A) Base RI'!R31</f>
        <v>10756.33</v>
      </c>
      <c r="O31" s="10">
        <f t="shared" si="1"/>
        <v>85449.7</v>
      </c>
      <c r="P31" s="10">
        <f>+'A) Base RI'!M31</f>
        <v>85449.7</v>
      </c>
      <c r="Q31" s="428">
        <f>'A) Base RI'!Z31</f>
        <v>1</v>
      </c>
      <c r="R31" s="420">
        <f t="shared" si="2"/>
        <v>1081189.7393033912</v>
      </c>
      <c r="S31" s="410">
        <f>+'A) Base RI'!U31</f>
        <v>79</v>
      </c>
      <c r="T31" s="420">
        <f t="shared" si="3"/>
        <v>995306.93930339126</v>
      </c>
      <c r="U31" s="420">
        <f t="shared" si="4"/>
        <v>13685.946067131534</v>
      </c>
      <c r="V31" s="10">
        <f>+'A) Base RI'!P31</f>
        <v>8961.7999999999993</v>
      </c>
      <c r="W31" s="10">
        <f>+'A) Base RI'!Q31</f>
        <v>48220.15</v>
      </c>
      <c r="X31" s="10">
        <f>+'A) Base RI'!S31</f>
        <v>12398.85</v>
      </c>
      <c r="Y31" s="420">
        <f t="shared" si="5"/>
        <v>69580.800000000003</v>
      </c>
      <c r="Z31" s="10">
        <f>+'A) Base RI'!O31</f>
        <v>6788.55</v>
      </c>
      <c r="AA31" s="10">
        <f>'A) Base RI'!V31</f>
        <v>463</v>
      </c>
    </row>
    <row r="32" spans="1:27" x14ac:dyDescent="0.25">
      <c r="A32" s="8">
        <f>'A) Base RI'!A32</f>
        <v>5431</v>
      </c>
      <c r="B32" s="32" t="str">
        <f>'A) Base RI'!B32</f>
        <v>Mollens</v>
      </c>
      <c r="C32" s="10">
        <f>'A) Base RI'!C32+'A) Base RI'!D32</f>
        <v>582880.82000000007</v>
      </c>
      <c r="D32" s="10">
        <f>'A) Base RI'!W32</f>
        <v>-357.13</v>
      </c>
      <c r="E32" s="406">
        <f>'A) Base RI'!X32</f>
        <v>0</v>
      </c>
      <c r="F32" s="406">
        <f>'A) Base RI'!Y32</f>
        <v>-531.15</v>
      </c>
      <c r="G32" s="420">
        <f t="shared" si="0"/>
        <v>581992.54</v>
      </c>
      <c r="H32" s="10">
        <f>+'A) Base RI'!E32</f>
        <v>0</v>
      </c>
      <c r="I32" s="10">
        <f>+'A) Base RI'!F32</f>
        <v>0</v>
      </c>
      <c r="J32" s="10">
        <f>+'A) Base RI'!G32+'A) Base RI'!H32+'A) Base RI'!I32</f>
        <v>103.76226819257067</v>
      </c>
      <c r="K32" s="10">
        <f>+'A) Base RI'!J32</f>
        <v>0</v>
      </c>
      <c r="L32" s="10">
        <f>+'A) Base RI'!K32</f>
        <v>7809.53</v>
      </c>
      <c r="M32" s="10">
        <f>+'A) Base RI'!L32</f>
        <v>300.85000000000002</v>
      </c>
      <c r="N32" s="10">
        <f>+'A) Base RI'!R32</f>
        <v>277.45</v>
      </c>
      <c r="O32" s="10">
        <f t="shared" si="1"/>
        <v>48212.800000000003</v>
      </c>
      <c r="P32" s="10">
        <f>+'A) Base RI'!M32</f>
        <v>48212.800000000003</v>
      </c>
      <c r="Q32" s="428">
        <f>'A) Base RI'!Z32</f>
        <v>1</v>
      </c>
      <c r="R32" s="420">
        <f t="shared" si="2"/>
        <v>638696.93226819264</v>
      </c>
      <c r="S32" s="410">
        <f>+'A) Base RI'!U32</f>
        <v>74</v>
      </c>
      <c r="T32" s="420">
        <f t="shared" si="3"/>
        <v>590183.28226819262</v>
      </c>
      <c r="U32" s="420">
        <f t="shared" si="4"/>
        <v>8631.0396252458468</v>
      </c>
      <c r="V32" s="10">
        <f>+'A) Base RI'!P32</f>
        <v>51520</v>
      </c>
      <c r="W32" s="10">
        <f>+'A) Base RI'!Q32</f>
        <v>42447.1</v>
      </c>
      <c r="X32" s="10">
        <f>+'A) Base RI'!S32</f>
        <v>1102.5</v>
      </c>
      <c r="Y32" s="420">
        <f t="shared" si="5"/>
        <v>95069.6</v>
      </c>
      <c r="Z32" s="10">
        <f>+'A) Base RI'!O32</f>
        <v>275.7</v>
      </c>
      <c r="AA32" s="10">
        <f>'A) Base RI'!V32</f>
        <v>283</v>
      </c>
    </row>
    <row r="33" spans="1:27" x14ac:dyDescent="0.25">
      <c r="A33" s="8">
        <f>'A) Base RI'!A33</f>
        <v>5432</v>
      </c>
      <c r="B33" s="32" t="str">
        <f>'A) Base RI'!B33</f>
        <v>Montherod</v>
      </c>
      <c r="C33" s="10">
        <f>'A) Base RI'!C33+'A) Base RI'!D33</f>
        <v>1263007.78</v>
      </c>
      <c r="D33" s="10">
        <f>'A) Base RI'!W33</f>
        <v>-12190.48</v>
      </c>
      <c r="E33" s="406">
        <f>'A) Base RI'!X33</f>
        <v>-12258.4</v>
      </c>
      <c r="F33" s="406">
        <f>'A) Base RI'!Y33</f>
        <v>-26.32</v>
      </c>
      <c r="G33" s="420">
        <f t="shared" si="0"/>
        <v>1238532.58</v>
      </c>
      <c r="H33" s="10">
        <f>+'A) Base RI'!E33</f>
        <v>0</v>
      </c>
      <c r="I33" s="10">
        <f>+'A) Base RI'!F33</f>
        <v>0</v>
      </c>
      <c r="J33" s="10">
        <f>+'A) Base RI'!G33+'A) Base RI'!H33+'A) Base RI'!I33</f>
        <v>17118.911803229636</v>
      </c>
      <c r="K33" s="10">
        <f>+'A) Base RI'!J33</f>
        <v>0</v>
      </c>
      <c r="L33" s="10">
        <f>+'A) Base RI'!K33</f>
        <v>49648.160000000003</v>
      </c>
      <c r="M33" s="10">
        <f>+'A) Base RI'!L33</f>
        <v>5014.3</v>
      </c>
      <c r="N33" s="10">
        <f>+'A) Base RI'!R33</f>
        <v>8483.11</v>
      </c>
      <c r="O33" s="10">
        <f t="shared" si="1"/>
        <v>94546.1</v>
      </c>
      <c r="P33" s="10">
        <f>+'A) Base RI'!M33</f>
        <v>94546.1</v>
      </c>
      <c r="Q33" s="428">
        <f>'A) Base RI'!Z33</f>
        <v>1</v>
      </c>
      <c r="R33" s="420">
        <f t="shared" si="2"/>
        <v>1413343.1618032299</v>
      </c>
      <c r="S33" s="410">
        <f>+'A) Base RI'!U33</f>
        <v>78</v>
      </c>
      <c r="T33" s="420">
        <f t="shared" si="3"/>
        <v>1313782.7618032298</v>
      </c>
      <c r="U33" s="420">
        <f t="shared" si="4"/>
        <v>18119.784125682436</v>
      </c>
      <c r="V33" s="10">
        <f>+'A) Base RI'!P33</f>
        <v>0</v>
      </c>
      <c r="W33" s="10">
        <f>+'A) Base RI'!Q33</f>
        <v>24744.5</v>
      </c>
      <c r="X33" s="10">
        <f>+'A) Base RI'!S33</f>
        <v>20579.05</v>
      </c>
      <c r="Y33" s="420">
        <f t="shared" si="5"/>
        <v>45323.55</v>
      </c>
      <c r="Z33" s="10">
        <f>+'A) Base RI'!O33</f>
        <v>16499.2</v>
      </c>
      <c r="AA33" s="10">
        <f>'A) Base RI'!V33</f>
        <v>536</v>
      </c>
    </row>
    <row r="34" spans="1:27" x14ac:dyDescent="0.25">
      <c r="A34" s="8">
        <f>'A) Base RI'!A34</f>
        <v>5434</v>
      </c>
      <c r="B34" s="32" t="str">
        <f>'A) Base RI'!B34</f>
        <v>Saint-George</v>
      </c>
      <c r="C34" s="10">
        <f>'A) Base RI'!C34+'A) Base RI'!D34</f>
        <v>2348283.33</v>
      </c>
      <c r="D34" s="10">
        <f>'A) Base RI'!W34</f>
        <v>-15696.46</v>
      </c>
      <c r="E34" s="406">
        <f>'A) Base RI'!X34</f>
        <v>0</v>
      </c>
      <c r="F34" s="406">
        <f>'A) Base RI'!Y34</f>
        <v>0</v>
      </c>
      <c r="G34" s="420">
        <f t="shared" si="0"/>
        <v>2332586.87</v>
      </c>
      <c r="H34" s="10">
        <f>+'A) Base RI'!E34</f>
        <v>0</v>
      </c>
      <c r="I34" s="10">
        <f>+'A) Base RI'!F34</f>
        <v>0</v>
      </c>
      <c r="J34" s="10">
        <f>+'A) Base RI'!G34+'A) Base RI'!H34+'A) Base RI'!I34</f>
        <v>12684.139865186829</v>
      </c>
      <c r="K34" s="10">
        <f>+'A) Base RI'!J34</f>
        <v>0</v>
      </c>
      <c r="L34" s="10">
        <f>+'A) Base RI'!K34</f>
        <v>31754.76</v>
      </c>
      <c r="M34" s="10">
        <f>+'A) Base RI'!L34</f>
        <v>3299.7</v>
      </c>
      <c r="N34" s="10">
        <f>+'A) Base RI'!R34</f>
        <v>940.55</v>
      </c>
      <c r="O34" s="10">
        <f t="shared" si="1"/>
        <v>222583.8</v>
      </c>
      <c r="P34" s="10">
        <f>+'A) Base RI'!M34</f>
        <v>222583.8</v>
      </c>
      <c r="Q34" s="428">
        <f>'A) Base RI'!Z34</f>
        <v>1</v>
      </c>
      <c r="R34" s="420">
        <f t="shared" si="2"/>
        <v>2603849.8198651867</v>
      </c>
      <c r="S34" s="410">
        <f>+'A) Base RI'!U34</f>
        <v>71</v>
      </c>
      <c r="T34" s="420">
        <f t="shared" si="3"/>
        <v>2377966.3198651867</v>
      </c>
      <c r="U34" s="420">
        <f t="shared" si="4"/>
        <v>36673.941124861783</v>
      </c>
      <c r="V34" s="10">
        <f>+'A) Base RI'!P34</f>
        <v>49856.9</v>
      </c>
      <c r="W34" s="10">
        <f>+'A) Base RI'!Q34</f>
        <v>190495.25</v>
      </c>
      <c r="X34" s="10">
        <f>+'A) Base RI'!S34</f>
        <v>85786.5</v>
      </c>
      <c r="Y34" s="420">
        <f t="shared" si="5"/>
        <v>326138.65000000002</v>
      </c>
      <c r="Z34" s="10">
        <f>+'A) Base RI'!O34</f>
        <v>35998.949999999997</v>
      </c>
      <c r="AA34" s="10">
        <f>'A) Base RI'!V34</f>
        <v>1031</v>
      </c>
    </row>
    <row r="35" spans="1:27" x14ac:dyDescent="0.25">
      <c r="A35" s="8">
        <f>'A) Base RI'!A35</f>
        <v>5435</v>
      </c>
      <c r="B35" s="32" t="str">
        <f>'A) Base RI'!B35</f>
        <v>Saint-Livres</v>
      </c>
      <c r="C35" s="10">
        <f>'A) Base RI'!C35+'A) Base RI'!D35</f>
        <v>1631301.8199999998</v>
      </c>
      <c r="D35" s="10">
        <f>'A) Base RI'!W35</f>
        <v>-28183.34</v>
      </c>
      <c r="E35" s="406">
        <f>'A) Base RI'!X35</f>
        <v>0</v>
      </c>
      <c r="F35" s="406">
        <f>'A) Base RI'!Y35</f>
        <v>-9.75</v>
      </c>
      <c r="G35" s="420">
        <f t="shared" si="0"/>
        <v>1603108.7299999997</v>
      </c>
      <c r="H35" s="10">
        <f>+'A) Base RI'!E35</f>
        <v>0</v>
      </c>
      <c r="I35" s="10">
        <f>+'A) Base RI'!F35</f>
        <v>0</v>
      </c>
      <c r="J35" s="10">
        <f>+'A) Base RI'!G35+'A) Base RI'!H35+'A) Base RI'!I35</f>
        <v>1254.9311555839272</v>
      </c>
      <c r="K35" s="10">
        <f>+'A) Base RI'!J35</f>
        <v>0</v>
      </c>
      <c r="L35" s="10">
        <f>+'A) Base RI'!K35</f>
        <v>-64499.29</v>
      </c>
      <c r="M35" s="10">
        <f>+'A) Base RI'!L35</f>
        <v>0</v>
      </c>
      <c r="N35" s="10">
        <f>+'A) Base RI'!R35</f>
        <v>2844.54</v>
      </c>
      <c r="O35" s="10">
        <f t="shared" si="1"/>
        <v>122559</v>
      </c>
      <c r="P35" s="10">
        <f>+'A) Base RI'!M35</f>
        <v>122559</v>
      </c>
      <c r="Q35" s="428">
        <f>'A) Base RI'!Z35</f>
        <v>1</v>
      </c>
      <c r="R35" s="420">
        <f t="shared" si="2"/>
        <v>1665267.9111555836</v>
      </c>
      <c r="S35" s="410">
        <f>+'A) Base RI'!U35</f>
        <v>69</v>
      </c>
      <c r="T35" s="420">
        <f t="shared" si="3"/>
        <v>1542708.9111555836</v>
      </c>
      <c r="U35" s="420">
        <f t="shared" si="4"/>
        <v>24134.317552979472</v>
      </c>
      <c r="V35" s="10">
        <f>+'A) Base RI'!P35</f>
        <v>0</v>
      </c>
      <c r="W35" s="10">
        <f>+'A) Base RI'!Q35</f>
        <v>45574.15</v>
      </c>
      <c r="X35" s="10">
        <f>+'A) Base RI'!S35</f>
        <v>42020.45</v>
      </c>
      <c r="Y35" s="420">
        <f t="shared" si="5"/>
        <v>87594.6</v>
      </c>
      <c r="Z35" s="10">
        <f>+'A) Base RI'!O35</f>
        <v>1718.3</v>
      </c>
      <c r="AA35" s="10">
        <f>'A) Base RI'!V35</f>
        <v>690</v>
      </c>
    </row>
    <row r="36" spans="1:27" x14ac:dyDescent="0.25">
      <c r="A36" s="8">
        <f>'A) Base RI'!A36</f>
        <v>5436</v>
      </c>
      <c r="B36" s="32" t="str">
        <f>'A) Base RI'!B36</f>
        <v>Saint-Oyens</v>
      </c>
      <c r="C36" s="10">
        <f>'A) Base RI'!C36+'A) Base RI'!D36</f>
        <v>1188446.01</v>
      </c>
      <c r="D36" s="10">
        <f>'A) Base RI'!W36</f>
        <v>-39468.68</v>
      </c>
      <c r="E36" s="406">
        <f>'A) Base RI'!X36</f>
        <v>0</v>
      </c>
      <c r="F36" s="406">
        <f>'A) Base RI'!Y36</f>
        <v>-441.14</v>
      </c>
      <c r="G36" s="420">
        <f t="shared" si="0"/>
        <v>1148536.1900000002</v>
      </c>
      <c r="H36" s="10">
        <f>+'A) Base RI'!E36</f>
        <v>0</v>
      </c>
      <c r="I36" s="10">
        <f>+'A) Base RI'!F36</f>
        <v>0</v>
      </c>
      <c r="J36" s="10">
        <f>+'A) Base RI'!G36+'A) Base RI'!H36+'A) Base RI'!I36</f>
        <v>1962.3714421988882</v>
      </c>
      <c r="K36" s="10">
        <f>+'A) Base RI'!J36</f>
        <v>0</v>
      </c>
      <c r="L36" s="10">
        <f>+'A) Base RI'!K36</f>
        <v>3099.33</v>
      </c>
      <c r="M36" s="10">
        <f>+'A) Base RI'!L36</f>
        <v>0</v>
      </c>
      <c r="N36" s="10">
        <f>+'A) Base RI'!R36</f>
        <v>0</v>
      </c>
      <c r="O36" s="10">
        <f t="shared" si="1"/>
        <v>67988.8125</v>
      </c>
      <c r="P36" s="10">
        <f>+'A) Base RI'!M36</f>
        <v>54391.05</v>
      </c>
      <c r="Q36" s="428">
        <f>'A) Base RI'!Z36</f>
        <v>0.8</v>
      </c>
      <c r="R36" s="420">
        <f t="shared" si="2"/>
        <v>1221586.7039421992</v>
      </c>
      <c r="S36" s="410">
        <f>+'A) Base RI'!U36</f>
        <v>81</v>
      </c>
      <c r="T36" s="420">
        <f t="shared" si="3"/>
        <v>1153597.8914421992</v>
      </c>
      <c r="U36" s="420">
        <f t="shared" si="4"/>
        <v>15081.317332619743</v>
      </c>
      <c r="V36" s="10">
        <f>+'A) Base RI'!P36</f>
        <v>0</v>
      </c>
      <c r="W36" s="10">
        <f>+'A) Base RI'!Q36</f>
        <v>77523.7</v>
      </c>
      <c r="X36" s="10">
        <f>+'A) Base RI'!S36</f>
        <v>36951.15</v>
      </c>
      <c r="Y36" s="420">
        <f t="shared" si="5"/>
        <v>114474.85</v>
      </c>
      <c r="Z36" s="10">
        <f>+'A) Base RI'!O36</f>
        <v>0</v>
      </c>
      <c r="AA36" s="10">
        <f>'A) Base RI'!V36</f>
        <v>448</v>
      </c>
    </row>
    <row r="37" spans="1:27" x14ac:dyDescent="0.25">
      <c r="A37" s="8">
        <f>'A) Base RI'!A37</f>
        <v>5437</v>
      </c>
      <c r="B37" s="32" t="str">
        <f>'A) Base RI'!B37</f>
        <v>Saubraz</v>
      </c>
      <c r="C37" s="10">
        <f>'A) Base RI'!C37+'A) Base RI'!D37</f>
        <v>783593.67</v>
      </c>
      <c r="D37" s="10">
        <f>'A) Base RI'!W37</f>
        <v>-8158.17</v>
      </c>
      <c r="E37" s="406">
        <f>'A) Base RI'!X37</f>
        <v>0</v>
      </c>
      <c r="F37" s="406">
        <f>'A) Base RI'!Y37</f>
        <v>-49.96</v>
      </c>
      <c r="G37" s="420">
        <f t="shared" si="0"/>
        <v>775385.54</v>
      </c>
      <c r="H37" s="10">
        <f>+'A) Base RI'!E37</f>
        <v>0</v>
      </c>
      <c r="I37" s="10">
        <f>+'A) Base RI'!F37</f>
        <v>0</v>
      </c>
      <c r="J37" s="10">
        <f>+'A) Base RI'!G37+'A) Base RI'!H37+'A) Base RI'!I37</f>
        <v>5460.5854992926297</v>
      </c>
      <c r="K37" s="10">
        <f>+'A) Base RI'!J37</f>
        <v>0</v>
      </c>
      <c r="L37" s="10">
        <f>+'A) Base RI'!K37</f>
        <v>51048.36</v>
      </c>
      <c r="M37" s="10">
        <f>+'A) Base RI'!L37</f>
        <v>746.35</v>
      </c>
      <c r="N37" s="10">
        <f>+'A) Base RI'!R37</f>
        <v>12233.07</v>
      </c>
      <c r="O37" s="10">
        <f t="shared" si="1"/>
        <v>64529.25</v>
      </c>
      <c r="P37" s="10">
        <f>+'A) Base RI'!M37</f>
        <v>64529.25</v>
      </c>
      <c r="Q37" s="428">
        <f>'A) Base RI'!Z37</f>
        <v>1</v>
      </c>
      <c r="R37" s="420">
        <f t="shared" si="2"/>
        <v>909403.15549929254</v>
      </c>
      <c r="S37" s="410">
        <f>+'A) Base RI'!U37</f>
        <v>80</v>
      </c>
      <c r="T37" s="420">
        <f t="shared" si="3"/>
        <v>844127.55549929256</v>
      </c>
      <c r="U37" s="420">
        <f t="shared" si="4"/>
        <v>11367.539443741156</v>
      </c>
      <c r="V37" s="10">
        <f>+'A) Base RI'!P37</f>
        <v>34735.599999999999</v>
      </c>
      <c r="W37" s="10">
        <f>+'A) Base RI'!Q37</f>
        <v>29260</v>
      </c>
      <c r="X37" s="10">
        <f>+'A) Base RI'!S37</f>
        <v>17928.349999999999</v>
      </c>
      <c r="Y37" s="420">
        <f t="shared" si="5"/>
        <v>81923.95</v>
      </c>
      <c r="Z37" s="10">
        <f>+'A) Base RI'!O37</f>
        <v>0</v>
      </c>
      <c r="AA37" s="10">
        <f>'A) Base RI'!V37</f>
        <v>418</v>
      </c>
    </row>
    <row r="38" spans="1:27" x14ac:dyDescent="0.25">
      <c r="A38" s="8">
        <f>'A) Base RI'!A38</f>
        <v>5451</v>
      </c>
      <c r="B38" s="32" t="str">
        <f>'A) Base RI'!B38</f>
        <v>Avenches</v>
      </c>
      <c r="C38" s="10">
        <f>'A) Base RI'!C38+'A) Base RI'!D38</f>
        <v>5889957.0800000001</v>
      </c>
      <c r="D38" s="10">
        <f>'A) Base RI'!W38</f>
        <v>-301396.52</v>
      </c>
      <c r="E38" s="406">
        <f>'A) Base RI'!X38</f>
        <v>0</v>
      </c>
      <c r="F38" s="406">
        <f>'A) Base RI'!Y38</f>
        <v>-90.14</v>
      </c>
      <c r="G38" s="420">
        <f t="shared" si="0"/>
        <v>5588470.4200000009</v>
      </c>
      <c r="H38" s="10">
        <f>+'A) Base RI'!E38</f>
        <v>0</v>
      </c>
      <c r="I38" s="10">
        <f>+'A) Base RI'!F38</f>
        <v>0</v>
      </c>
      <c r="J38" s="10">
        <f>+'A) Base RI'!G38+'A) Base RI'!H38+'A) Base RI'!I38</f>
        <v>1789684.3920392469</v>
      </c>
      <c r="K38" s="10">
        <f>+'A) Base RI'!J38</f>
        <v>0</v>
      </c>
      <c r="L38" s="10">
        <f>+'A) Base RI'!K38</f>
        <v>336376.17</v>
      </c>
      <c r="M38" s="10">
        <f>+'A) Base RI'!L38</f>
        <v>132495.65</v>
      </c>
      <c r="N38" s="10">
        <f>+'A) Base RI'!R38</f>
        <v>60112.98</v>
      </c>
      <c r="O38" s="10">
        <f t="shared" si="1"/>
        <v>896824.2666666666</v>
      </c>
      <c r="P38" s="10">
        <f>+'A) Base RI'!M38</f>
        <v>1345236.4</v>
      </c>
      <c r="Q38" s="428">
        <f>'A) Base RI'!Z38</f>
        <v>1.5</v>
      </c>
      <c r="R38" s="420">
        <f t="shared" si="2"/>
        <v>8803963.8787059151</v>
      </c>
      <c r="S38" s="410">
        <f>+'A) Base RI'!U38</f>
        <v>68</v>
      </c>
      <c r="T38" s="420">
        <f t="shared" si="3"/>
        <v>7774643.9620392481</v>
      </c>
      <c r="U38" s="420">
        <f t="shared" si="4"/>
        <v>129470.05703979287</v>
      </c>
      <c r="V38" s="10">
        <f>+'A) Base RI'!P38</f>
        <v>87250.7</v>
      </c>
      <c r="W38" s="10">
        <f>+'A) Base RI'!Q38</f>
        <v>604917.30000000005</v>
      </c>
      <c r="X38" s="10">
        <f>+'A) Base RI'!S38</f>
        <v>342241.9</v>
      </c>
      <c r="Y38" s="420">
        <f t="shared" si="5"/>
        <v>1034409.9</v>
      </c>
      <c r="Z38" s="10">
        <f>+'A) Base RI'!O38</f>
        <v>582876.80000000005</v>
      </c>
      <c r="AA38" s="10">
        <f>'A) Base RI'!V38</f>
        <v>4282</v>
      </c>
    </row>
    <row r="39" spans="1:27" x14ac:dyDescent="0.25">
      <c r="A39" s="8">
        <f>'A) Base RI'!A39</f>
        <v>5456</v>
      </c>
      <c r="B39" s="32" t="str">
        <f>'A) Base RI'!B39</f>
        <v>Cudrefin</v>
      </c>
      <c r="C39" s="10">
        <f>'A) Base RI'!C39+'A) Base RI'!D39</f>
        <v>2988171.14</v>
      </c>
      <c r="D39" s="10">
        <f>'A) Base RI'!W39</f>
        <v>-54012.65</v>
      </c>
      <c r="E39" s="406">
        <f>'A) Base RI'!X39</f>
        <v>0</v>
      </c>
      <c r="F39" s="406">
        <f>'A) Base RI'!Y39</f>
        <v>-7.67</v>
      </c>
      <c r="G39" s="420">
        <f t="shared" si="0"/>
        <v>2934150.8200000003</v>
      </c>
      <c r="H39" s="10">
        <f>+'A) Base RI'!E39</f>
        <v>0</v>
      </c>
      <c r="I39" s="10">
        <f>+'A) Base RI'!F39</f>
        <v>0</v>
      </c>
      <c r="J39" s="10">
        <f>+'A) Base RI'!G39+'A) Base RI'!H39+'A) Base RI'!I39</f>
        <v>112541.32751469345</v>
      </c>
      <c r="K39" s="10">
        <f>+'A) Base RI'!J39</f>
        <v>0</v>
      </c>
      <c r="L39" s="10">
        <f>+'A) Base RI'!K39</f>
        <v>36756.33</v>
      </c>
      <c r="M39" s="10">
        <f>+'A) Base RI'!L39</f>
        <v>9478.5499999999993</v>
      </c>
      <c r="N39" s="10">
        <f>+'A) Base RI'!R39</f>
        <v>6794.66</v>
      </c>
      <c r="O39" s="10">
        <f t="shared" si="1"/>
        <v>309027.5</v>
      </c>
      <c r="P39" s="10">
        <f>+'A) Base RI'!M39</f>
        <v>463541.25</v>
      </c>
      <c r="Q39" s="428">
        <f>'A) Base RI'!Z39</f>
        <v>1.5</v>
      </c>
      <c r="R39" s="420">
        <f t="shared" si="2"/>
        <v>3408749.1875146939</v>
      </c>
      <c r="S39" s="410">
        <f>+'A) Base RI'!U39</f>
        <v>59</v>
      </c>
      <c r="T39" s="420">
        <f t="shared" si="3"/>
        <v>3090243.1375146941</v>
      </c>
      <c r="U39" s="420">
        <f t="shared" si="4"/>
        <v>57775.409957876167</v>
      </c>
      <c r="V39" s="10">
        <f>+'A) Base RI'!P39</f>
        <v>29432.400000000001</v>
      </c>
      <c r="W39" s="10">
        <f>+'A) Base RI'!Q39</f>
        <v>319251.34999999998</v>
      </c>
      <c r="X39" s="10">
        <f>+'A) Base RI'!S39</f>
        <v>160243.54999999999</v>
      </c>
      <c r="Y39" s="420">
        <f t="shared" si="5"/>
        <v>508927.3</v>
      </c>
      <c r="Z39" s="10">
        <f>+'A) Base RI'!O39</f>
        <v>10293.4</v>
      </c>
      <c r="AA39" s="10">
        <f>'A) Base RI'!V39</f>
        <v>1633</v>
      </c>
    </row>
    <row r="40" spans="1:27" x14ac:dyDescent="0.25">
      <c r="A40" s="8">
        <f>'A) Base RI'!A40</f>
        <v>5458</v>
      </c>
      <c r="B40" s="32" t="str">
        <f>'A) Base RI'!B40</f>
        <v>Faoug</v>
      </c>
      <c r="C40" s="10">
        <f>'A) Base RI'!C40+'A) Base RI'!D40</f>
        <v>1701060.74</v>
      </c>
      <c r="D40" s="10">
        <f>'A) Base RI'!W40</f>
        <v>-63758.67</v>
      </c>
      <c r="E40" s="406">
        <f>'A) Base RI'!X40</f>
        <v>0</v>
      </c>
      <c r="F40" s="406">
        <f>'A) Base RI'!Y40</f>
        <v>-141.69999999999999</v>
      </c>
      <c r="G40" s="420">
        <f t="shared" si="0"/>
        <v>1637160.37</v>
      </c>
      <c r="H40" s="10">
        <f>+'A) Base RI'!E40</f>
        <v>0</v>
      </c>
      <c r="I40" s="10">
        <f>+'A) Base RI'!F40</f>
        <v>0</v>
      </c>
      <c r="J40" s="10">
        <f>+'A) Base RI'!G40+'A) Base RI'!H40+'A) Base RI'!I40</f>
        <v>37691.189970138083</v>
      </c>
      <c r="K40" s="10">
        <f>+'A) Base RI'!J40</f>
        <v>0</v>
      </c>
      <c r="L40" s="10">
        <f>+'A) Base RI'!K40</f>
        <v>51963.93</v>
      </c>
      <c r="M40" s="10">
        <f>+'A) Base RI'!L40</f>
        <v>9656.9500000000007</v>
      </c>
      <c r="N40" s="10">
        <f>+'A) Base RI'!R40</f>
        <v>14468.67</v>
      </c>
      <c r="O40" s="10">
        <f t="shared" si="1"/>
        <v>170789.35</v>
      </c>
      <c r="P40" s="10">
        <f>+'A) Base RI'!M40</f>
        <v>170789.35</v>
      </c>
      <c r="Q40" s="428">
        <f>'A) Base RI'!Z40</f>
        <v>1</v>
      </c>
      <c r="R40" s="420">
        <f t="shared" si="2"/>
        <v>1921730.459970138</v>
      </c>
      <c r="S40" s="410">
        <f>+'A) Base RI'!U40</f>
        <v>64</v>
      </c>
      <c r="T40" s="420">
        <f t="shared" si="3"/>
        <v>1741284.159970138</v>
      </c>
      <c r="U40" s="420">
        <f t="shared" si="4"/>
        <v>30027.038437033407</v>
      </c>
      <c r="V40" s="10">
        <f>+'A) Base RI'!P40</f>
        <v>2516.8000000000002</v>
      </c>
      <c r="W40" s="10">
        <f>+'A) Base RI'!Q40</f>
        <v>125399.1</v>
      </c>
      <c r="X40" s="10">
        <f>+'A) Base RI'!S40</f>
        <v>122359.35</v>
      </c>
      <c r="Y40" s="420">
        <f t="shared" si="5"/>
        <v>250275.25</v>
      </c>
      <c r="Z40" s="10">
        <f>+'A) Base RI'!O40</f>
        <v>0</v>
      </c>
      <c r="AA40" s="10">
        <f>'A) Base RI'!V40</f>
        <v>904</v>
      </c>
    </row>
    <row r="41" spans="1:27" x14ac:dyDescent="0.25">
      <c r="A41" s="8">
        <f>'A) Base RI'!A41</f>
        <v>5464</v>
      </c>
      <c r="B41" s="32" t="str">
        <f>'A) Base RI'!B41</f>
        <v>Vully-les-Lacs</v>
      </c>
      <c r="C41" s="10">
        <f>'A) Base RI'!C41+'A) Base RI'!D41</f>
        <v>6246390.2400000002</v>
      </c>
      <c r="D41" s="10">
        <f>'A) Base RI'!W41</f>
        <v>-121626.08</v>
      </c>
      <c r="E41" s="406">
        <f>'A) Base RI'!X41</f>
        <v>0</v>
      </c>
      <c r="F41" s="406">
        <f>'A) Base RI'!Y41</f>
        <v>-499.04</v>
      </c>
      <c r="G41" s="420">
        <f t="shared" si="0"/>
        <v>6124265.1200000001</v>
      </c>
      <c r="H41" s="10">
        <f>+'A) Base RI'!E41</f>
        <v>0</v>
      </c>
      <c r="I41" s="10">
        <f>+'A) Base RI'!F41</f>
        <v>0</v>
      </c>
      <c r="J41" s="10">
        <f>+'A) Base RI'!G41+'A) Base RI'!H41+'A) Base RI'!I41</f>
        <v>33705.348984723889</v>
      </c>
      <c r="K41" s="10">
        <f>+'A) Base RI'!J41</f>
        <v>0</v>
      </c>
      <c r="L41" s="10">
        <f>+'A) Base RI'!K41</f>
        <v>115915.85</v>
      </c>
      <c r="M41" s="10">
        <f>+'A) Base RI'!L41</f>
        <v>26287.95</v>
      </c>
      <c r="N41" s="10">
        <f>+'A) Base RI'!R41</f>
        <v>24475.95</v>
      </c>
      <c r="O41" s="10">
        <f t="shared" si="1"/>
        <v>623070.70000000007</v>
      </c>
      <c r="P41" s="10">
        <f>+'A) Base RI'!M41</f>
        <v>934606.05</v>
      </c>
      <c r="Q41" s="428">
        <f>'A) Base RI'!Z41</f>
        <v>1.5</v>
      </c>
      <c r="R41" s="420">
        <f t="shared" si="2"/>
        <v>6947720.9189847242</v>
      </c>
      <c r="S41" s="410">
        <f>+'A) Base RI'!U41</f>
        <v>67</v>
      </c>
      <c r="T41" s="420">
        <f t="shared" si="3"/>
        <v>6298362.2689847238</v>
      </c>
      <c r="U41" s="420">
        <f t="shared" si="4"/>
        <v>103697.32714902573</v>
      </c>
      <c r="V41" s="10">
        <f>+'A) Base RI'!P41</f>
        <v>289968.3</v>
      </c>
      <c r="W41" s="10">
        <f>+'A) Base RI'!Q41</f>
        <v>320190.15000000002</v>
      </c>
      <c r="X41" s="10">
        <f>+'A) Base RI'!S41</f>
        <v>169581.8</v>
      </c>
      <c r="Y41" s="420">
        <f t="shared" si="5"/>
        <v>779740.25</v>
      </c>
      <c r="Z41" s="10">
        <f>+'A) Base RI'!O41</f>
        <v>0</v>
      </c>
      <c r="AA41" s="10">
        <f>'A) Base RI'!V41</f>
        <v>3163</v>
      </c>
    </row>
    <row r="42" spans="1:27" x14ac:dyDescent="0.25">
      <c r="A42" s="8">
        <f>'A) Base RI'!A42</f>
        <v>5471</v>
      </c>
      <c r="B42" s="32" t="str">
        <f>'A) Base RI'!B42</f>
        <v>Bettens</v>
      </c>
      <c r="C42" s="10">
        <f>'A) Base RI'!C42+'A) Base RI'!D42</f>
        <v>1113612.6400000001</v>
      </c>
      <c r="D42" s="10">
        <f>'A) Base RI'!W42</f>
        <v>-7715.8</v>
      </c>
      <c r="E42" s="406">
        <f>'A) Base RI'!X42</f>
        <v>0</v>
      </c>
      <c r="F42" s="406">
        <f>'A) Base RI'!Y42</f>
        <v>-682.53</v>
      </c>
      <c r="G42" s="420">
        <f t="shared" si="0"/>
        <v>1105214.31</v>
      </c>
      <c r="H42" s="10">
        <f>+'A) Base RI'!E42</f>
        <v>0</v>
      </c>
      <c r="I42" s="10">
        <f>+'A) Base RI'!F42</f>
        <v>0</v>
      </c>
      <c r="J42" s="10">
        <f>+'A) Base RI'!G42+'A) Base RI'!H42+'A) Base RI'!I42</f>
        <v>32409.598045158316</v>
      </c>
      <c r="K42" s="10">
        <f>+'A) Base RI'!J42</f>
        <v>0</v>
      </c>
      <c r="L42" s="10">
        <f>+'A) Base RI'!K42</f>
        <v>16630.55</v>
      </c>
      <c r="M42" s="10">
        <f>+'A) Base RI'!L42</f>
        <v>6092</v>
      </c>
      <c r="N42" s="10">
        <f>+'A) Base RI'!R42</f>
        <v>2829.85</v>
      </c>
      <c r="O42" s="10">
        <f t="shared" si="1"/>
        <v>114799.27777777778</v>
      </c>
      <c r="P42" s="10">
        <f>+'A) Base RI'!M42</f>
        <v>103319.35</v>
      </c>
      <c r="Q42" s="428">
        <f>'A) Base RI'!Z42</f>
        <v>0.9</v>
      </c>
      <c r="R42" s="420">
        <f t="shared" si="2"/>
        <v>1277975.5858229361</v>
      </c>
      <c r="S42" s="410">
        <f>+'A) Base RI'!U42</f>
        <v>70</v>
      </c>
      <c r="T42" s="420">
        <f t="shared" si="3"/>
        <v>1157084.3080451584</v>
      </c>
      <c r="U42" s="420">
        <f t="shared" si="4"/>
        <v>18256.794083184803</v>
      </c>
      <c r="V42" s="10">
        <f>+'A) Base RI'!P42</f>
        <v>0</v>
      </c>
      <c r="W42" s="10">
        <f>+'A) Base RI'!Q42</f>
        <v>61981.05</v>
      </c>
      <c r="X42" s="10">
        <f>+'A) Base RI'!S42</f>
        <v>429.85</v>
      </c>
      <c r="Y42" s="420">
        <f t="shared" si="5"/>
        <v>62410.9</v>
      </c>
      <c r="Z42" s="10">
        <f>+'A) Base RI'!O42</f>
        <v>17517.349999999999</v>
      </c>
      <c r="AA42" s="10">
        <f>'A) Base RI'!V42</f>
        <v>592</v>
      </c>
    </row>
    <row r="43" spans="1:27" x14ac:dyDescent="0.25">
      <c r="A43" s="8">
        <f>'A) Base RI'!A43</f>
        <v>5472</v>
      </c>
      <c r="B43" s="32" t="str">
        <f>'A) Base RI'!B43</f>
        <v>Bournens</v>
      </c>
      <c r="C43" s="10">
        <f>'A) Base RI'!C43+'A) Base RI'!D43</f>
        <v>1133840.96</v>
      </c>
      <c r="D43" s="10">
        <f>'A) Base RI'!W43</f>
        <v>-7805.18</v>
      </c>
      <c r="E43" s="406">
        <f>'A) Base RI'!X43</f>
        <v>0</v>
      </c>
      <c r="F43" s="406">
        <f>'A) Base RI'!Y43</f>
        <v>-90.07</v>
      </c>
      <c r="G43" s="420">
        <f t="shared" si="0"/>
        <v>1125945.71</v>
      </c>
      <c r="H43" s="10">
        <f>+'A) Base RI'!E43</f>
        <v>0</v>
      </c>
      <c r="I43" s="10">
        <f>+'A) Base RI'!F43</f>
        <v>0</v>
      </c>
      <c r="J43" s="10">
        <f>+'A) Base RI'!G43+'A) Base RI'!H43+'A) Base RI'!I43</f>
        <v>8244.5039200098363</v>
      </c>
      <c r="K43" s="10">
        <f>+'A) Base RI'!J43</f>
        <v>0</v>
      </c>
      <c r="L43" s="10">
        <f>+'A) Base RI'!K43</f>
        <v>25919.01</v>
      </c>
      <c r="M43" s="10">
        <f>+'A) Base RI'!L43</f>
        <v>1389</v>
      </c>
      <c r="N43" s="10">
        <f>+'A) Base RI'!R43</f>
        <v>0</v>
      </c>
      <c r="O43" s="10">
        <f t="shared" si="1"/>
        <v>88402.15</v>
      </c>
      <c r="P43" s="10">
        <f>+'A) Base RI'!M43</f>
        <v>88402.15</v>
      </c>
      <c r="Q43" s="428">
        <f>'A) Base RI'!Z43</f>
        <v>1</v>
      </c>
      <c r="R43" s="420">
        <f t="shared" si="2"/>
        <v>1249900.3739200097</v>
      </c>
      <c r="S43" s="410">
        <f>+'A) Base RI'!U43</f>
        <v>76</v>
      </c>
      <c r="T43" s="420">
        <f t="shared" si="3"/>
        <v>1160109.2239200098</v>
      </c>
      <c r="U43" s="420">
        <f t="shared" si="4"/>
        <v>16446.057551579073</v>
      </c>
      <c r="V43" s="10">
        <f>+'A) Base RI'!P43</f>
        <v>0</v>
      </c>
      <c r="W43" s="10">
        <f>+'A) Base RI'!Q43</f>
        <v>32083.85</v>
      </c>
      <c r="X43" s="10">
        <f>+'A) Base RI'!S43</f>
        <v>9733.2999999999993</v>
      </c>
      <c r="Y43" s="420">
        <f t="shared" si="5"/>
        <v>41817.149999999994</v>
      </c>
      <c r="Z43" s="10">
        <f>+'A) Base RI'!O43</f>
        <v>0</v>
      </c>
      <c r="AA43" s="10">
        <f>'A) Base RI'!V43</f>
        <v>404</v>
      </c>
    </row>
    <row r="44" spans="1:27" x14ac:dyDescent="0.25">
      <c r="A44" s="8">
        <f>'A) Base RI'!A44</f>
        <v>5473</v>
      </c>
      <c r="B44" s="32" t="str">
        <f>'A) Base RI'!B44</f>
        <v>Boussens</v>
      </c>
      <c r="C44" s="10">
        <f>'A) Base RI'!C44+'A) Base RI'!D44</f>
        <v>2230358.15</v>
      </c>
      <c r="D44" s="10">
        <f>'A) Base RI'!W44</f>
        <v>-34359.550000000003</v>
      </c>
      <c r="E44" s="406">
        <f>'A) Base RI'!X44</f>
        <v>0</v>
      </c>
      <c r="F44" s="406">
        <f>'A) Base RI'!Y44</f>
        <v>-42.26</v>
      </c>
      <c r="G44" s="420">
        <f t="shared" si="0"/>
        <v>2195956.3400000003</v>
      </c>
      <c r="H44" s="10">
        <f>+'A) Base RI'!E44</f>
        <v>0</v>
      </c>
      <c r="I44" s="10">
        <f>+'A) Base RI'!F44</f>
        <v>0</v>
      </c>
      <c r="J44" s="10">
        <f>+'A) Base RI'!G44+'A) Base RI'!H44+'A) Base RI'!I44</f>
        <v>69565.041869030334</v>
      </c>
      <c r="K44" s="10">
        <f>+'A) Base RI'!J44</f>
        <v>0</v>
      </c>
      <c r="L44" s="10">
        <f>+'A) Base RI'!K44</f>
        <v>14930.43</v>
      </c>
      <c r="M44" s="10">
        <f>+'A) Base RI'!L44</f>
        <v>4488.2</v>
      </c>
      <c r="N44" s="10">
        <f>+'A) Base RI'!R44</f>
        <v>7069.78</v>
      </c>
      <c r="O44" s="10">
        <f t="shared" si="1"/>
        <v>175827.1</v>
      </c>
      <c r="P44" s="10">
        <f>+'A) Base RI'!M44</f>
        <v>175827.1</v>
      </c>
      <c r="Q44" s="428">
        <f>'A) Base RI'!Z44</f>
        <v>1</v>
      </c>
      <c r="R44" s="420">
        <f t="shared" si="2"/>
        <v>2467836.8918690309</v>
      </c>
      <c r="S44" s="410">
        <f>+'A) Base RI'!U44</f>
        <v>69</v>
      </c>
      <c r="T44" s="420">
        <f t="shared" si="3"/>
        <v>2287521.5918690306</v>
      </c>
      <c r="U44" s="420">
        <f t="shared" si="4"/>
        <v>35765.75205607291</v>
      </c>
      <c r="V44" s="10">
        <f>+'A) Base RI'!P44</f>
        <v>0</v>
      </c>
      <c r="W44" s="10">
        <f>+'A) Base RI'!Q44</f>
        <v>59371.35</v>
      </c>
      <c r="X44" s="10">
        <f>+'A) Base RI'!S44</f>
        <v>21331.5</v>
      </c>
      <c r="Y44" s="420">
        <f t="shared" si="5"/>
        <v>80702.850000000006</v>
      </c>
      <c r="Z44" s="10">
        <f>+'A) Base RI'!O44</f>
        <v>0</v>
      </c>
      <c r="AA44" s="10">
        <f>'A) Base RI'!V44</f>
        <v>968</v>
      </c>
    </row>
    <row r="45" spans="1:27" x14ac:dyDescent="0.25">
      <c r="A45" s="8">
        <f>'A) Base RI'!A45</f>
        <v>5474</v>
      </c>
      <c r="B45" s="32" t="str">
        <f>'A) Base RI'!B45</f>
        <v>La Chaux (Cossonay)</v>
      </c>
      <c r="C45" s="10">
        <f>'A) Base RI'!C45+'A) Base RI'!D45</f>
        <v>884363.1</v>
      </c>
      <c r="D45" s="10">
        <f>'A) Base RI'!W45</f>
        <v>-774.91</v>
      </c>
      <c r="E45" s="406">
        <f>'A) Base RI'!X45</f>
        <v>0</v>
      </c>
      <c r="F45" s="406">
        <f>'A) Base RI'!Y45</f>
        <v>-14.32</v>
      </c>
      <c r="G45" s="420">
        <f t="shared" si="0"/>
        <v>883573.87</v>
      </c>
      <c r="H45" s="10">
        <f>+'A) Base RI'!E45</f>
        <v>0</v>
      </c>
      <c r="I45" s="10">
        <f>+'A) Base RI'!F45</f>
        <v>0</v>
      </c>
      <c r="J45" s="10">
        <f>+'A) Base RI'!G45+'A) Base RI'!H45+'A) Base RI'!I45</f>
        <v>1498.916524771721</v>
      </c>
      <c r="K45" s="10">
        <f>+'A) Base RI'!J45</f>
        <v>37946</v>
      </c>
      <c r="L45" s="10">
        <f>+'A) Base RI'!K45</f>
        <v>4262.05</v>
      </c>
      <c r="M45" s="10">
        <f>+'A) Base RI'!L45</f>
        <v>845</v>
      </c>
      <c r="N45" s="10">
        <f>+'A) Base RI'!R45</f>
        <v>0</v>
      </c>
      <c r="O45" s="10">
        <f t="shared" si="1"/>
        <v>70740.083333333343</v>
      </c>
      <c r="P45" s="10">
        <f>+'A) Base RI'!M45</f>
        <v>84888.1</v>
      </c>
      <c r="Q45" s="428">
        <f>'A) Base RI'!Z45</f>
        <v>1.2</v>
      </c>
      <c r="R45" s="420">
        <f t="shared" si="2"/>
        <v>998865.91985810513</v>
      </c>
      <c r="S45" s="410">
        <f>+'A) Base RI'!U45</f>
        <v>77</v>
      </c>
      <c r="T45" s="420">
        <f t="shared" si="3"/>
        <v>927280.83652477176</v>
      </c>
      <c r="U45" s="420">
        <f t="shared" si="4"/>
        <v>12972.284673481885</v>
      </c>
      <c r="V45" s="10">
        <f>+'A) Base RI'!P45</f>
        <v>676.4</v>
      </c>
      <c r="W45" s="10">
        <f>+'A) Base RI'!Q45</f>
        <v>9627.6</v>
      </c>
      <c r="X45" s="10">
        <f>+'A) Base RI'!S45</f>
        <v>-15881.8</v>
      </c>
      <c r="Y45" s="420">
        <f t="shared" si="5"/>
        <v>-5577.7999999999993</v>
      </c>
      <c r="Z45" s="10">
        <f>+'A) Base RI'!O45</f>
        <v>2867.05</v>
      </c>
      <c r="AA45" s="10">
        <f>'A) Base RI'!V45</f>
        <v>410</v>
      </c>
    </row>
    <row r="46" spans="1:27" x14ac:dyDescent="0.25">
      <c r="A46" s="8">
        <f>'A) Base RI'!A46</f>
        <v>5475</v>
      </c>
      <c r="B46" s="32" t="str">
        <f>'A) Base RI'!B46</f>
        <v>Chavannes-le-Veyron</v>
      </c>
      <c r="C46" s="10">
        <f>'A) Base RI'!C46+'A) Base RI'!D46</f>
        <v>346614.75</v>
      </c>
      <c r="D46" s="10">
        <f>'A) Base RI'!W46</f>
        <v>-3985.25</v>
      </c>
      <c r="E46" s="406">
        <f>'A) Base RI'!X46</f>
        <v>0</v>
      </c>
      <c r="F46" s="406">
        <f>'A) Base RI'!Y46</f>
        <v>0</v>
      </c>
      <c r="G46" s="420">
        <f t="shared" si="0"/>
        <v>342629.5</v>
      </c>
      <c r="H46" s="10">
        <f>+'A) Base RI'!E46</f>
        <v>0</v>
      </c>
      <c r="I46" s="10">
        <f>+'A) Base RI'!F46</f>
        <v>0</v>
      </c>
      <c r="J46" s="10">
        <f>+'A) Base RI'!G46+'A) Base RI'!H46+'A) Base RI'!I46</f>
        <v>5400.8581984346119</v>
      </c>
      <c r="K46" s="10">
        <f>+'A) Base RI'!J46</f>
        <v>0</v>
      </c>
      <c r="L46" s="10">
        <f>+'A) Base RI'!K46</f>
        <v>7198.35</v>
      </c>
      <c r="M46" s="10">
        <f>+'A) Base RI'!L46</f>
        <v>0</v>
      </c>
      <c r="N46" s="10">
        <f>+'A) Base RI'!R46</f>
        <v>0</v>
      </c>
      <c r="O46" s="10">
        <f t="shared" si="1"/>
        <v>22237.3</v>
      </c>
      <c r="P46" s="10">
        <f>+'A) Base RI'!M46</f>
        <v>22237.3</v>
      </c>
      <c r="Q46" s="428">
        <f>'A) Base RI'!Z46</f>
        <v>1</v>
      </c>
      <c r="R46" s="420">
        <f t="shared" si="2"/>
        <v>377466.0081984346</v>
      </c>
      <c r="S46" s="410">
        <f>+'A) Base RI'!U46</f>
        <v>77</v>
      </c>
      <c r="T46" s="420">
        <f t="shared" si="3"/>
        <v>355228.70819843462</v>
      </c>
      <c r="U46" s="420">
        <f t="shared" si="4"/>
        <v>4902.1559506290205</v>
      </c>
      <c r="V46" s="10">
        <f>+'A) Base RI'!P46</f>
        <v>0</v>
      </c>
      <c r="W46" s="10">
        <f>+'A) Base RI'!Q46</f>
        <v>12280.9</v>
      </c>
      <c r="X46" s="10">
        <f>+'A) Base RI'!S46</f>
        <v>52362.2</v>
      </c>
      <c r="Y46" s="420">
        <f t="shared" si="5"/>
        <v>64643.1</v>
      </c>
      <c r="Z46" s="10">
        <f>+'A) Base RI'!O46</f>
        <v>0</v>
      </c>
      <c r="AA46" s="10">
        <f>'A) Base RI'!V46</f>
        <v>142</v>
      </c>
    </row>
    <row r="47" spans="1:27" x14ac:dyDescent="0.25">
      <c r="A47" s="8">
        <f>'A) Base RI'!A47</f>
        <v>5476</v>
      </c>
      <c r="B47" s="32" t="str">
        <f>'A) Base RI'!B47</f>
        <v>Chevilly</v>
      </c>
      <c r="C47" s="10">
        <f>'A) Base RI'!C47+'A) Base RI'!D47</f>
        <v>732550</v>
      </c>
      <c r="D47" s="10">
        <f>'A) Base RI'!W47</f>
        <v>-12733.74</v>
      </c>
      <c r="E47" s="406">
        <f>'A) Base RI'!X47</f>
        <v>0</v>
      </c>
      <c r="F47" s="406">
        <f>'A) Base RI'!Y47</f>
        <v>-178.72</v>
      </c>
      <c r="G47" s="420">
        <f t="shared" si="0"/>
        <v>719637.54</v>
      </c>
      <c r="H47" s="10">
        <f>+'A) Base RI'!E47</f>
        <v>0</v>
      </c>
      <c r="I47" s="10">
        <f>+'A) Base RI'!F47</f>
        <v>0</v>
      </c>
      <c r="J47" s="10">
        <f>+'A) Base RI'!G47+'A) Base RI'!H47+'A) Base RI'!I47</f>
        <v>13476.870390413951</v>
      </c>
      <c r="K47" s="10">
        <f>+'A) Base RI'!J47</f>
        <v>0</v>
      </c>
      <c r="L47" s="10">
        <f>+'A) Base RI'!K47</f>
        <v>1323.02</v>
      </c>
      <c r="M47" s="10">
        <f>+'A) Base RI'!L47</f>
        <v>0</v>
      </c>
      <c r="N47" s="10">
        <f>+'A) Base RI'!R47</f>
        <v>0</v>
      </c>
      <c r="O47" s="10">
        <f t="shared" si="1"/>
        <v>56402.85</v>
      </c>
      <c r="P47" s="10">
        <f>+'A) Base RI'!M47</f>
        <v>56402.85</v>
      </c>
      <c r="Q47" s="428">
        <f>'A) Base RI'!Z47</f>
        <v>1</v>
      </c>
      <c r="R47" s="420">
        <f t="shared" si="2"/>
        <v>790840.28039041394</v>
      </c>
      <c r="S47" s="410">
        <f>+'A) Base RI'!U47</f>
        <v>74</v>
      </c>
      <c r="T47" s="420">
        <f t="shared" si="3"/>
        <v>734437.43039041397</v>
      </c>
      <c r="U47" s="420">
        <f t="shared" si="4"/>
        <v>10687.030816086675</v>
      </c>
      <c r="V47" s="10">
        <f>+'A) Base RI'!P47</f>
        <v>-4347.2</v>
      </c>
      <c r="W47" s="10">
        <f>+'A) Base RI'!Q47</f>
        <v>4015</v>
      </c>
      <c r="X47" s="10">
        <f>+'A) Base RI'!S47</f>
        <v>0</v>
      </c>
      <c r="Y47" s="420">
        <f t="shared" si="5"/>
        <v>-332.19999999999982</v>
      </c>
      <c r="Z47" s="10">
        <f>+'A) Base RI'!O47</f>
        <v>0</v>
      </c>
      <c r="AA47" s="10">
        <f>'A) Base RI'!V47</f>
        <v>314</v>
      </c>
    </row>
    <row r="48" spans="1:27" x14ac:dyDescent="0.25">
      <c r="A48" s="8">
        <f>'A) Base RI'!A48</f>
        <v>5477</v>
      </c>
      <c r="B48" s="32" t="str">
        <f>'A) Base RI'!B48</f>
        <v>Cossonay</v>
      </c>
      <c r="C48" s="10">
        <f>'A) Base RI'!C48+'A) Base RI'!D48</f>
        <v>7990731.46</v>
      </c>
      <c r="D48" s="10">
        <f>'A) Base RI'!W48</f>
        <v>-66864.08</v>
      </c>
      <c r="E48" s="406">
        <f>'A) Base RI'!X48</f>
        <v>0</v>
      </c>
      <c r="F48" s="406">
        <f>'A) Base RI'!Y48</f>
        <v>-666.97</v>
      </c>
      <c r="G48" s="420">
        <f t="shared" si="0"/>
        <v>7923200.4100000001</v>
      </c>
      <c r="H48" s="10">
        <f>+'A) Base RI'!E48</f>
        <v>0</v>
      </c>
      <c r="I48" s="10">
        <f>+'A) Base RI'!F48</f>
        <v>0</v>
      </c>
      <c r="J48" s="10">
        <f>+'A) Base RI'!G48+'A) Base RI'!H48+'A) Base RI'!I48</f>
        <v>430122.75559006998</v>
      </c>
      <c r="K48" s="10">
        <f>+'A) Base RI'!J48</f>
        <v>0</v>
      </c>
      <c r="L48" s="10">
        <f>+'A) Base RI'!K48</f>
        <v>198477.57</v>
      </c>
      <c r="M48" s="10">
        <f>+'A) Base RI'!L48</f>
        <v>13406.45</v>
      </c>
      <c r="N48" s="10">
        <f>+'A) Base RI'!R48</f>
        <v>10978.08</v>
      </c>
      <c r="O48" s="10">
        <f t="shared" si="1"/>
        <v>624557.55000000005</v>
      </c>
      <c r="P48" s="10">
        <f>+'A) Base RI'!M48</f>
        <v>624557.55000000005</v>
      </c>
      <c r="Q48" s="428">
        <f>'A) Base RI'!Z48</f>
        <v>1</v>
      </c>
      <c r="R48" s="420">
        <f t="shared" si="2"/>
        <v>9200742.8155900706</v>
      </c>
      <c r="S48" s="410">
        <f>+'A) Base RI'!U48</f>
        <v>71</v>
      </c>
      <c r="T48" s="420">
        <f t="shared" si="3"/>
        <v>8562778.8155900706</v>
      </c>
      <c r="U48" s="420">
        <f t="shared" si="4"/>
        <v>129587.92698014184</v>
      </c>
      <c r="V48" s="10">
        <f>+'A) Base RI'!P48</f>
        <v>70488.800000000003</v>
      </c>
      <c r="W48" s="10">
        <f>+'A) Base RI'!Q48</f>
        <v>354112.25</v>
      </c>
      <c r="X48" s="10">
        <f>+'A) Base RI'!S48</f>
        <v>355594.6</v>
      </c>
      <c r="Y48" s="420">
        <f t="shared" si="5"/>
        <v>780195.64999999991</v>
      </c>
      <c r="Z48" s="10">
        <f>+'A) Base RI'!O48</f>
        <v>65546.75</v>
      </c>
      <c r="AA48" s="10">
        <f>'A) Base RI'!V48</f>
        <v>3871</v>
      </c>
    </row>
    <row r="49" spans="1:27" x14ac:dyDescent="0.25">
      <c r="A49" s="8">
        <f>'A) Base RI'!A49</f>
        <v>5478</v>
      </c>
      <c r="B49" s="32" t="str">
        <f>'A) Base RI'!B49</f>
        <v>Cottens</v>
      </c>
      <c r="C49" s="10">
        <f>'A) Base RI'!C49+'A) Base RI'!D49</f>
        <v>996037.94000000006</v>
      </c>
      <c r="D49" s="10">
        <f>'A) Base RI'!W49</f>
        <v>-49575.49</v>
      </c>
      <c r="E49" s="406">
        <f>'A) Base RI'!X49</f>
        <v>0</v>
      </c>
      <c r="F49" s="406">
        <f>'A) Base RI'!Y49</f>
        <v>0</v>
      </c>
      <c r="G49" s="420">
        <f t="shared" si="0"/>
        <v>946462.45000000007</v>
      </c>
      <c r="H49" s="10">
        <f>+'A) Base RI'!E49</f>
        <v>0</v>
      </c>
      <c r="I49" s="10">
        <f>+'A) Base RI'!F49</f>
        <v>0</v>
      </c>
      <c r="J49" s="10">
        <f>+'A) Base RI'!G49+'A) Base RI'!H49+'A) Base RI'!I49</f>
        <v>14618.389916943568</v>
      </c>
      <c r="K49" s="10">
        <f>+'A) Base RI'!J49</f>
        <v>0</v>
      </c>
      <c r="L49" s="10">
        <f>+'A) Base RI'!K49</f>
        <v>10959.46</v>
      </c>
      <c r="M49" s="10">
        <f>+'A) Base RI'!L49</f>
        <v>250</v>
      </c>
      <c r="N49" s="10">
        <f>+'A) Base RI'!R49</f>
        <v>0</v>
      </c>
      <c r="O49" s="10">
        <f t="shared" si="1"/>
        <v>79154.25</v>
      </c>
      <c r="P49" s="10">
        <f>+'A) Base RI'!M49</f>
        <v>79154.25</v>
      </c>
      <c r="Q49" s="428">
        <f>'A) Base RI'!Z49</f>
        <v>1</v>
      </c>
      <c r="R49" s="420">
        <f t="shared" si="2"/>
        <v>1051444.5499169435</v>
      </c>
      <c r="S49" s="410">
        <f>+'A) Base RI'!U49</f>
        <v>74</v>
      </c>
      <c r="T49" s="420">
        <f t="shared" si="3"/>
        <v>972040.29991694365</v>
      </c>
      <c r="U49" s="420">
        <f t="shared" si="4"/>
        <v>14208.71013401275</v>
      </c>
      <c r="V49" s="10">
        <f>+'A) Base RI'!P49</f>
        <v>0</v>
      </c>
      <c r="W49" s="10">
        <f>+'A) Base RI'!Q49</f>
        <v>27335</v>
      </c>
      <c r="X49" s="10">
        <f>+'A) Base RI'!S49</f>
        <v>19134.400000000001</v>
      </c>
      <c r="Y49" s="420">
        <f t="shared" si="5"/>
        <v>46469.4</v>
      </c>
      <c r="Z49" s="10">
        <f>+'A) Base RI'!O49</f>
        <v>0</v>
      </c>
      <c r="AA49" s="10">
        <f>'A) Base RI'!V49</f>
        <v>486</v>
      </c>
    </row>
    <row r="50" spans="1:27" x14ac:dyDescent="0.25">
      <c r="A50" s="8">
        <f>'A) Base RI'!A50</f>
        <v>5479</v>
      </c>
      <c r="B50" s="32" t="str">
        <f>'A) Base RI'!B50</f>
        <v>Cuarnens</v>
      </c>
      <c r="C50" s="10">
        <f>'A) Base RI'!C50+'A) Base RI'!D50</f>
        <v>910515.9</v>
      </c>
      <c r="D50" s="10">
        <f>'A) Base RI'!W50</f>
        <v>-14806.32</v>
      </c>
      <c r="E50" s="406">
        <f>'A) Base RI'!X50</f>
        <v>0</v>
      </c>
      <c r="F50" s="406">
        <f>'A) Base RI'!Y50</f>
        <v>-0.06</v>
      </c>
      <c r="G50" s="420">
        <f t="shared" si="0"/>
        <v>895709.52</v>
      </c>
      <c r="H50" s="10">
        <f>+'A) Base RI'!E50</f>
        <v>0</v>
      </c>
      <c r="I50" s="10">
        <f>+'A) Base RI'!F50</f>
        <v>0</v>
      </c>
      <c r="J50" s="10">
        <f>+'A) Base RI'!G50+'A) Base RI'!H50+'A) Base RI'!I50</f>
        <v>5158.5168572210096</v>
      </c>
      <c r="K50" s="10">
        <f>+'A) Base RI'!J50</f>
        <v>283065</v>
      </c>
      <c r="L50" s="10">
        <f>+'A) Base RI'!K50</f>
        <v>1102.83</v>
      </c>
      <c r="M50" s="10">
        <f>+'A) Base RI'!L50</f>
        <v>-2375.5</v>
      </c>
      <c r="N50" s="10">
        <f>+'A) Base RI'!R50</f>
        <v>0</v>
      </c>
      <c r="O50" s="10">
        <f t="shared" si="1"/>
        <v>81774.25</v>
      </c>
      <c r="P50" s="10">
        <f>+'A) Base RI'!M50</f>
        <v>81774.25</v>
      </c>
      <c r="Q50" s="428">
        <f>'A) Base RI'!Z50</f>
        <v>1</v>
      </c>
      <c r="R50" s="420">
        <f t="shared" si="2"/>
        <v>1264434.6168572211</v>
      </c>
      <c r="S50" s="410">
        <f>+'A) Base RI'!U50</f>
        <v>77</v>
      </c>
      <c r="T50" s="420">
        <f t="shared" si="3"/>
        <v>1185035.8668572211</v>
      </c>
      <c r="U50" s="420">
        <f t="shared" si="4"/>
        <v>16421.228790353522</v>
      </c>
      <c r="V50" s="10">
        <f>+'A) Base RI'!P50</f>
        <v>7729.5</v>
      </c>
      <c r="W50" s="10">
        <f>+'A) Base RI'!Q50</f>
        <v>46533.599999999999</v>
      </c>
      <c r="X50" s="10">
        <f>+'A) Base RI'!S50</f>
        <v>28585.5</v>
      </c>
      <c r="Y50" s="420">
        <f t="shared" si="5"/>
        <v>82848.600000000006</v>
      </c>
      <c r="Z50" s="10">
        <f>+'A) Base RI'!O50</f>
        <v>5626.3</v>
      </c>
      <c r="AA50" s="10">
        <f>'A) Base RI'!V50</f>
        <v>479</v>
      </c>
    </row>
    <row r="51" spans="1:27" x14ac:dyDescent="0.25">
      <c r="A51" s="8">
        <f>'A) Base RI'!A51</f>
        <v>5480</v>
      </c>
      <c r="B51" s="32" t="str">
        <f>'A) Base RI'!B51</f>
        <v>Daillens</v>
      </c>
      <c r="C51" s="10">
        <f>'A) Base RI'!C51+'A) Base RI'!D51</f>
        <v>2570022.7799999998</v>
      </c>
      <c r="D51" s="10">
        <f>'A) Base RI'!W51</f>
        <v>-30702.32</v>
      </c>
      <c r="E51" s="406">
        <f>'A) Base RI'!X51</f>
        <v>0</v>
      </c>
      <c r="F51" s="406">
        <f>'A) Base RI'!Y51</f>
        <v>-181.59</v>
      </c>
      <c r="G51" s="420">
        <f t="shared" si="0"/>
        <v>2539138.87</v>
      </c>
      <c r="H51" s="10">
        <f>+'A) Base RI'!E51</f>
        <v>0</v>
      </c>
      <c r="I51" s="10">
        <f>+'A) Base RI'!F51</f>
        <v>0</v>
      </c>
      <c r="J51" s="10">
        <f>+'A) Base RI'!G51+'A) Base RI'!H51+'A) Base RI'!I51</f>
        <v>50403.023736552022</v>
      </c>
      <c r="K51" s="10">
        <f>+'A) Base RI'!J51</f>
        <v>0</v>
      </c>
      <c r="L51" s="10">
        <f>+'A) Base RI'!K51</f>
        <v>29320.560000000001</v>
      </c>
      <c r="M51" s="10">
        <f>+'A) Base RI'!L51</f>
        <v>13797.65</v>
      </c>
      <c r="N51" s="10">
        <f>+'A) Base RI'!R51</f>
        <v>-1265.32</v>
      </c>
      <c r="O51" s="10">
        <f t="shared" si="1"/>
        <v>298301.3</v>
      </c>
      <c r="P51" s="10">
        <f>+'A) Base RI'!M51</f>
        <v>298301.3</v>
      </c>
      <c r="Q51" s="428">
        <f>'A) Base RI'!Z51</f>
        <v>1</v>
      </c>
      <c r="R51" s="420">
        <f t="shared" si="2"/>
        <v>2929696.0837365519</v>
      </c>
      <c r="S51" s="410">
        <f>+'A) Base RI'!U51</f>
        <v>71</v>
      </c>
      <c r="T51" s="420">
        <f t="shared" si="3"/>
        <v>2617597.1337365522</v>
      </c>
      <c r="U51" s="420">
        <f t="shared" si="4"/>
        <v>41263.325123050025</v>
      </c>
      <c r="V51" s="10">
        <f>+'A) Base RI'!P51</f>
        <v>0</v>
      </c>
      <c r="W51" s="10">
        <f>+'A) Base RI'!Q51</f>
        <v>220790.5</v>
      </c>
      <c r="X51" s="10">
        <f>+'A) Base RI'!S51</f>
        <v>52275.25</v>
      </c>
      <c r="Y51" s="420">
        <f t="shared" si="5"/>
        <v>273065.75</v>
      </c>
      <c r="Z51" s="10">
        <f>+'A) Base RI'!O51</f>
        <v>135149.35</v>
      </c>
      <c r="AA51" s="10">
        <f>'A) Base RI'!V51</f>
        <v>1027</v>
      </c>
    </row>
    <row r="52" spans="1:27" x14ac:dyDescent="0.25">
      <c r="A52" s="8">
        <f>'A) Base RI'!A52</f>
        <v>5481</v>
      </c>
      <c r="B52" s="32" t="str">
        <f>'A) Base RI'!B52</f>
        <v>Dizy</v>
      </c>
      <c r="C52" s="10">
        <f>'A) Base RI'!C52+'A) Base RI'!D52</f>
        <v>806211.25</v>
      </c>
      <c r="D52" s="10">
        <f>'A) Base RI'!W52</f>
        <v>-5632.54</v>
      </c>
      <c r="E52" s="406">
        <f>'A) Base RI'!X52</f>
        <v>0</v>
      </c>
      <c r="F52" s="406">
        <f>'A) Base RI'!Y52</f>
        <v>-17.829999999999998</v>
      </c>
      <c r="G52" s="420">
        <f t="shared" si="0"/>
        <v>800560.88</v>
      </c>
      <c r="H52" s="10">
        <f>+'A) Base RI'!E52</f>
        <v>0</v>
      </c>
      <c r="I52" s="10">
        <f>+'A) Base RI'!F52</f>
        <v>0</v>
      </c>
      <c r="J52" s="10">
        <f>+'A) Base RI'!G52+'A) Base RI'!H52+'A) Base RI'!I52</f>
        <v>17693.401648162919</v>
      </c>
      <c r="K52" s="10">
        <f>+'A) Base RI'!J52</f>
        <v>0</v>
      </c>
      <c r="L52" s="10">
        <f>+'A) Base RI'!K52</f>
        <v>4626.97</v>
      </c>
      <c r="M52" s="10">
        <f>+'A) Base RI'!L52</f>
        <v>0</v>
      </c>
      <c r="N52" s="10">
        <f>+'A) Base RI'!R52</f>
        <v>0</v>
      </c>
      <c r="O52" s="10">
        <f t="shared" si="1"/>
        <v>37590.6</v>
      </c>
      <c r="P52" s="10">
        <f>+'A) Base RI'!M52</f>
        <v>37590.6</v>
      </c>
      <c r="Q52" s="428">
        <f>'A) Base RI'!Z52</f>
        <v>1</v>
      </c>
      <c r="R52" s="420">
        <f t="shared" si="2"/>
        <v>860471.85164816282</v>
      </c>
      <c r="S52" s="410">
        <f>+'A) Base RI'!U52</f>
        <v>79</v>
      </c>
      <c r="T52" s="420">
        <f t="shared" si="3"/>
        <v>822881.25164816284</v>
      </c>
      <c r="U52" s="420">
        <f t="shared" si="4"/>
        <v>10892.048755040036</v>
      </c>
      <c r="V52" s="10">
        <f>+'A) Base RI'!P52</f>
        <v>0</v>
      </c>
      <c r="W52" s="10">
        <f>+'A) Base RI'!Q52</f>
        <v>16212.2</v>
      </c>
      <c r="X52" s="10">
        <f>+'A) Base RI'!S52</f>
        <v>17433.5</v>
      </c>
      <c r="Y52" s="420">
        <f t="shared" si="5"/>
        <v>33645.699999999997</v>
      </c>
      <c r="Z52" s="10">
        <f>+'A) Base RI'!O52</f>
        <v>0</v>
      </c>
      <c r="AA52" s="10">
        <f>'A) Base RI'!V52</f>
        <v>223</v>
      </c>
    </row>
    <row r="53" spans="1:27" x14ac:dyDescent="0.25">
      <c r="A53" s="8">
        <f>'A) Base RI'!A53</f>
        <v>5482</v>
      </c>
      <c r="B53" s="32" t="str">
        <f>'A) Base RI'!B53</f>
        <v>Eclépens</v>
      </c>
      <c r="C53" s="10">
        <f>'A) Base RI'!C53+'A) Base RI'!D53</f>
        <v>1534622.31</v>
      </c>
      <c r="D53" s="10">
        <f>'A) Base RI'!W53</f>
        <v>-25897.72</v>
      </c>
      <c r="E53" s="406">
        <f>'A) Base RI'!X53</f>
        <v>0</v>
      </c>
      <c r="F53" s="406">
        <f>'A) Base RI'!Y53</f>
        <v>-110.81</v>
      </c>
      <c r="G53" s="420">
        <f t="shared" si="0"/>
        <v>1508613.78</v>
      </c>
      <c r="H53" s="10">
        <f>+'A) Base RI'!E53</f>
        <v>0</v>
      </c>
      <c r="I53" s="10">
        <f>+'A) Base RI'!F53</f>
        <v>0</v>
      </c>
      <c r="J53" s="10">
        <f>+'A) Base RI'!G53+'A) Base RI'!H53+'A) Base RI'!I53</f>
        <v>144337.71762966269</v>
      </c>
      <c r="K53" s="10">
        <f>+'A) Base RI'!J53</f>
        <v>0</v>
      </c>
      <c r="L53" s="10">
        <f>+'A) Base RI'!K53</f>
        <v>68551.86</v>
      </c>
      <c r="M53" s="10">
        <f>+'A) Base RI'!L53</f>
        <v>39174.5</v>
      </c>
      <c r="N53" s="10">
        <f>+'A) Base RI'!R53</f>
        <v>95.01</v>
      </c>
      <c r="O53" s="10">
        <f t="shared" si="1"/>
        <v>391720.3</v>
      </c>
      <c r="P53" s="10">
        <f>+'A) Base RI'!M53</f>
        <v>391720.3</v>
      </c>
      <c r="Q53" s="428">
        <f>'A) Base RI'!Z53</f>
        <v>1</v>
      </c>
      <c r="R53" s="420">
        <f t="shared" si="2"/>
        <v>2152493.1676296629</v>
      </c>
      <c r="S53" s="410">
        <f>+'A) Base RI'!U53</f>
        <v>46</v>
      </c>
      <c r="T53" s="420">
        <f t="shared" si="3"/>
        <v>1721598.3676296629</v>
      </c>
      <c r="U53" s="420">
        <f t="shared" si="4"/>
        <v>46793.329731079626</v>
      </c>
      <c r="V53" s="10">
        <f>+'A) Base RI'!P53</f>
        <v>50743.9</v>
      </c>
      <c r="W53" s="10">
        <f>+'A) Base RI'!Q53</f>
        <v>30799.05</v>
      </c>
      <c r="X53" s="10">
        <f>+'A) Base RI'!S53</f>
        <v>3500</v>
      </c>
      <c r="Y53" s="420">
        <f t="shared" si="5"/>
        <v>85042.95</v>
      </c>
      <c r="Z53" s="10">
        <f>+'A) Base RI'!O53</f>
        <v>301337.95</v>
      </c>
      <c r="AA53" s="10">
        <f>'A) Base RI'!V53</f>
        <v>1211</v>
      </c>
    </row>
    <row r="54" spans="1:27" x14ac:dyDescent="0.25">
      <c r="A54" s="8">
        <f>'A) Base RI'!A54</f>
        <v>5483</v>
      </c>
      <c r="B54" s="32" t="str">
        <f>'A) Base RI'!B54</f>
        <v>Ferreyres</v>
      </c>
      <c r="C54" s="10">
        <f>'A) Base RI'!C54+'A) Base RI'!D54</f>
        <v>618257.68000000005</v>
      </c>
      <c r="D54" s="10">
        <f>'A) Base RI'!W54</f>
        <v>-3208.2</v>
      </c>
      <c r="E54" s="406">
        <f>'A) Base RI'!X54</f>
        <v>0</v>
      </c>
      <c r="F54" s="406">
        <f>'A) Base RI'!Y54</f>
        <v>-214.65</v>
      </c>
      <c r="G54" s="420">
        <f t="shared" si="0"/>
        <v>614834.83000000007</v>
      </c>
      <c r="H54" s="10">
        <f>+'A) Base RI'!E54</f>
        <v>0</v>
      </c>
      <c r="I54" s="10">
        <f>+'A) Base RI'!F54</f>
        <v>0</v>
      </c>
      <c r="J54" s="10">
        <f>+'A) Base RI'!G54+'A) Base RI'!H54+'A) Base RI'!I54</f>
        <v>-1060.2400835073067</v>
      </c>
      <c r="K54" s="10">
        <f>+'A) Base RI'!J54</f>
        <v>0</v>
      </c>
      <c r="L54" s="10">
        <f>+'A) Base RI'!K54</f>
        <v>9050.8700000000008</v>
      </c>
      <c r="M54" s="10">
        <f>+'A) Base RI'!L54</f>
        <v>0</v>
      </c>
      <c r="N54" s="10">
        <f>+'A) Base RI'!R54</f>
        <v>0</v>
      </c>
      <c r="O54" s="10">
        <f t="shared" si="1"/>
        <v>52049.65</v>
      </c>
      <c r="P54" s="10">
        <f>+'A) Base RI'!M54</f>
        <v>52049.65</v>
      </c>
      <c r="Q54" s="428">
        <f>'A) Base RI'!Z54</f>
        <v>1</v>
      </c>
      <c r="R54" s="420">
        <f t="shared" si="2"/>
        <v>674875.10991649283</v>
      </c>
      <c r="S54" s="410">
        <f>+'A) Base RI'!U54</f>
        <v>76</v>
      </c>
      <c r="T54" s="420">
        <f t="shared" si="3"/>
        <v>622825.45991649281</v>
      </c>
      <c r="U54" s="420">
        <f t="shared" si="4"/>
        <v>8879.9356567959585</v>
      </c>
      <c r="V54" s="10">
        <f>+'A) Base RI'!P54</f>
        <v>0</v>
      </c>
      <c r="W54" s="10">
        <f>+'A) Base RI'!Q54</f>
        <v>39116</v>
      </c>
      <c r="X54" s="10">
        <f>+'A) Base RI'!S54</f>
        <v>6115.25</v>
      </c>
      <c r="Y54" s="420">
        <f t="shared" si="5"/>
        <v>45231.25</v>
      </c>
      <c r="Z54" s="10">
        <f>+'A) Base RI'!O54</f>
        <v>0</v>
      </c>
      <c r="AA54" s="10">
        <f>'A) Base RI'!V54</f>
        <v>310</v>
      </c>
    </row>
    <row r="55" spans="1:27" x14ac:dyDescent="0.25">
      <c r="A55" s="8">
        <f>'A) Base RI'!A55</f>
        <v>5484</v>
      </c>
      <c r="B55" s="32" t="str">
        <f>'A) Base RI'!B55</f>
        <v>Gollion</v>
      </c>
      <c r="C55" s="10">
        <f>'A) Base RI'!C55+'A) Base RI'!D55</f>
        <v>2200685.35</v>
      </c>
      <c r="D55" s="10">
        <f>'A) Base RI'!W55</f>
        <v>-70320.44</v>
      </c>
      <c r="E55" s="406">
        <f>'A) Base RI'!X55</f>
        <v>0</v>
      </c>
      <c r="F55" s="406">
        <f>'A) Base RI'!Y55</f>
        <v>-0.2</v>
      </c>
      <c r="G55" s="420">
        <f t="shared" si="0"/>
        <v>2130364.71</v>
      </c>
      <c r="H55" s="10">
        <f>+'A) Base RI'!E55</f>
        <v>0</v>
      </c>
      <c r="I55" s="10">
        <f>+'A) Base RI'!F55</f>
        <v>0</v>
      </c>
      <c r="J55" s="10">
        <f>+'A) Base RI'!G55+'A) Base RI'!H55+'A) Base RI'!I55</f>
        <v>37464.188144927284</v>
      </c>
      <c r="K55" s="10">
        <f>+'A) Base RI'!J55</f>
        <v>0</v>
      </c>
      <c r="L55" s="10">
        <f>+'A) Base RI'!K55</f>
        <v>6633.45</v>
      </c>
      <c r="M55" s="10">
        <f>+'A) Base RI'!L55</f>
        <v>6925.65</v>
      </c>
      <c r="N55" s="10">
        <f>+'A) Base RI'!R55</f>
        <v>1776.89</v>
      </c>
      <c r="O55" s="10">
        <f t="shared" si="1"/>
        <v>169611</v>
      </c>
      <c r="P55" s="10">
        <f>+'A) Base RI'!M55</f>
        <v>169611</v>
      </c>
      <c r="Q55" s="428">
        <f>'A) Base RI'!Z55</f>
        <v>1</v>
      </c>
      <c r="R55" s="420">
        <f t="shared" si="2"/>
        <v>2352775.8881449276</v>
      </c>
      <c r="S55" s="410">
        <f>+'A) Base RI'!U55</f>
        <v>74</v>
      </c>
      <c r="T55" s="420">
        <f t="shared" si="3"/>
        <v>2176239.2381449277</v>
      </c>
      <c r="U55" s="420">
        <f t="shared" si="4"/>
        <v>31794.268758715236</v>
      </c>
      <c r="V55" s="10">
        <f>+'A) Base RI'!P55</f>
        <v>11025.8</v>
      </c>
      <c r="W55" s="10">
        <f>+'A) Base RI'!Q55</f>
        <v>200538.45</v>
      </c>
      <c r="X55" s="10">
        <f>+'A) Base RI'!S55</f>
        <v>61962.7</v>
      </c>
      <c r="Y55" s="420">
        <f t="shared" si="5"/>
        <v>273526.95</v>
      </c>
      <c r="Z55" s="10">
        <f>+'A) Base RI'!O55</f>
        <v>24458.2</v>
      </c>
      <c r="AA55" s="10">
        <f>'A) Base RI'!V55</f>
        <v>939</v>
      </c>
    </row>
    <row r="56" spans="1:27" x14ac:dyDescent="0.25">
      <c r="A56" s="8">
        <f>'A) Base RI'!A56</f>
        <v>5485</v>
      </c>
      <c r="B56" s="32" t="str">
        <f>'A) Base RI'!B56</f>
        <v>Grancy</v>
      </c>
      <c r="C56" s="10">
        <f>'A) Base RI'!C56+'A) Base RI'!D56</f>
        <v>1202931.0599999998</v>
      </c>
      <c r="D56" s="10">
        <f>'A) Base RI'!W56</f>
        <v>-9380.48</v>
      </c>
      <c r="E56" s="406">
        <f>'A) Base RI'!X56</f>
        <v>0</v>
      </c>
      <c r="F56" s="406">
        <f>'A) Base RI'!Y56</f>
        <v>-35.04</v>
      </c>
      <c r="G56" s="420">
        <f t="shared" si="0"/>
        <v>1193515.5399999998</v>
      </c>
      <c r="H56" s="10">
        <f>+'A) Base RI'!E56</f>
        <v>0</v>
      </c>
      <c r="I56" s="10">
        <f>+'A) Base RI'!F56</f>
        <v>0</v>
      </c>
      <c r="J56" s="10">
        <f>+'A) Base RI'!G56+'A) Base RI'!H56+'A) Base RI'!I56</f>
        <v>11756.810634189382</v>
      </c>
      <c r="K56" s="10">
        <f>+'A) Base RI'!J56</f>
        <v>0</v>
      </c>
      <c r="L56" s="10">
        <f>+'A) Base RI'!K56</f>
        <v>19619.8</v>
      </c>
      <c r="M56" s="10">
        <f>+'A) Base RI'!L56</f>
        <v>0</v>
      </c>
      <c r="N56" s="10">
        <f>+'A) Base RI'!R56</f>
        <v>0</v>
      </c>
      <c r="O56" s="10">
        <f t="shared" si="1"/>
        <v>73812.55</v>
      </c>
      <c r="P56" s="10">
        <f>+'A) Base RI'!M56</f>
        <v>73812.55</v>
      </c>
      <c r="Q56" s="428">
        <f>'A) Base RI'!Z56</f>
        <v>1</v>
      </c>
      <c r="R56" s="420">
        <f t="shared" si="2"/>
        <v>1298704.7006341892</v>
      </c>
      <c r="S56" s="410">
        <f>+'A) Base RI'!U56</f>
        <v>70</v>
      </c>
      <c r="T56" s="420">
        <f t="shared" si="3"/>
        <v>1224892.1506341891</v>
      </c>
      <c r="U56" s="420">
        <f t="shared" si="4"/>
        <v>18552.92429477413</v>
      </c>
      <c r="V56" s="10">
        <f>+'A) Base RI'!P56</f>
        <v>0</v>
      </c>
      <c r="W56" s="10">
        <f>+'A) Base RI'!Q56</f>
        <v>19250</v>
      </c>
      <c r="X56" s="10">
        <f>+'A) Base RI'!S56</f>
        <v>6984.2</v>
      </c>
      <c r="Y56" s="420">
        <f t="shared" si="5"/>
        <v>26234.2</v>
      </c>
      <c r="Z56" s="10">
        <f>+'A) Base RI'!O56</f>
        <v>10325.549999999999</v>
      </c>
      <c r="AA56" s="10">
        <f>'A) Base RI'!V56</f>
        <v>398</v>
      </c>
    </row>
    <row r="57" spans="1:27" x14ac:dyDescent="0.25">
      <c r="A57" s="8">
        <f>'A) Base RI'!A57</f>
        <v>5486</v>
      </c>
      <c r="B57" s="32" t="str">
        <f>'A) Base RI'!B57</f>
        <v>L'Isle</v>
      </c>
      <c r="C57" s="10">
        <f>'A) Base RI'!C57+'A) Base RI'!D57</f>
        <v>2024125.9500000002</v>
      </c>
      <c r="D57" s="10">
        <f>'A) Base RI'!W57</f>
        <v>-13954.85</v>
      </c>
      <c r="E57" s="406">
        <f>'A) Base RI'!X57</f>
        <v>0</v>
      </c>
      <c r="F57" s="406">
        <f>'A) Base RI'!Y57</f>
        <v>0</v>
      </c>
      <c r="G57" s="420">
        <f t="shared" si="0"/>
        <v>2010171.1</v>
      </c>
      <c r="H57" s="10">
        <f>+'A) Base RI'!E57</f>
        <v>0</v>
      </c>
      <c r="I57" s="10">
        <f>+'A) Base RI'!F57</f>
        <v>0</v>
      </c>
      <c r="J57" s="10">
        <f>+'A) Base RI'!G57+'A) Base RI'!H57+'A) Base RI'!I57</f>
        <v>65437.964260894914</v>
      </c>
      <c r="K57" s="10">
        <f>+'A) Base RI'!J57</f>
        <v>34494.85</v>
      </c>
      <c r="L57" s="10">
        <f>+'A) Base RI'!K57</f>
        <v>19875</v>
      </c>
      <c r="M57" s="10">
        <f>+'A) Base RI'!L57</f>
        <v>7200.3</v>
      </c>
      <c r="N57" s="10">
        <f>+'A) Base RI'!R57</f>
        <v>392.51</v>
      </c>
      <c r="O57" s="10">
        <f t="shared" si="1"/>
        <v>183957.05</v>
      </c>
      <c r="P57" s="10">
        <f>+'A) Base RI'!M57</f>
        <v>183957.05</v>
      </c>
      <c r="Q57" s="428">
        <f>'A) Base RI'!Z57</f>
        <v>1</v>
      </c>
      <c r="R57" s="420">
        <f t="shared" si="2"/>
        <v>2321528.7742608944</v>
      </c>
      <c r="S57" s="410">
        <f>+'A) Base RI'!U57</f>
        <v>76</v>
      </c>
      <c r="T57" s="420">
        <f t="shared" si="3"/>
        <v>2130371.4242608948</v>
      </c>
      <c r="U57" s="420">
        <f t="shared" si="4"/>
        <v>30546.431240274927</v>
      </c>
      <c r="V57" s="10">
        <f>+'A) Base RI'!P57</f>
        <v>9054.4</v>
      </c>
      <c r="W57" s="10">
        <f>+'A) Base RI'!Q57</f>
        <v>83916.5</v>
      </c>
      <c r="X57" s="10">
        <f>+'A) Base RI'!S57</f>
        <v>41166.800000000003</v>
      </c>
      <c r="Y57" s="420">
        <f t="shared" si="5"/>
        <v>134137.70000000001</v>
      </c>
      <c r="Z57" s="10">
        <f>+'A) Base RI'!O57</f>
        <v>81096.3</v>
      </c>
      <c r="AA57" s="10">
        <f>'A) Base RI'!V57</f>
        <v>1005</v>
      </c>
    </row>
    <row r="58" spans="1:27" x14ac:dyDescent="0.25">
      <c r="A58" s="8">
        <f>'A) Base RI'!A58</f>
        <v>5487</v>
      </c>
      <c r="B58" s="32" t="str">
        <f>'A) Base RI'!B58</f>
        <v>Lussery-Villars</v>
      </c>
      <c r="C58" s="10">
        <f>'A) Base RI'!C58+'A) Base RI'!D58</f>
        <v>1046159.28</v>
      </c>
      <c r="D58" s="10">
        <f>'A) Base RI'!W58</f>
        <v>-34918.93</v>
      </c>
      <c r="E58" s="406">
        <f>'A) Base RI'!X58</f>
        <v>0</v>
      </c>
      <c r="F58" s="406">
        <f>'A) Base RI'!Y58</f>
        <v>-8.48</v>
      </c>
      <c r="G58" s="420">
        <f t="shared" si="0"/>
        <v>1011231.87</v>
      </c>
      <c r="H58" s="10">
        <f>+'A) Base RI'!E58</f>
        <v>0</v>
      </c>
      <c r="I58" s="10">
        <f>+'A) Base RI'!F58</f>
        <v>0</v>
      </c>
      <c r="J58" s="10">
        <f>+'A) Base RI'!G58+'A) Base RI'!H58+'A) Base RI'!I58</f>
        <v>15208.91504302373</v>
      </c>
      <c r="K58" s="10">
        <f>+'A) Base RI'!J58</f>
        <v>0</v>
      </c>
      <c r="L58" s="10">
        <f>+'A) Base RI'!K58</f>
        <v>-2561.21</v>
      </c>
      <c r="M58" s="10">
        <f>+'A) Base RI'!L58</f>
        <v>-677.75</v>
      </c>
      <c r="N58" s="10">
        <f>+'A) Base RI'!R58</f>
        <v>0</v>
      </c>
      <c r="O58" s="10">
        <f t="shared" si="1"/>
        <v>72940.3</v>
      </c>
      <c r="P58" s="10">
        <f>+'A) Base RI'!M58</f>
        <v>72940.3</v>
      </c>
      <c r="Q58" s="428">
        <f>'A) Base RI'!Z58</f>
        <v>1</v>
      </c>
      <c r="R58" s="420">
        <f t="shared" si="2"/>
        <v>1096142.1250430238</v>
      </c>
      <c r="S58" s="410">
        <f>+'A) Base RI'!U58</f>
        <v>75</v>
      </c>
      <c r="T58" s="420">
        <f t="shared" si="3"/>
        <v>1023879.5750430238</v>
      </c>
      <c r="U58" s="420">
        <f t="shared" si="4"/>
        <v>14615.228333906985</v>
      </c>
      <c r="V58" s="10">
        <f>+'A) Base RI'!P58</f>
        <v>0</v>
      </c>
      <c r="W58" s="10">
        <f>+'A) Base RI'!Q58</f>
        <v>19862.400000000001</v>
      </c>
      <c r="X58" s="10">
        <f>+'A) Base RI'!S58</f>
        <v>0</v>
      </c>
      <c r="Y58" s="420">
        <f t="shared" si="5"/>
        <v>19862.400000000001</v>
      </c>
      <c r="Z58" s="10">
        <f>+'A) Base RI'!O58</f>
        <v>0</v>
      </c>
      <c r="AA58" s="10">
        <f>'A) Base RI'!V58</f>
        <v>462</v>
      </c>
    </row>
    <row r="59" spans="1:27" x14ac:dyDescent="0.25">
      <c r="A59" s="8">
        <f>'A) Base RI'!A59</f>
        <v>5488</v>
      </c>
      <c r="B59" s="32" t="str">
        <f>'A) Base RI'!B59</f>
        <v>Mauraz</v>
      </c>
      <c r="C59" s="10">
        <f>'A) Base RI'!C59+'A) Base RI'!D59</f>
        <v>143639.81999999998</v>
      </c>
      <c r="D59" s="10">
        <f>'A) Base RI'!W59</f>
        <v>-3887.44</v>
      </c>
      <c r="E59" s="406">
        <f>'A) Base RI'!X59</f>
        <v>0</v>
      </c>
      <c r="F59" s="406">
        <f>'A) Base RI'!Y59</f>
        <v>0</v>
      </c>
      <c r="G59" s="420">
        <f t="shared" si="0"/>
        <v>139752.37999999998</v>
      </c>
      <c r="H59" s="10">
        <f>+'A) Base RI'!E59</f>
        <v>0</v>
      </c>
      <c r="I59" s="10">
        <f>+'A) Base RI'!F59</f>
        <v>0</v>
      </c>
      <c r="J59" s="10">
        <f>+'A) Base RI'!G59+'A) Base RI'!H59+'A) Base RI'!I59</f>
        <v>573.57602980276238</v>
      </c>
      <c r="K59" s="10">
        <f>+'A) Base RI'!J59</f>
        <v>0</v>
      </c>
      <c r="L59" s="10">
        <f>+'A) Base RI'!K59</f>
        <v>0</v>
      </c>
      <c r="M59" s="10">
        <f>+'A) Base RI'!L59</f>
        <v>0</v>
      </c>
      <c r="N59" s="10">
        <f>+'A) Base RI'!R59</f>
        <v>0</v>
      </c>
      <c r="O59" s="10">
        <f t="shared" si="1"/>
        <v>8474</v>
      </c>
      <c r="P59" s="10">
        <f>+'A) Base RI'!M59</f>
        <v>8474</v>
      </c>
      <c r="Q59" s="428">
        <f>'A) Base RI'!Z59</f>
        <v>1</v>
      </c>
      <c r="R59" s="420">
        <f t="shared" si="2"/>
        <v>148799.95602980274</v>
      </c>
      <c r="S59" s="410">
        <f>+'A) Base RI'!U59</f>
        <v>78</v>
      </c>
      <c r="T59" s="420">
        <f t="shared" si="3"/>
        <v>140325.95602980274</v>
      </c>
      <c r="U59" s="420">
        <f t="shared" si="4"/>
        <v>1907.69174397183</v>
      </c>
      <c r="V59" s="10">
        <f>+'A) Base RI'!P59</f>
        <v>12610.7</v>
      </c>
      <c r="W59" s="10">
        <f>+'A) Base RI'!Q59</f>
        <v>0</v>
      </c>
      <c r="X59" s="10">
        <f>+'A) Base RI'!S59</f>
        <v>0</v>
      </c>
      <c r="Y59" s="420">
        <f t="shared" si="5"/>
        <v>12610.7</v>
      </c>
      <c r="Z59" s="10">
        <f>+'A) Base RI'!O59</f>
        <v>0</v>
      </c>
      <c r="AA59" s="10">
        <f>'A) Base RI'!V59</f>
        <v>59</v>
      </c>
    </row>
    <row r="60" spans="1:27" x14ac:dyDescent="0.25">
      <c r="A60" s="8">
        <f>'A) Base RI'!A60</f>
        <v>5489</v>
      </c>
      <c r="B60" s="32" t="str">
        <f>'A) Base RI'!B60</f>
        <v>Mex</v>
      </c>
      <c r="C60" s="10">
        <f>'A) Base RI'!C60+'A) Base RI'!D60</f>
        <v>2629378.13</v>
      </c>
      <c r="D60" s="10">
        <f>'A) Base RI'!W60</f>
        <v>-13355.03</v>
      </c>
      <c r="E60" s="406">
        <f>'A) Base RI'!X60</f>
        <v>0</v>
      </c>
      <c r="F60" s="406">
        <f>'A) Base RI'!Y60</f>
        <v>-51898.65</v>
      </c>
      <c r="G60" s="420">
        <f t="shared" si="0"/>
        <v>2564124.4500000002</v>
      </c>
      <c r="H60" s="10">
        <f>+'A) Base RI'!E60</f>
        <v>0</v>
      </c>
      <c r="I60" s="10">
        <f>+'A) Base RI'!F60</f>
        <v>0</v>
      </c>
      <c r="J60" s="10">
        <f>+'A) Base RI'!G60+'A) Base RI'!H60+'A) Base RI'!I60</f>
        <v>729301.1602319798</v>
      </c>
      <c r="K60" s="10">
        <f>+'A) Base RI'!J60</f>
        <v>0</v>
      </c>
      <c r="L60" s="10">
        <f>+'A) Base RI'!K60</f>
        <v>11636.77</v>
      </c>
      <c r="M60" s="10">
        <f>+'A) Base RI'!L60</f>
        <v>7126.5</v>
      </c>
      <c r="N60" s="10">
        <f>+'A) Base RI'!R60</f>
        <v>0</v>
      </c>
      <c r="O60" s="10">
        <f t="shared" si="1"/>
        <v>289877.84999999998</v>
      </c>
      <c r="P60" s="10">
        <f>+'A) Base RI'!M60</f>
        <v>289877.84999999998</v>
      </c>
      <c r="Q60" s="428">
        <f>'A) Base RI'!Z60</f>
        <v>1</v>
      </c>
      <c r="R60" s="420">
        <f t="shared" si="2"/>
        <v>3602066.7302319799</v>
      </c>
      <c r="S60" s="410">
        <f>+'A) Base RI'!U60</f>
        <v>61</v>
      </c>
      <c r="T60" s="420">
        <f t="shared" si="3"/>
        <v>3305062.3802319798</v>
      </c>
      <c r="U60" s="420">
        <f t="shared" si="4"/>
        <v>59050.274266098029</v>
      </c>
      <c r="V60" s="10">
        <f>+'A) Base RI'!P60</f>
        <v>0</v>
      </c>
      <c r="W60" s="10">
        <f>+'A) Base RI'!Q60</f>
        <v>54458.15</v>
      </c>
      <c r="X60" s="10">
        <f>+'A) Base RI'!S60</f>
        <v>30454.1</v>
      </c>
      <c r="Y60" s="420">
        <f t="shared" si="5"/>
        <v>84912.25</v>
      </c>
      <c r="Z60" s="10">
        <f>+'A) Base RI'!O60</f>
        <v>156536.9</v>
      </c>
      <c r="AA60" s="10">
        <f>'A) Base RI'!V60</f>
        <v>725</v>
      </c>
    </row>
    <row r="61" spans="1:27" x14ac:dyDescent="0.25">
      <c r="A61" s="8">
        <f>'A) Base RI'!A61</f>
        <v>5490</v>
      </c>
      <c r="B61" s="32" t="str">
        <f>'A) Base RI'!B61</f>
        <v>Moiry</v>
      </c>
      <c r="C61" s="10">
        <f>'A) Base RI'!C61+'A) Base RI'!D61</f>
        <v>704038.95</v>
      </c>
      <c r="D61" s="10">
        <f>'A) Base RI'!W61</f>
        <v>-8039.76</v>
      </c>
      <c r="E61" s="406">
        <f>'A) Base RI'!X61</f>
        <v>0</v>
      </c>
      <c r="F61" s="406">
        <f>'A) Base RI'!Y61</f>
        <v>-19.43</v>
      </c>
      <c r="G61" s="420">
        <f t="shared" si="0"/>
        <v>695979.75999999989</v>
      </c>
      <c r="H61" s="10">
        <f>+'A) Base RI'!E61</f>
        <v>0</v>
      </c>
      <c r="I61" s="10">
        <f>+'A) Base RI'!F61</f>
        <v>0</v>
      </c>
      <c r="J61" s="10">
        <f>+'A) Base RI'!G61+'A) Base RI'!H61+'A) Base RI'!I61</f>
        <v>-2169.9557963809903</v>
      </c>
      <c r="K61" s="10">
        <f>+'A) Base RI'!J61</f>
        <v>0</v>
      </c>
      <c r="L61" s="10">
        <f>+'A) Base RI'!K61</f>
        <v>4328.7299999999996</v>
      </c>
      <c r="M61" s="10">
        <f>+'A) Base RI'!L61</f>
        <v>0</v>
      </c>
      <c r="N61" s="10">
        <f>+'A) Base RI'!R61</f>
        <v>4055.75</v>
      </c>
      <c r="O61" s="10">
        <f t="shared" si="1"/>
        <v>44867.75</v>
      </c>
      <c r="P61" s="10">
        <f>+'A) Base RI'!M61</f>
        <v>44867.75</v>
      </c>
      <c r="Q61" s="428">
        <f>'A) Base RI'!Z61</f>
        <v>1</v>
      </c>
      <c r="R61" s="420">
        <f t="shared" si="2"/>
        <v>747062.03420361888</v>
      </c>
      <c r="S61" s="410">
        <f>+'A) Base RI'!U61</f>
        <v>80</v>
      </c>
      <c r="T61" s="420">
        <f t="shared" si="3"/>
        <v>702194.28420361888</v>
      </c>
      <c r="U61" s="420">
        <f t="shared" si="4"/>
        <v>9338.2754275452353</v>
      </c>
      <c r="V61" s="10">
        <f>+'A) Base RI'!P61</f>
        <v>17805.5</v>
      </c>
      <c r="W61" s="10">
        <f>+'A) Base RI'!Q61</f>
        <v>4202</v>
      </c>
      <c r="X61" s="10">
        <f>+'A) Base RI'!S61</f>
        <v>10133</v>
      </c>
      <c r="Y61" s="420">
        <f t="shared" si="5"/>
        <v>32140.5</v>
      </c>
      <c r="Z61" s="10">
        <f>+'A) Base RI'!O61</f>
        <v>0</v>
      </c>
      <c r="AA61" s="10">
        <f>'A) Base RI'!V61</f>
        <v>310</v>
      </c>
    </row>
    <row r="62" spans="1:27" x14ac:dyDescent="0.25">
      <c r="A62" s="8">
        <f>'A) Base RI'!A62</f>
        <v>5491</v>
      </c>
      <c r="B62" s="32" t="str">
        <f>'A) Base RI'!B62</f>
        <v>Mont-la-Ville</v>
      </c>
      <c r="C62" s="10">
        <f>'A) Base RI'!C62+'A) Base RI'!D62</f>
        <v>840439.99</v>
      </c>
      <c r="D62" s="10">
        <f>'A) Base RI'!W62</f>
        <v>-663.64</v>
      </c>
      <c r="E62" s="406">
        <f>'A) Base RI'!X62</f>
        <v>0</v>
      </c>
      <c r="F62" s="406">
        <f>'A) Base RI'!Y62</f>
        <v>0</v>
      </c>
      <c r="G62" s="420">
        <f t="shared" si="0"/>
        <v>839776.35</v>
      </c>
      <c r="H62" s="10">
        <f>+'A) Base RI'!E62</f>
        <v>0</v>
      </c>
      <c r="I62" s="10">
        <f>+'A) Base RI'!F62</f>
        <v>0</v>
      </c>
      <c r="J62" s="10">
        <f>+'A) Base RI'!G62+'A) Base RI'!H62+'A) Base RI'!I62</f>
        <v>3269.2124037187159</v>
      </c>
      <c r="K62" s="10">
        <f>+'A) Base RI'!J62</f>
        <v>0</v>
      </c>
      <c r="L62" s="10">
        <f>+'A) Base RI'!K62</f>
        <v>14190.31</v>
      </c>
      <c r="M62" s="10">
        <f>+'A) Base RI'!L62</f>
        <v>477.75</v>
      </c>
      <c r="N62" s="10">
        <f>+'A) Base RI'!R62</f>
        <v>5071.63</v>
      </c>
      <c r="O62" s="10">
        <f t="shared" si="1"/>
        <v>75218.100000000006</v>
      </c>
      <c r="P62" s="10">
        <f>+'A) Base RI'!M62</f>
        <v>75218.100000000006</v>
      </c>
      <c r="Q62" s="428">
        <f>'A) Base RI'!Z62</f>
        <v>1</v>
      </c>
      <c r="R62" s="420">
        <f t="shared" si="2"/>
        <v>938003.35240371875</v>
      </c>
      <c r="S62" s="410">
        <f>+'A) Base RI'!U62</f>
        <v>76</v>
      </c>
      <c r="T62" s="420">
        <f t="shared" si="3"/>
        <v>862307.50240371877</v>
      </c>
      <c r="U62" s="420">
        <f t="shared" si="4"/>
        <v>12342.149373733142</v>
      </c>
      <c r="V62" s="10">
        <f>+'A) Base RI'!P62</f>
        <v>0</v>
      </c>
      <c r="W62" s="10">
        <f>+'A) Base RI'!Q62</f>
        <v>70049.5</v>
      </c>
      <c r="X62" s="10">
        <f>+'A) Base RI'!S62</f>
        <v>20485.25</v>
      </c>
      <c r="Y62" s="420">
        <f t="shared" si="5"/>
        <v>90534.75</v>
      </c>
      <c r="Z62" s="10">
        <f>+'A) Base RI'!O62</f>
        <v>2093</v>
      </c>
      <c r="AA62" s="10">
        <f>'A) Base RI'!V62</f>
        <v>466</v>
      </c>
    </row>
    <row r="63" spans="1:27" x14ac:dyDescent="0.25">
      <c r="A63" s="8">
        <f>'A) Base RI'!A63</f>
        <v>5492</v>
      </c>
      <c r="B63" s="32" t="str">
        <f>'A) Base RI'!B63</f>
        <v>Montricher</v>
      </c>
      <c r="C63" s="10">
        <f>'A) Base RI'!C63+'A) Base RI'!D63</f>
        <v>14725784.77</v>
      </c>
      <c r="D63" s="10">
        <f>'A) Base RI'!W63</f>
        <v>-24714.86</v>
      </c>
      <c r="E63" s="406">
        <f>'A) Base RI'!X63</f>
        <v>0</v>
      </c>
      <c r="F63" s="406">
        <f>'A) Base RI'!Y63</f>
        <v>-4065.12</v>
      </c>
      <c r="G63" s="420">
        <f t="shared" si="0"/>
        <v>14697004.790000001</v>
      </c>
      <c r="H63" s="10">
        <f>+'A) Base RI'!E63</f>
        <v>0</v>
      </c>
      <c r="I63" s="10">
        <f>+'A) Base RI'!F63</f>
        <v>0</v>
      </c>
      <c r="J63" s="10">
        <f>+'A) Base RI'!G63+'A) Base RI'!H63+'A) Base RI'!I63</f>
        <v>82280.239958195423</v>
      </c>
      <c r="K63" s="10">
        <f>+'A) Base RI'!J63</f>
        <v>0</v>
      </c>
      <c r="L63" s="10">
        <f>+'A) Base RI'!K63</f>
        <v>41983.06</v>
      </c>
      <c r="M63" s="10">
        <f>+'A) Base RI'!L63</f>
        <v>3058.95</v>
      </c>
      <c r="N63" s="10">
        <f>+'A) Base RI'!R63</f>
        <v>2484.86</v>
      </c>
      <c r="O63" s="10">
        <f t="shared" si="1"/>
        <v>237373</v>
      </c>
      <c r="P63" s="10">
        <f>+'A) Base RI'!M63</f>
        <v>71211.899999999994</v>
      </c>
      <c r="Q63" s="428">
        <f>'A) Base RI'!Z63</f>
        <v>0.3</v>
      </c>
      <c r="R63" s="420">
        <f t="shared" si="2"/>
        <v>15064184.899958195</v>
      </c>
      <c r="S63" s="410">
        <f>+'A) Base RI'!U63</f>
        <v>64</v>
      </c>
      <c r="T63" s="420">
        <f t="shared" si="3"/>
        <v>14823752.949958196</v>
      </c>
      <c r="U63" s="420">
        <f t="shared" si="4"/>
        <v>235377.8890618468</v>
      </c>
      <c r="V63" s="10">
        <f>+'A) Base RI'!P63</f>
        <v>542124.1</v>
      </c>
      <c r="W63" s="10">
        <f>+'A) Base RI'!Q63</f>
        <v>82548.5</v>
      </c>
      <c r="X63" s="10">
        <f>+'A) Base RI'!S63</f>
        <v>6164.65</v>
      </c>
      <c r="Y63" s="420">
        <f t="shared" si="5"/>
        <v>630837.25</v>
      </c>
      <c r="Z63" s="10">
        <f>+'A) Base RI'!O63</f>
        <v>3572.45</v>
      </c>
      <c r="AA63" s="10">
        <f>'A) Base RI'!V63</f>
        <v>940</v>
      </c>
    </row>
    <row r="64" spans="1:27" x14ac:dyDescent="0.25">
      <c r="A64" s="8">
        <f>'A) Base RI'!A64</f>
        <v>5493</v>
      </c>
      <c r="B64" s="32" t="str">
        <f>'A) Base RI'!B64</f>
        <v>Orny</v>
      </c>
      <c r="C64" s="10">
        <f>'A) Base RI'!C64+'A) Base RI'!D64</f>
        <v>710444.48</v>
      </c>
      <c r="D64" s="10">
        <f>'A) Base RI'!W64</f>
        <v>-16612.169999999998</v>
      </c>
      <c r="E64" s="406">
        <f>'A) Base RI'!X64</f>
        <v>0</v>
      </c>
      <c r="F64" s="406">
        <f>'A) Base RI'!Y64</f>
        <v>0</v>
      </c>
      <c r="G64" s="420">
        <f t="shared" si="0"/>
        <v>693832.30999999994</v>
      </c>
      <c r="H64" s="10">
        <f>+'A) Base RI'!E64</f>
        <v>0</v>
      </c>
      <c r="I64" s="10">
        <f>+'A) Base RI'!F64</f>
        <v>0</v>
      </c>
      <c r="J64" s="10">
        <f>+'A) Base RI'!G64+'A) Base RI'!H64+'A) Base RI'!I64</f>
        <v>439.92225329916175</v>
      </c>
      <c r="K64" s="10">
        <f>+'A) Base RI'!J64</f>
        <v>0</v>
      </c>
      <c r="L64" s="10">
        <f>+'A) Base RI'!K64</f>
        <v>34295.050000000003</v>
      </c>
      <c r="M64" s="10">
        <f>+'A) Base RI'!L64</f>
        <v>696.75</v>
      </c>
      <c r="N64" s="10">
        <f>+'A) Base RI'!R64</f>
        <v>1214.99</v>
      </c>
      <c r="O64" s="10">
        <f t="shared" si="1"/>
        <v>53724.076923076922</v>
      </c>
      <c r="P64" s="10">
        <f>+'A) Base RI'!M64</f>
        <v>34920.65</v>
      </c>
      <c r="Q64" s="428">
        <f>'A) Base RI'!Z64</f>
        <v>0.65</v>
      </c>
      <c r="R64" s="420">
        <f t="shared" si="2"/>
        <v>784203.09917637601</v>
      </c>
      <c r="S64" s="410">
        <f>+'A) Base RI'!U64</f>
        <v>73</v>
      </c>
      <c r="T64" s="420">
        <f t="shared" si="3"/>
        <v>729782.27225329913</v>
      </c>
      <c r="U64" s="420">
        <f t="shared" si="4"/>
        <v>10742.508207895562</v>
      </c>
      <c r="V64" s="10">
        <f>+'A) Base RI'!P64</f>
        <v>0</v>
      </c>
      <c r="W64" s="10">
        <f>+'A) Base RI'!Q64</f>
        <v>68406.899999999994</v>
      </c>
      <c r="X64" s="10">
        <f>+'A) Base RI'!S64</f>
        <v>2076.65</v>
      </c>
      <c r="Y64" s="420">
        <f t="shared" si="5"/>
        <v>70483.549999999988</v>
      </c>
      <c r="Z64" s="10">
        <f>+'A) Base RI'!O64</f>
        <v>62873.3</v>
      </c>
      <c r="AA64" s="10">
        <f>'A) Base RI'!V64</f>
        <v>368</v>
      </c>
    </row>
    <row r="65" spans="1:27" x14ac:dyDescent="0.25">
      <c r="A65" s="8">
        <f>'A) Base RI'!A65</f>
        <v>5494</v>
      </c>
      <c r="B65" s="32" t="str">
        <f>'A) Base RI'!B65</f>
        <v>Pampigny</v>
      </c>
      <c r="C65" s="10">
        <f>'A) Base RI'!C65+'A) Base RI'!D65</f>
        <v>2615672.2199999997</v>
      </c>
      <c r="D65" s="10">
        <f>'A) Base RI'!W65</f>
        <v>-141295.32999999999</v>
      </c>
      <c r="E65" s="406">
        <f>'A) Base RI'!X65</f>
        <v>0</v>
      </c>
      <c r="F65" s="406">
        <f>'A) Base RI'!Y65</f>
        <v>-241.55</v>
      </c>
      <c r="G65" s="420">
        <f t="shared" si="0"/>
        <v>2474135.34</v>
      </c>
      <c r="H65" s="10">
        <f>+'A) Base RI'!E65</f>
        <v>0</v>
      </c>
      <c r="I65" s="10">
        <f>+'A) Base RI'!F65</f>
        <v>0</v>
      </c>
      <c r="J65" s="10">
        <f>+'A) Base RI'!G65+'A) Base RI'!H65+'A) Base RI'!I65</f>
        <v>35757.209743674473</v>
      </c>
      <c r="K65" s="10">
        <f>+'A) Base RI'!J65</f>
        <v>0</v>
      </c>
      <c r="L65" s="10">
        <f>+'A) Base RI'!K65</f>
        <v>75730.929999999993</v>
      </c>
      <c r="M65" s="10">
        <f>+'A) Base RI'!L65</f>
        <v>3677.6</v>
      </c>
      <c r="N65" s="10">
        <f>+'A) Base RI'!R65</f>
        <v>8819.15</v>
      </c>
      <c r="O65" s="10">
        <f t="shared" si="1"/>
        <v>211665.09523809524</v>
      </c>
      <c r="P65" s="10">
        <f>+'A) Base RI'!M65</f>
        <v>222248.35</v>
      </c>
      <c r="Q65" s="428">
        <f>'A) Base RI'!Z65</f>
        <v>1.05</v>
      </c>
      <c r="R65" s="420">
        <f t="shared" si="2"/>
        <v>2809785.3249817695</v>
      </c>
      <c r="S65" s="410">
        <f>+'A) Base RI'!U65</f>
        <v>75</v>
      </c>
      <c r="T65" s="420">
        <f t="shared" si="3"/>
        <v>2594442.6297436743</v>
      </c>
      <c r="U65" s="420">
        <f t="shared" si="4"/>
        <v>37463.804333090258</v>
      </c>
      <c r="V65" s="10">
        <f>+'A) Base RI'!P65</f>
        <v>5.2</v>
      </c>
      <c r="W65" s="10">
        <f>+'A) Base RI'!Q65</f>
        <v>134559.15</v>
      </c>
      <c r="X65" s="10">
        <f>+'A) Base RI'!S65</f>
        <v>143427.4</v>
      </c>
      <c r="Y65" s="420">
        <f t="shared" si="5"/>
        <v>277991.75</v>
      </c>
      <c r="Z65" s="10">
        <f>+'A) Base RI'!O65</f>
        <v>46174.9</v>
      </c>
      <c r="AA65" s="10">
        <f>'A) Base RI'!V65</f>
        <v>1113</v>
      </c>
    </row>
    <row r="66" spans="1:27" x14ac:dyDescent="0.25">
      <c r="A66" s="8">
        <f>'A) Base RI'!A66</f>
        <v>5495</v>
      </c>
      <c r="B66" s="32" t="str">
        <f>'A) Base RI'!B66</f>
        <v>Penthalaz</v>
      </c>
      <c r="C66" s="10">
        <f>'A) Base RI'!C66+'A) Base RI'!D66</f>
        <v>5963166.1499999994</v>
      </c>
      <c r="D66" s="10">
        <f>'A) Base RI'!W66</f>
        <v>-166296</v>
      </c>
      <c r="E66" s="406">
        <f>'A) Base RI'!X66</f>
        <v>0</v>
      </c>
      <c r="F66" s="406">
        <f>'A) Base RI'!Y66</f>
        <v>-355.36</v>
      </c>
      <c r="G66" s="420">
        <f t="shared" si="0"/>
        <v>5796514.7899999991</v>
      </c>
      <c r="H66" s="10">
        <f>+'A) Base RI'!E66</f>
        <v>0</v>
      </c>
      <c r="I66" s="10">
        <f>+'A) Base RI'!F66</f>
        <v>0</v>
      </c>
      <c r="J66" s="10">
        <f>+'A) Base RI'!G66+'A) Base RI'!H66+'A) Base RI'!I66</f>
        <v>123140.638570194</v>
      </c>
      <c r="K66" s="10">
        <f>+'A) Base RI'!J66</f>
        <v>76611.75</v>
      </c>
      <c r="L66" s="10">
        <f>+'A) Base RI'!K66</f>
        <v>187073.09</v>
      </c>
      <c r="M66" s="10">
        <f>+'A) Base RI'!L66</f>
        <v>62860.45</v>
      </c>
      <c r="N66" s="10">
        <f>+'A) Base RI'!R66</f>
        <v>51967.79</v>
      </c>
      <c r="O66" s="10">
        <f t="shared" si="1"/>
        <v>472932.2</v>
      </c>
      <c r="P66" s="10">
        <f>+'A) Base RI'!M66</f>
        <v>472932.2</v>
      </c>
      <c r="Q66" s="428">
        <f>'A) Base RI'!Z66</f>
        <v>1</v>
      </c>
      <c r="R66" s="420">
        <f t="shared" si="2"/>
        <v>6771100.7085701935</v>
      </c>
      <c r="S66" s="410">
        <f>+'A) Base RI'!U66</f>
        <v>74</v>
      </c>
      <c r="T66" s="420">
        <f t="shared" si="3"/>
        <v>6235308.0585701931</v>
      </c>
      <c r="U66" s="420">
        <f t="shared" si="4"/>
        <v>91501.360926624242</v>
      </c>
      <c r="V66" s="10">
        <f>+'A) Base RI'!P66</f>
        <v>44765.4</v>
      </c>
      <c r="W66" s="10">
        <f>+'A) Base RI'!Q66</f>
        <v>108744.3</v>
      </c>
      <c r="X66" s="10">
        <f>+'A) Base RI'!S66</f>
        <v>213370.9</v>
      </c>
      <c r="Y66" s="420">
        <f t="shared" si="5"/>
        <v>366880.6</v>
      </c>
      <c r="Z66" s="10">
        <f>+'A) Base RI'!O66</f>
        <v>216511.1</v>
      </c>
      <c r="AA66" s="10">
        <f>'A) Base RI'!V66</f>
        <v>3283</v>
      </c>
    </row>
    <row r="67" spans="1:27" x14ac:dyDescent="0.25">
      <c r="A67" s="8">
        <f>'A) Base RI'!A67</f>
        <v>5496</v>
      </c>
      <c r="B67" s="32" t="str">
        <f>'A) Base RI'!B67</f>
        <v>Penthaz</v>
      </c>
      <c r="C67" s="10">
        <f>'A) Base RI'!C67+'A) Base RI'!D67</f>
        <v>3593144.52</v>
      </c>
      <c r="D67" s="10">
        <f>'A) Base RI'!W67</f>
        <v>-53644.959999999999</v>
      </c>
      <c r="E67" s="406">
        <f>'A) Base RI'!X67</f>
        <v>0</v>
      </c>
      <c r="F67" s="406">
        <f>'A) Base RI'!Y67</f>
        <v>-60.89</v>
      </c>
      <c r="G67" s="420">
        <f t="shared" si="0"/>
        <v>3539438.67</v>
      </c>
      <c r="H67" s="10">
        <f>+'A) Base RI'!E67</f>
        <v>0</v>
      </c>
      <c r="I67" s="10">
        <f>+'A) Base RI'!F67</f>
        <v>0</v>
      </c>
      <c r="J67" s="10">
        <f>+'A) Base RI'!G67+'A) Base RI'!H67+'A) Base RI'!I67</f>
        <v>86224.151201562636</v>
      </c>
      <c r="K67" s="10">
        <f>+'A) Base RI'!J67</f>
        <v>0</v>
      </c>
      <c r="L67" s="10">
        <f>+'A) Base RI'!K67</f>
        <v>77055.75</v>
      </c>
      <c r="M67" s="10">
        <f>+'A) Base RI'!L67</f>
        <v>20261.25</v>
      </c>
      <c r="N67" s="10">
        <f>+'A) Base RI'!R67</f>
        <v>1411.91</v>
      </c>
      <c r="O67" s="10">
        <f t="shared" si="1"/>
        <v>303790</v>
      </c>
      <c r="P67" s="10">
        <f>+'A) Base RI'!M67</f>
        <v>303790</v>
      </c>
      <c r="Q67" s="428">
        <f>'A) Base RI'!Z67</f>
        <v>1</v>
      </c>
      <c r="R67" s="420">
        <f t="shared" si="2"/>
        <v>4028181.7312015626</v>
      </c>
      <c r="S67" s="410">
        <f>+'A) Base RI'!U67</f>
        <v>71</v>
      </c>
      <c r="T67" s="420">
        <f t="shared" si="3"/>
        <v>3704130.4812015626</v>
      </c>
      <c r="U67" s="420">
        <f t="shared" si="4"/>
        <v>56734.953960585386</v>
      </c>
      <c r="V67" s="10">
        <f>+'A) Base RI'!P67</f>
        <v>119411.7</v>
      </c>
      <c r="W67" s="10">
        <f>+'A) Base RI'!Q67</f>
        <v>206536.25</v>
      </c>
      <c r="X67" s="10">
        <f>+'A) Base RI'!S67</f>
        <v>124274.85</v>
      </c>
      <c r="Y67" s="420">
        <f t="shared" si="5"/>
        <v>450222.80000000005</v>
      </c>
      <c r="Z67" s="10">
        <f>+'A) Base RI'!O67</f>
        <v>94624.3</v>
      </c>
      <c r="AA67" s="10">
        <f>'A) Base RI'!V67</f>
        <v>1747</v>
      </c>
    </row>
    <row r="68" spans="1:27" x14ac:dyDescent="0.25">
      <c r="A68" s="8">
        <f>'A) Base RI'!A68</f>
        <v>5497</v>
      </c>
      <c r="B68" s="32" t="str">
        <f>'A) Base RI'!B68</f>
        <v>Pompaples</v>
      </c>
      <c r="C68" s="10">
        <f>'A) Base RI'!C68+'A) Base RI'!D68</f>
        <v>1261209.23</v>
      </c>
      <c r="D68" s="10">
        <f>'A) Base RI'!W68</f>
        <v>-9114.9500000000007</v>
      </c>
      <c r="E68" s="406">
        <f>'A) Base RI'!X68</f>
        <v>0</v>
      </c>
      <c r="F68" s="406">
        <f>'A) Base RI'!Y68</f>
        <v>0</v>
      </c>
      <c r="G68" s="420">
        <f t="shared" si="0"/>
        <v>1252094.28</v>
      </c>
      <c r="H68" s="10">
        <f>+'A) Base RI'!E68</f>
        <v>0</v>
      </c>
      <c r="I68" s="10">
        <f>+'A) Base RI'!F68</f>
        <v>0</v>
      </c>
      <c r="J68" s="10">
        <f>+'A) Base RI'!G68+'A) Base RI'!H68+'A) Base RI'!I68</f>
        <v>25737.072467168586</v>
      </c>
      <c r="K68" s="10">
        <f>+'A) Base RI'!J68</f>
        <v>0</v>
      </c>
      <c r="L68" s="10">
        <f>+'A) Base RI'!K68</f>
        <v>47235.39</v>
      </c>
      <c r="M68" s="10">
        <f>+'A) Base RI'!L68</f>
        <v>6244.75</v>
      </c>
      <c r="N68" s="10">
        <f>+'A) Base RI'!R68</f>
        <v>6481.45</v>
      </c>
      <c r="O68" s="10">
        <f t="shared" si="1"/>
        <v>124855.5</v>
      </c>
      <c r="P68" s="10">
        <f>+'A) Base RI'!M68</f>
        <v>124855.5</v>
      </c>
      <c r="Q68" s="428">
        <f>'A) Base RI'!Z68</f>
        <v>1</v>
      </c>
      <c r="R68" s="420">
        <f t="shared" si="2"/>
        <v>1462648.4424671684</v>
      </c>
      <c r="S68" s="410">
        <f>+'A) Base RI'!U68</f>
        <v>66</v>
      </c>
      <c r="T68" s="420">
        <f t="shared" si="3"/>
        <v>1331548.1924671684</v>
      </c>
      <c r="U68" s="420">
        <f t="shared" si="4"/>
        <v>22161.340037381338</v>
      </c>
      <c r="V68" s="10">
        <f>+'A) Base RI'!P68</f>
        <v>19077.2</v>
      </c>
      <c r="W68" s="10">
        <f>+'A) Base RI'!Q68</f>
        <v>71866.7</v>
      </c>
      <c r="X68" s="10">
        <f>+'A) Base RI'!S68</f>
        <v>36937.35</v>
      </c>
      <c r="Y68" s="420">
        <f t="shared" si="5"/>
        <v>127881.25</v>
      </c>
      <c r="Z68" s="10">
        <f>+'A) Base RI'!O68</f>
        <v>240433.1</v>
      </c>
      <c r="AA68" s="10">
        <f>'A) Base RI'!V68</f>
        <v>847</v>
      </c>
    </row>
    <row r="69" spans="1:27" x14ac:dyDescent="0.25">
      <c r="A69" s="8">
        <f>'A) Base RI'!A69</f>
        <v>5498</v>
      </c>
      <c r="B69" s="32" t="str">
        <f>'A) Base RI'!B69</f>
        <v>La Sarraz</v>
      </c>
      <c r="C69" s="10">
        <f>'A) Base RI'!C69+'A) Base RI'!D69</f>
        <v>4645828.3099999996</v>
      </c>
      <c r="D69" s="10">
        <f>'A) Base RI'!W69</f>
        <v>-116051.35</v>
      </c>
      <c r="E69" s="406">
        <f>'A) Base RI'!X69</f>
        <v>0</v>
      </c>
      <c r="F69" s="406">
        <f>'A) Base RI'!Y69</f>
        <v>-31.47</v>
      </c>
      <c r="G69" s="420">
        <f t="shared" si="0"/>
        <v>4529745.49</v>
      </c>
      <c r="H69" s="10">
        <f>+'A) Base RI'!E69</f>
        <v>0</v>
      </c>
      <c r="I69" s="10">
        <f>+'A) Base RI'!F69</f>
        <v>0</v>
      </c>
      <c r="J69" s="10">
        <f>+'A) Base RI'!G69+'A) Base RI'!H69+'A) Base RI'!I69</f>
        <v>64828.50310276317</v>
      </c>
      <c r="K69" s="10">
        <f>+'A) Base RI'!J69</f>
        <v>0</v>
      </c>
      <c r="L69" s="10">
        <f>+'A) Base RI'!K69</f>
        <v>108706.32</v>
      </c>
      <c r="M69" s="10">
        <f>+'A) Base RI'!L69</f>
        <v>9328.65</v>
      </c>
      <c r="N69" s="10">
        <f>+'A) Base RI'!R69</f>
        <v>5800.36</v>
      </c>
      <c r="O69" s="10">
        <f t="shared" si="1"/>
        <v>389029.45</v>
      </c>
      <c r="P69" s="10">
        <f>+'A) Base RI'!M69</f>
        <v>389029.45</v>
      </c>
      <c r="Q69" s="428">
        <f>'A) Base RI'!Z69</f>
        <v>1</v>
      </c>
      <c r="R69" s="420">
        <f t="shared" si="2"/>
        <v>5107438.773102765</v>
      </c>
      <c r="S69" s="410">
        <f>+'A) Base RI'!U69</f>
        <v>66</v>
      </c>
      <c r="T69" s="420">
        <f t="shared" si="3"/>
        <v>4709080.6731027644</v>
      </c>
      <c r="U69" s="420">
        <f t="shared" si="4"/>
        <v>77385.435956102505</v>
      </c>
      <c r="V69" s="10">
        <f>+'A) Base RI'!P69</f>
        <v>109211.2</v>
      </c>
      <c r="W69" s="10">
        <f>+'A) Base RI'!Q69</f>
        <v>137932.85</v>
      </c>
      <c r="X69" s="10">
        <f>+'A) Base RI'!S69</f>
        <v>92568.35</v>
      </c>
      <c r="Y69" s="420">
        <f t="shared" si="5"/>
        <v>339712.4</v>
      </c>
      <c r="Z69" s="10">
        <f>+'A) Base RI'!O69</f>
        <v>83661.399999999994</v>
      </c>
      <c r="AA69" s="10">
        <f>'A) Base RI'!V69</f>
        <v>2596</v>
      </c>
    </row>
    <row r="70" spans="1:27" x14ac:dyDescent="0.25">
      <c r="A70" s="8">
        <f>'A) Base RI'!A70</f>
        <v>5499</v>
      </c>
      <c r="B70" s="32" t="str">
        <f>'A) Base RI'!B70</f>
        <v>Senarclens</v>
      </c>
      <c r="C70" s="10">
        <f>'A) Base RI'!C70+'A) Base RI'!D70</f>
        <v>1499282.11</v>
      </c>
      <c r="D70" s="10">
        <f>'A) Base RI'!W70</f>
        <v>-345.58</v>
      </c>
      <c r="E70" s="406">
        <f>'A) Base RI'!X70</f>
        <v>0</v>
      </c>
      <c r="F70" s="406">
        <f>'A) Base RI'!Y70</f>
        <v>-125.97</v>
      </c>
      <c r="G70" s="420">
        <f t="shared" si="0"/>
        <v>1498810.56</v>
      </c>
      <c r="H70" s="10">
        <f>+'A) Base RI'!E70</f>
        <v>0</v>
      </c>
      <c r="I70" s="10">
        <f>+'A) Base RI'!F70</f>
        <v>0</v>
      </c>
      <c r="J70" s="10">
        <f>+'A) Base RI'!G70+'A) Base RI'!H70+'A) Base RI'!I70</f>
        <v>20934.946887679194</v>
      </c>
      <c r="K70" s="10">
        <f>+'A) Base RI'!J70</f>
        <v>0</v>
      </c>
      <c r="L70" s="10">
        <f>+'A) Base RI'!K70</f>
        <v>6464.4</v>
      </c>
      <c r="M70" s="10">
        <f>+'A) Base RI'!L70</f>
        <v>0</v>
      </c>
      <c r="N70" s="10">
        <f>+'A) Base RI'!R70</f>
        <v>0</v>
      </c>
      <c r="O70" s="10">
        <f t="shared" si="1"/>
        <v>93195.3</v>
      </c>
      <c r="P70" s="10">
        <f>+'A) Base RI'!M70</f>
        <v>93195.3</v>
      </c>
      <c r="Q70" s="428">
        <f>'A) Base RI'!Z70</f>
        <v>1</v>
      </c>
      <c r="R70" s="420">
        <f t="shared" si="2"/>
        <v>1619405.2068876792</v>
      </c>
      <c r="S70" s="410">
        <f>+'A) Base RI'!U70</f>
        <v>68.5</v>
      </c>
      <c r="T70" s="420">
        <f t="shared" si="3"/>
        <v>1526209.9068876791</v>
      </c>
      <c r="U70" s="420">
        <f t="shared" si="4"/>
        <v>23640.951925367579</v>
      </c>
      <c r="V70" s="10">
        <f>+'A) Base RI'!P70</f>
        <v>14250.8</v>
      </c>
      <c r="W70" s="10">
        <f>+'A) Base RI'!Q70</f>
        <v>37180</v>
      </c>
      <c r="X70" s="10">
        <f>+'A) Base RI'!S70</f>
        <v>33174.5</v>
      </c>
      <c r="Y70" s="420">
        <f t="shared" si="5"/>
        <v>84605.3</v>
      </c>
      <c r="Z70" s="10">
        <f>+'A) Base RI'!O70</f>
        <v>13140.25</v>
      </c>
      <c r="AA70" s="10">
        <f>'A) Base RI'!V70</f>
        <v>488</v>
      </c>
    </row>
    <row r="71" spans="1:27" x14ac:dyDescent="0.25">
      <c r="A71" s="8">
        <f>'A) Base RI'!A71</f>
        <v>5500</v>
      </c>
      <c r="B71" s="32" t="str">
        <f>'A) Base RI'!B71</f>
        <v>Sévery</v>
      </c>
      <c r="C71" s="10">
        <f>'A) Base RI'!C71+'A) Base RI'!D71</f>
        <v>436083.14</v>
      </c>
      <c r="D71" s="10">
        <f>'A) Base RI'!W71</f>
        <v>-4200.3900000000003</v>
      </c>
      <c r="E71" s="406">
        <f>'A) Base RI'!X71</f>
        <v>0</v>
      </c>
      <c r="F71" s="406">
        <f>'A) Base RI'!Y71</f>
        <v>-603.44000000000005</v>
      </c>
      <c r="G71" s="420">
        <f t="shared" si="0"/>
        <v>431279.31</v>
      </c>
      <c r="H71" s="10">
        <f>+'A) Base RI'!E71</f>
        <v>0</v>
      </c>
      <c r="I71" s="10">
        <f>+'A) Base RI'!F71</f>
        <v>0</v>
      </c>
      <c r="J71" s="10">
        <f>+'A) Base RI'!G71+'A) Base RI'!H71+'A) Base RI'!I71</f>
        <v>3622.246083015129</v>
      </c>
      <c r="K71" s="10">
        <f>+'A) Base RI'!J71</f>
        <v>0</v>
      </c>
      <c r="L71" s="10">
        <f>+'A) Base RI'!K71</f>
        <v>-2334.81</v>
      </c>
      <c r="M71" s="10">
        <f>+'A) Base RI'!L71</f>
        <v>153.94999999999999</v>
      </c>
      <c r="N71" s="10">
        <f>+'A) Base RI'!R71</f>
        <v>-2089.33</v>
      </c>
      <c r="O71" s="10">
        <f t="shared" si="1"/>
        <v>41981.416666666664</v>
      </c>
      <c r="P71" s="10">
        <f>+'A) Base RI'!M71</f>
        <v>50377.7</v>
      </c>
      <c r="Q71" s="428">
        <f>'A) Base RI'!Z71</f>
        <v>1.2</v>
      </c>
      <c r="R71" s="420">
        <f t="shared" si="2"/>
        <v>472612.78274968179</v>
      </c>
      <c r="S71" s="410">
        <f>+'A) Base RI'!U71</f>
        <v>75</v>
      </c>
      <c r="T71" s="420">
        <f t="shared" si="3"/>
        <v>430477.41608301509</v>
      </c>
      <c r="U71" s="420">
        <f t="shared" si="4"/>
        <v>6301.5037699957575</v>
      </c>
      <c r="V71" s="10">
        <f>+'A) Base RI'!P71</f>
        <v>47500</v>
      </c>
      <c r="W71" s="10">
        <f>+'A) Base RI'!Q71</f>
        <v>15655.8</v>
      </c>
      <c r="X71" s="10">
        <f>+'A) Base RI'!S71</f>
        <v>0</v>
      </c>
      <c r="Y71" s="420">
        <f t="shared" si="5"/>
        <v>63155.8</v>
      </c>
      <c r="Z71" s="10">
        <f>+'A) Base RI'!O71</f>
        <v>1747.6</v>
      </c>
      <c r="AA71" s="10">
        <f>'A) Base RI'!V71</f>
        <v>225</v>
      </c>
    </row>
    <row r="72" spans="1:27" x14ac:dyDescent="0.25">
      <c r="A72" s="8">
        <f>'A) Base RI'!A72</f>
        <v>5501</v>
      </c>
      <c r="B72" s="32" t="str">
        <f>'A) Base RI'!B72</f>
        <v>Sullens</v>
      </c>
      <c r="C72" s="10">
        <f>'A) Base RI'!C72+'A) Base RI'!D72</f>
        <v>2284905.67</v>
      </c>
      <c r="D72" s="10">
        <f>'A) Base RI'!W72</f>
        <v>-13779.9</v>
      </c>
      <c r="E72" s="406">
        <f>'A) Base RI'!X72</f>
        <v>0</v>
      </c>
      <c r="F72" s="406">
        <f>'A) Base RI'!Y72</f>
        <v>-69.930000000000007</v>
      </c>
      <c r="G72" s="420">
        <f t="shared" ref="G72:G135" si="6">SUM(C72:F72)</f>
        <v>2271055.84</v>
      </c>
      <c r="H72" s="10">
        <f>+'A) Base RI'!E72</f>
        <v>0</v>
      </c>
      <c r="I72" s="10">
        <f>+'A) Base RI'!F72</f>
        <v>0</v>
      </c>
      <c r="J72" s="10">
        <f>+'A) Base RI'!G72+'A) Base RI'!H72+'A) Base RI'!I72</f>
        <v>27544.791033894006</v>
      </c>
      <c r="K72" s="10">
        <f>+'A) Base RI'!J72</f>
        <v>38474.65</v>
      </c>
      <c r="L72" s="10">
        <f>+'A) Base RI'!K72</f>
        <v>73651.55</v>
      </c>
      <c r="M72" s="10">
        <f>+'A) Base RI'!L72</f>
        <v>0</v>
      </c>
      <c r="N72" s="10">
        <f>+'A) Base RI'!R72</f>
        <v>0</v>
      </c>
      <c r="O72" s="10">
        <f t="shared" ref="O72:O135" si="7">(P72/Q72)*1</f>
        <v>215245.75</v>
      </c>
      <c r="P72" s="10">
        <f>+'A) Base RI'!M72</f>
        <v>215245.75</v>
      </c>
      <c r="Q72" s="428">
        <f>'A) Base RI'!Z72</f>
        <v>1</v>
      </c>
      <c r="R72" s="420">
        <f t="shared" ref="R72:R135" si="8">SUM(G72:O72)</f>
        <v>2625972.5810338934</v>
      </c>
      <c r="S72" s="410">
        <f>+'A) Base RI'!U72</f>
        <v>70</v>
      </c>
      <c r="T72" s="420">
        <f t="shared" ref="T72:T135" si="9">(G72+H72+J72+K72+L72+N72)</f>
        <v>2410726.8310338934</v>
      </c>
      <c r="U72" s="420">
        <f t="shared" ref="U72:U135" si="10">R72/S72</f>
        <v>37513.894014769903</v>
      </c>
      <c r="V72" s="10">
        <f>+'A) Base RI'!P72</f>
        <v>13667.9</v>
      </c>
      <c r="W72" s="10">
        <f>+'A) Base RI'!Q72</f>
        <v>122065.15</v>
      </c>
      <c r="X72" s="10">
        <f>+'A) Base RI'!S72</f>
        <v>43428.65</v>
      </c>
      <c r="Y72" s="420">
        <f t="shared" ref="Y72:Y135" si="11">SUM(V72:X72)</f>
        <v>179161.69999999998</v>
      </c>
      <c r="Z72" s="10">
        <f>+'A) Base RI'!O72</f>
        <v>356.45</v>
      </c>
      <c r="AA72" s="10">
        <f>'A) Base RI'!V72</f>
        <v>1036</v>
      </c>
    </row>
    <row r="73" spans="1:27" x14ac:dyDescent="0.25">
      <c r="A73" s="8">
        <f>'A) Base RI'!A73</f>
        <v>5503</v>
      </c>
      <c r="B73" s="32" t="str">
        <f>'A) Base RI'!B73</f>
        <v>Vufflens-la-Ville</v>
      </c>
      <c r="C73" s="10">
        <f>'A) Base RI'!C73+'A) Base RI'!D73</f>
        <v>3890596.42</v>
      </c>
      <c r="D73" s="10">
        <f>'A) Base RI'!W73</f>
        <v>-42647.08</v>
      </c>
      <c r="E73" s="406">
        <f>'A) Base RI'!X73</f>
        <v>0</v>
      </c>
      <c r="F73" s="406">
        <f>'A) Base RI'!Y73</f>
        <v>-25920.93</v>
      </c>
      <c r="G73" s="420">
        <f t="shared" si="6"/>
        <v>3822028.4099999997</v>
      </c>
      <c r="H73" s="10">
        <f>+'A) Base RI'!E73</f>
        <v>0</v>
      </c>
      <c r="I73" s="10">
        <f>+'A) Base RI'!F73</f>
        <v>0</v>
      </c>
      <c r="J73" s="10">
        <f>+'A) Base RI'!G73+'A) Base RI'!H73+'A) Base RI'!I73</f>
        <v>559569.4592193102</v>
      </c>
      <c r="K73" s="10">
        <f>+'A) Base RI'!J73</f>
        <v>0</v>
      </c>
      <c r="L73" s="10">
        <f>+'A) Base RI'!K73</f>
        <v>31290.84</v>
      </c>
      <c r="M73" s="10">
        <f>+'A) Base RI'!L73</f>
        <v>28596</v>
      </c>
      <c r="N73" s="10">
        <f>+'A) Base RI'!R73</f>
        <v>6027.65</v>
      </c>
      <c r="O73" s="10">
        <f t="shared" si="7"/>
        <v>344935.58333333337</v>
      </c>
      <c r="P73" s="10">
        <f>+'A) Base RI'!M73</f>
        <v>413922.7</v>
      </c>
      <c r="Q73" s="428">
        <f>'A) Base RI'!Z73</f>
        <v>1.2</v>
      </c>
      <c r="R73" s="420">
        <f t="shared" si="8"/>
        <v>4792447.9425526429</v>
      </c>
      <c r="S73" s="410">
        <f>+'A) Base RI'!U73</f>
        <v>67</v>
      </c>
      <c r="T73" s="420">
        <f t="shared" si="9"/>
        <v>4418916.3592193099</v>
      </c>
      <c r="U73" s="420">
        <f t="shared" si="10"/>
        <v>71529.073769442432</v>
      </c>
      <c r="V73" s="10">
        <f>+'A) Base RI'!P73</f>
        <v>169027.3</v>
      </c>
      <c r="W73" s="10">
        <f>+'A) Base RI'!Q73</f>
        <v>398557</v>
      </c>
      <c r="X73" s="10">
        <f>+'A) Base RI'!S73</f>
        <v>184137.35</v>
      </c>
      <c r="Y73" s="420">
        <f t="shared" si="11"/>
        <v>751721.65</v>
      </c>
      <c r="Z73" s="10">
        <f>+'A) Base RI'!O73</f>
        <v>83801.5</v>
      </c>
      <c r="AA73" s="10">
        <f>'A) Base RI'!V73</f>
        <v>1298</v>
      </c>
    </row>
    <row r="74" spans="1:27" x14ac:dyDescent="0.25">
      <c r="A74" s="8">
        <f>'A) Base RI'!A74</f>
        <v>5511</v>
      </c>
      <c r="B74" s="32" t="str">
        <f>'A) Base RI'!B74</f>
        <v>Assens</v>
      </c>
      <c r="C74" s="10">
        <f>'A) Base RI'!C74+'A) Base RI'!D74</f>
        <v>2539475.83</v>
      </c>
      <c r="D74" s="10">
        <f>'A) Base RI'!W74</f>
        <v>-30651.52</v>
      </c>
      <c r="E74" s="406">
        <f>'A) Base RI'!X74</f>
        <v>0</v>
      </c>
      <c r="F74" s="406">
        <f>'A) Base RI'!Y74</f>
        <v>976.85</v>
      </c>
      <c r="G74" s="420">
        <f t="shared" si="6"/>
        <v>2509801.16</v>
      </c>
      <c r="H74" s="10">
        <f>+'A) Base RI'!E74</f>
        <v>0</v>
      </c>
      <c r="I74" s="10">
        <f>+'A) Base RI'!F74</f>
        <v>0</v>
      </c>
      <c r="J74" s="10">
        <f>+'A) Base RI'!G74+'A) Base RI'!H74+'A) Base RI'!I74</f>
        <v>222319.66057066311</v>
      </c>
      <c r="K74" s="10">
        <f>+'A) Base RI'!J74</f>
        <v>0</v>
      </c>
      <c r="L74" s="10">
        <f>+'A) Base RI'!K74</f>
        <v>44041.599999999999</v>
      </c>
      <c r="M74" s="10">
        <f>+'A) Base RI'!L74</f>
        <v>914.5</v>
      </c>
      <c r="N74" s="10">
        <f>+'A) Base RI'!R74</f>
        <v>0</v>
      </c>
      <c r="O74" s="10">
        <f t="shared" si="7"/>
        <v>227656.05</v>
      </c>
      <c r="P74" s="10">
        <f>+'A) Base RI'!M74</f>
        <v>227656.05</v>
      </c>
      <c r="Q74" s="428">
        <f>'A) Base RI'!Z74</f>
        <v>1</v>
      </c>
      <c r="R74" s="420">
        <f t="shared" si="8"/>
        <v>3004732.970570663</v>
      </c>
      <c r="S74" s="410">
        <f>+'A) Base RI'!U74</f>
        <v>70</v>
      </c>
      <c r="T74" s="420">
        <f t="shared" si="9"/>
        <v>2776162.4205706632</v>
      </c>
      <c r="U74" s="420">
        <f t="shared" si="10"/>
        <v>42924.75672243804</v>
      </c>
      <c r="V74" s="10">
        <f>+'A) Base RI'!P74</f>
        <v>0</v>
      </c>
      <c r="W74" s="10">
        <f>+'A) Base RI'!Q74</f>
        <v>65936.05</v>
      </c>
      <c r="X74" s="10">
        <f>+'A) Base RI'!S74</f>
        <v>58549.65</v>
      </c>
      <c r="Y74" s="420">
        <f t="shared" si="11"/>
        <v>124485.70000000001</v>
      </c>
      <c r="Z74" s="10">
        <f>+'A) Base RI'!O74</f>
        <v>11690.75</v>
      </c>
      <c r="AA74" s="10">
        <f>'A) Base RI'!V74</f>
        <v>1077</v>
      </c>
    </row>
    <row r="75" spans="1:27" x14ac:dyDescent="0.25">
      <c r="A75" s="8">
        <f>'A) Base RI'!A75</f>
        <v>5512</v>
      </c>
      <c r="B75" s="32" t="str">
        <f>'A) Base RI'!B75</f>
        <v>Bercher</v>
      </c>
      <c r="C75" s="10">
        <f>'A) Base RI'!C75+'A) Base RI'!D75</f>
        <v>2589854.89</v>
      </c>
      <c r="D75" s="10">
        <f>'A) Base RI'!W75</f>
        <v>-30925.29</v>
      </c>
      <c r="E75" s="406">
        <f>'A) Base RI'!X75</f>
        <v>0</v>
      </c>
      <c r="F75" s="406">
        <f>'A) Base RI'!Y75</f>
        <v>11.12</v>
      </c>
      <c r="G75" s="420">
        <f t="shared" si="6"/>
        <v>2558940.7200000002</v>
      </c>
      <c r="H75" s="10">
        <f>+'A) Base RI'!E75</f>
        <v>0</v>
      </c>
      <c r="I75" s="10">
        <f>+'A) Base RI'!F75</f>
        <v>0</v>
      </c>
      <c r="J75" s="10">
        <f>+'A) Base RI'!G75+'A) Base RI'!H75+'A) Base RI'!I75</f>
        <v>69925.410340085451</v>
      </c>
      <c r="K75" s="10">
        <f>+'A) Base RI'!J75</f>
        <v>0</v>
      </c>
      <c r="L75" s="10">
        <f>+'A) Base RI'!K75</f>
        <v>46382.11</v>
      </c>
      <c r="M75" s="10">
        <f>+'A) Base RI'!L75</f>
        <v>6899.7</v>
      </c>
      <c r="N75" s="10">
        <f>+'A) Base RI'!R75</f>
        <v>12834.81</v>
      </c>
      <c r="O75" s="10">
        <f t="shared" si="7"/>
        <v>231503.7</v>
      </c>
      <c r="P75" s="10">
        <f>+'A) Base RI'!M75</f>
        <v>231503.7</v>
      </c>
      <c r="Q75" s="428">
        <f>'A) Base RI'!Z75</f>
        <v>1</v>
      </c>
      <c r="R75" s="420">
        <f t="shared" si="8"/>
        <v>2926486.4503400861</v>
      </c>
      <c r="S75" s="410">
        <f>+'A) Base RI'!U75</f>
        <v>79</v>
      </c>
      <c r="T75" s="420">
        <f t="shared" si="9"/>
        <v>2688083.0503400858</v>
      </c>
      <c r="U75" s="420">
        <f t="shared" si="10"/>
        <v>37044.132282785904</v>
      </c>
      <c r="V75" s="10">
        <f>+'A) Base RI'!P75</f>
        <v>5039.1000000000004</v>
      </c>
      <c r="W75" s="10">
        <f>+'A) Base RI'!Q75</f>
        <v>120506.75</v>
      </c>
      <c r="X75" s="10">
        <f>+'A) Base RI'!S75</f>
        <v>83998</v>
      </c>
      <c r="Y75" s="420">
        <f t="shared" si="11"/>
        <v>209543.85</v>
      </c>
      <c r="Z75" s="10">
        <f>+'A) Base RI'!O75</f>
        <v>26032.65</v>
      </c>
      <c r="AA75" s="10">
        <f>'A) Base RI'!V75</f>
        <v>1239</v>
      </c>
    </row>
    <row r="76" spans="1:27" x14ac:dyDescent="0.25">
      <c r="A76" s="8">
        <f>'A) Base RI'!A76</f>
        <v>5513</v>
      </c>
      <c r="B76" s="32" t="str">
        <f>'A) Base RI'!B76</f>
        <v>Bioley-Orjulaz</v>
      </c>
      <c r="C76" s="10">
        <f>'A) Base RI'!C76+'A) Base RI'!D76</f>
        <v>996941.74</v>
      </c>
      <c r="D76" s="10">
        <f>'A) Base RI'!W76</f>
        <v>-713.56</v>
      </c>
      <c r="E76" s="406">
        <f>'A) Base RI'!X76</f>
        <v>0</v>
      </c>
      <c r="F76" s="406">
        <f>'A) Base RI'!Y76</f>
        <v>0</v>
      </c>
      <c r="G76" s="420">
        <f t="shared" si="6"/>
        <v>996228.17999999993</v>
      </c>
      <c r="H76" s="10">
        <f>+'A) Base RI'!E76</f>
        <v>0</v>
      </c>
      <c r="I76" s="10">
        <f>+'A) Base RI'!F76</f>
        <v>0</v>
      </c>
      <c r="J76" s="10">
        <f>+'A) Base RI'!G76+'A) Base RI'!H76+'A) Base RI'!I76</f>
        <v>258247.13917318161</v>
      </c>
      <c r="K76" s="10">
        <f>+'A) Base RI'!J76</f>
        <v>0</v>
      </c>
      <c r="L76" s="10">
        <f>+'A) Base RI'!K76</f>
        <v>62663.54</v>
      </c>
      <c r="M76" s="10">
        <f>+'A) Base RI'!L76</f>
        <v>10562</v>
      </c>
      <c r="N76" s="10">
        <f>+'A) Base RI'!R76</f>
        <v>0</v>
      </c>
      <c r="O76" s="10">
        <f t="shared" si="7"/>
        <v>112670.39999999999</v>
      </c>
      <c r="P76" s="10">
        <f>+'A) Base RI'!M76</f>
        <v>56335.199999999997</v>
      </c>
      <c r="Q76" s="428">
        <f>'A) Base RI'!Z76</f>
        <v>0.5</v>
      </c>
      <c r="R76" s="420">
        <f t="shared" si="8"/>
        <v>1440371.2591731814</v>
      </c>
      <c r="S76" s="410">
        <f>+'A) Base RI'!U76</f>
        <v>68</v>
      </c>
      <c r="T76" s="420">
        <f t="shared" si="9"/>
        <v>1317138.8591731815</v>
      </c>
      <c r="U76" s="420">
        <f t="shared" si="10"/>
        <v>21181.93028195855</v>
      </c>
      <c r="V76" s="10">
        <f>+'A) Base RI'!P76</f>
        <v>0</v>
      </c>
      <c r="W76" s="10">
        <f>+'A) Base RI'!Q76</f>
        <v>59089.3</v>
      </c>
      <c r="X76" s="10">
        <f>+'A) Base RI'!S76</f>
        <v>9593.5499999999993</v>
      </c>
      <c r="Y76" s="420">
        <f t="shared" si="11"/>
        <v>68682.850000000006</v>
      </c>
      <c r="Z76" s="10">
        <f>+'A) Base RI'!O76</f>
        <v>158106.54999999999</v>
      </c>
      <c r="AA76" s="10">
        <f>'A) Base RI'!V76</f>
        <v>516</v>
      </c>
    </row>
    <row r="77" spans="1:27" x14ac:dyDescent="0.25">
      <c r="A77" s="8">
        <f>'A) Base RI'!A77</f>
        <v>5514</v>
      </c>
      <c r="B77" s="32" t="str">
        <f>'A) Base RI'!B77</f>
        <v>Bottens</v>
      </c>
      <c r="C77" s="10">
        <f>'A) Base RI'!C77+'A) Base RI'!D77</f>
        <v>2769658.7699999996</v>
      </c>
      <c r="D77" s="10">
        <f>'A) Base RI'!W77</f>
        <v>-6816.55</v>
      </c>
      <c r="E77" s="406">
        <f>'A) Base RI'!X77</f>
        <v>0</v>
      </c>
      <c r="F77" s="406">
        <f>'A) Base RI'!Y77</f>
        <v>-13.81</v>
      </c>
      <c r="G77" s="420">
        <f t="shared" si="6"/>
        <v>2762828.4099999997</v>
      </c>
      <c r="H77" s="10">
        <f>+'A) Base RI'!E77</f>
        <v>0</v>
      </c>
      <c r="I77" s="10">
        <f>+'A) Base RI'!F77</f>
        <v>0</v>
      </c>
      <c r="J77" s="10">
        <f>+'A) Base RI'!G77+'A) Base RI'!H77+'A) Base RI'!I77</f>
        <v>29051.053431276818</v>
      </c>
      <c r="K77" s="10">
        <f>+'A) Base RI'!J77</f>
        <v>33969.65</v>
      </c>
      <c r="L77" s="10">
        <f>+'A) Base RI'!K77</f>
        <v>38285.629999999997</v>
      </c>
      <c r="M77" s="10">
        <f>+'A) Base RI'!L77</f>
        <v>4883</v>
      </c>
      <c r="N77" s="10">
        <f>+'A) Base RI'!R77</f>
        <v>360.38</v>
      </c>
      <c r="O77" s="10">
        <f t="shared" si="7"/>
        <v>210677.85</v>
      </c>
      <c r="P77" s="10">
        <f>+'A) Base RI'!M77</f>
        <v>210677.85</v>
      </c>
      <c r="Q77" s="428">
        <f>'A) Base RI'!Z77</f>
        <v>1</v>
      </c>
      <c r="R77" s="420">
        <f t="shared" si="8"/>
        <v>3080055.9734312762</v>
      </c>
      <c r="S77" s="410">
        <f>+'A) Base RI'!U77</f>
        <v>69</v>
      </c>
      <c r="T77" s="420">
        <f t="shared" si="9"/>
        <v>2864495.1234312761</v>
      </c>
      <c r="U77" s="420">
        <f t="shared" si="10"/>
        <v>44638.492368569219</v>
      </c>
      <c r="V77" s="10">
        <f>+'A) Base RI'!P77</f>
        <v>25144.2</v>
      </c>
      <c r="W77" s="10">
        <f>+'A) Base RI'!Q77</f>
        <v>35961.199999999997</v>
      </c>
      <c r="X77" s="10">
        <f>+'A) Base RI'!S77</f>
        <v>44987.5</v>
      </c>
      <c r="Y77" s="420">
        <f t="shared" si="11"/>
        <v>106092.9</v>
      </c>
      <c r="Z77" s="10">
        <f>+'A) Base RI'!O77</f>
        <v>5404.9</v>
      </c>
      <c r="AA77" s="10">
        <f>'A) Base RI'!V77</f>
        <v>1298</v>
      </c>
    </row>
    <row r="78" spans="1:27" x14ac:dyDescent="0.25">
      <c r="A78" s="8">
        <f>'A) Base RI'!A78</f>
        <v>5515</v>
      </c>
      <c r="B78" s="32" t="str">
        <f>'A) Base RI'!B78</f>
        <v>Bretigny-sur-Morrens</v>
      </c>
      <c r="C78" s="10">
        <f>'A) Base RI'!C78+'A) Base RI'!D78</f>
        <v>2143162.35</v>
      </c>
      <c r="D78" s="10">
        <f>'A) Base RI'!W78</f>
        <v>-31250.78</v>
      </c>
      <c r="E78" s="406">
        <f>'A) Base RI'!X78</f>
        <v>-9871.0499999999993</v>
      </c>
      <c r="F78" s="406">
        <f>'A) Base RI'!Y78</f>
        <v>-15.14</v>
      </c>
      <c r="G78" s="420">
        <f t="shared" si="6"/>
        <v>2102025.3800000004</v>
      </c>
      <c r="H78" s="10">
        <f>+'A) Base RI'!E78</f>
        <v>0</v>
      </c>
      <c r="I78" s="10">
        <f>+'A) Base RI'!F78</f>
        <v>0</v>
      </c>
      <c r="J78" s="10">
        <f>+'A) Base RI'!G78+'A) Base RI'!H78+'A) Base RI'!I78</f>
        <v>8135.7129216101584</v>
      </c>
      <c r="K78" s="10">
        <f>+'A) Base RI'!J78</f>
        <v>0</v>
      </c>
      <c r="L78" s="10">
        <f>+'A) Base RI'!K78</f>
        <v>45806.43</v>
      </c>
      <c r="M78" s="10">
        <f>+'A) Base RI'!L78</f>
        <v>4906.05</v>
      </c>
      <c r="N78" s="10">
        <f>+'A) Base RI'!R78</f>
        <v>16241.2</v>
      </c>
      <c r="O78" s="10">
        <f t="shared" si="7"/>
        <v>158209.1</v>
      </c>
      <c r="P78" s="10">
        <f>+'A) Base RI'!M78</f>
        <v>158209.1</v>
      </c>
      <c r="Q78" s="428">
        <f>'A) Base RI'!Z78</f>
        <v>1</v>
      </c>
      <c r="R78" s="420">
        <f t="shared" si="8"/>
        <v>2335323.8729216107</v>
      </c>
      <c r="S78" s="410">
        <f>+'A) Base RI'!U78</f>
        <v>81</v>
      </c>
      <c r="T78" s="420">
        <f t="shared" si="9"/>
        <v>2172208.7229216108</v>
      </c>
      <c r="U78" s="420">
        <f t="shared" si="10"/>
        <v>28831.158924958156</v>
      </c>
      <c r="V78" s="10">
        <f>+'A) Base RI'!P78</f>
        <v>0</v>
      </c>
      <c r="W78" s="10">
        <f>+'A) Base RI'!Q78</f>
        <v>106043.3</v>
      </c>
      <c r="X78" s="10">
        <f>+'A) Base RI'!S78</f>
        <v>98244.7</v>
      </c>
      <c r="Y78" s="420">
        <f t="shared" si="11"/>
        <v>204288</v>
      </c>
      <c r="Z78" s="10">
        <f>+'A) Base RI'!O78</f>
        <v>6260.8</v>
      </c>
      <c r="AA78" s="10">
        <f>'A) Base RI'!V78</f>
        <v>843</v>
      </c>
    </row>
    <row r="79" spans="1:27" x14ac:dyDescent="0.25">
      <c r="A79" s="8">
        <f>'A) Base RI'!A79</f>
        <v>5516</v>
      </c>
      <c r="B79" s="32" t="str">
        <f>'A) Base RI'!B79</f>
        <v>Cugy</v>
      </c>
      <c r="C79" s="10">
        <f>'A) Base RI'!C79+'A) Base RI'!D79</f>
        <v>7895267.9199999999</v>
      </c>
      <c r="D79" s="10">
        <f>'A) Base RI'!W79</f>
        <v>-58074.95</v>
      </c>
      <c r="E79" s="406">
        <f>'A) Base RI'!X79</f>
        <v>0</v>
      </c>
      <c r="F79" s="406">
        <f>'A) Base RI'!Y79</f>
        <v>-801.17</v>
      </c>
      <c r="G79" s="420">
        <f t="shared" si="6"/>
        <v>7836391.7999999998</v>
      </c>
      <c r="H79" s="10">
        <f>+'A) Base RI'!E79</f>
        <v>0</v>
      </c>
      <c r="I79" s="10">
        <f>+'A) Base RI'!F79</f>
        <v>0</v>
      </c>
      <c r="J79" s="10">
        <f>+'A) Base RI'!G79+'A) Base RI'!H79+'A) Base RI'!I79</f>
        <v>81344.826568784643</v>
      </c>
      <c r="K79" s="10">
        <f>+'A) Base RI'!J79</f>
        <v>0</v>
      </c>
      <c r="L79" s="10">
        <f>+'A) Base RI'!K79</f>
        <v>139190.34</v>
      </c>
      <c r="M79" s="10">
        <f>+'A) Base RI'!L79</f>
        <v>50364.55</v>
      </c>
      <c r="N79" s="10">
        <f>+'A) Base RI'!R79</f>
        <v>5117</v>
      </c>
      <c r="O79" s="10">
        <f t="shared" si="7"/>
        <v>564574.00000000012</v>
      </c>
      <c r="P79" s="10">
        <f>+'A) Base RI'!M79</f>
        <v>677488.8</v>
      </c>
      <c r="Q79" s="428">
        <f>'A) Base RI'!Z79</f>
        <v>1.2</v>
      </c>
      <c r="R79" s="420">
        <f t="shared" si="8"/>
        <v>8676982.5165687837</v>
      </c>
      <c r="S79" s="410">
        <f>+'A) Base RI'!U79</f>
        <v>78</v>
      </c>
      <c r="T79" s="420">
        <f t="shared" si="9"/>
        <v>8062043.9665687839</v>
      </c>
      <c r="U79" s="420">
        <f t="shared" si="10"/>
        <v>111243.36559703569</v>
      </c>
      <c r="V79" s="10">
        <f>+'A) Base RI'!P79</f>
        <v>730</v>
      </c>
      <c r="W79" s="10">
        <f>+'A) Base RI'!Q79</f>
        <v>226670.85</v>
      </c>
      <c r="X79" s="10">
        <f>+'A) Base RI'!S79</f>
        <v>213237.7</v>
      </c>
      <c r="Y79" s="420">
        <f t="shared" si="11"/>
        <v>440638.55000000005</v>
      </c>
      <c r="Z79" s="10">
        <f>+'A) Base RI'!O79</f>
        <v>96390</v>
      </c>
      <c r="AA79" s="10">
        <f>'A) Base RI'!V79</f>
        <v>2742</v>
      </c>
    </row>
    <row r="80" spans="1:27" x14ac:dyDescent="0.25">
      <c r="A80" s="8">
        <f>'A) Base RI'!A80</f>
        <v>5518</v>
      </c>
      <c r="B80" s="32" t="str">
        <f>'A) Base RI'!B80</f>
        <v>Echallens</v>
      </c>
      <c r="C80" s="10">
        <f>'A) Base RI'!C80+'A) Base RI'!D80</f>
        <v>11438548.419999998</v>
      </c>
      <c r="D80" s="10">
        <f>'A) Base RI'!W80</f>
        <v>-341090.29</v>
      </c>
      <c r="E80" s="406">
        <f>'A) Base RI'!X80</f>
        <v>0</v>
      </c>
      <c r="F80" s="406">
        <f>'A) Base RI'!Y80</f>
        <v>-399.47</v>
      </c>
      <c r="G80" s="420">
        <f t="shared" si="6"/>
        <v>11097058.659999998</v>
      </c>
      <c r="H80" s="10">
        <f>+'A) Base RI'!E80</f>
        <v>0</v>
      </c>
      <c r="I80" s="10">
        <f>+'A) Base RI'!F80</f>
        <v>0</v>
      </c>
      <c r="J80" s="10">
        <f>+'A) Base RI'!G80+'A) Base RI'!H80+'A) Base RI'!I80</f>
        <v>725492.79385543382</v>
      </c>
      <c r="K80" s="10">
        <f>+'A) Base RI'!J80</f>
        <v>0</v>
      </c>
      <c r="L80" s="10">
        <f>+'A) Base RI'!K80</f>
        <v>236604.68</v>
      </c>
      <c r="M80" s="10">
        <f>+'A) Base RI'!L80</f>
        <v>110256.05</v>
      </c>
      <c r="N80" s="10">
        <f>+'A) Base RI'!R80</f>
        <v>180315.06</v>
      </c>
      <c r="O80" s="10">
        <f t="shared" si="7"/>
        <v>1041274.05</v>
      </c>
      <c r="P80" s="10">
        <f>+'A) Base RI'!M80</f>
        <v>1041274.05</v>
      </c>
      <c r="Q80" s="428">
        <f>'A) Base RI'!Z80</f>
        <v>1</v>
      </c>
      <c r="R80" s="420">
        <f t="shared" si="8"/>
        <v>13391001.293855434</v>
      </c>
      <c r="S80" s="410">
        <f>+'A) Base RI'!U80</f>
        <v>74</v>
      </c>
      <c r="T80" s="420">
        <f t="shared" si="9"/>
        <v>12239471.193855433</v>
      </c>
      <c r="U80" s="420">
        <f t="shared" si="10"/>
        <v>180959.47694399237</v>
      </c>
      <c r="V80" s="10">
        <f>+'A) Base RI'!P80</f>
        <v>-15166.2</v>
      </c>
      <c r="W80" s="10">
        <f>+'A) Base RI'!Q80</f>
        <v>331738.55</v>
      </c>
      <c r="X80" s="10">
        <f>+'A) Base RI'!S80</f>
        <v>209401</v>
      </c>
      <c r="Y80" s="420">
        <f t="shared" si="11"/>
        <v>525973.35</v>
      </c>
      <c r="Z80" s="10">
        <f>+'A) Base RI'!O80</f>
        <v>190763.25</v>
      </c>
      <c r="AA80" s="10">
        <f>'A) Base RI'!V80</f>
        <v>5742</v>
      </c>
    </row>
    <row r="81" spans="1:27" x14ac:dyDescent="0.25">
      <c r="A81" s="8">
        <f>'A) Base RI'!A81</f>
        <v>5520</v>
      </c>
      <c r="B81" s="32" t="str">
        <f>'A) Base RI'!B81</f>
        <v>Essertines-sur-Yverdon</v>
      </c>
      <c r="C81" s="10">
        <f>'A) Base RI'!C81+'A) Base RI'!D81</f>
        <v>2118900.17</v>
      </c>
      <c r="D81" s="10">
        <f>'A) Base RI'!W81</f>
        <v>-16786.490000000002</v>
      </c>
      <c r="E81" s="406">
        <f>'A) Base RI'!X81</f>
        <v>0</v>
      </c>
      <c r="F81" s="406">
        <f>'A) Base RI'!Y81</f>
        <v>-31.01</v>
      </c>
      <c r="G81" s="420">
        <f t="shared" si="6"/>
        <v>2102082.67</v>
      </c>
      <c r="H81" s="10">
        <f>+'A) Base RI'!E81</f>
        <v>0</v>
      </c>
      <c r="I81" s="10">
        <f>+'A) Base RI'!F81</f>
        <v>0</v>
      </c>
      <c r="J81" s="10">
        <f>+'A) Base RI'!G81+'A) Base RI'!H81+'A) Base RI'!I81</f>
        <v>12020.472525334979</v>
      </c>
      <c r="K81" s="10">
        <f>+'A) Base RI'!J81</f>
        <v>0</v>
      </c>
      <c r="L81" s="10">
        <f>+'A) Base RI'!K81</f>
        <v>19387.86</v>
      </c>
      <c r="M81" s="10">
        <f>+'A) Base RI'!L81</f>
        <v>1895.25</v>
      </c>
      <c r="N81" s="10">
        <f>+'A) Base RI'!R81</f>
        <v>11748.26</v>
      </c>
      <c r="O81" s="10">
        <f t="shared" si="7"/>
        <v>173750.65</v>
      </c>
      <c r="P81" s="10">
        <f>+'A) Base RI'!M81</f>
        <v>173750.65</v>
      </c>
      <c r="Q81" s="428">
        <f>'A) Base RI'!Z81</f>
        <v>1</v>
      </c>
      <c r="R81" s="420">
        <f t="shared" si="8"/>
        <v>2320885.1625253344</v>
      </c>
      <c r="S81" s="410">
        <f>+'A) Base RI'!U81</f>
        <v>73</v>
      </c>
      <c r="T81" s="420">
        <f t="shared" si="9"/>
        <v>2145239.2625253345</v>
      </c>
      <c r="U81" s="420">
        <f t="shared" si="10"/>
        <v>31792.947431853896</v>
      </c>
      <c r="V81" s="10">
        <f>+'A) Base RI'!P81</f>
        <v>44088</v>
      </c>
      <c r="W81" s="10">
        <f>+'A) Base RI'!Q81</f>
        <v>102119.4</v>
      </c>
      <c r="X81" s="10">
        <f>+'A) Base RI'!S81</f>
        <v>73413.899999999994</v>
      </c>
      <c r="Y81" s="420">
        <f t="shared" si="11"/>
        <v>219621.3</v>
      </c>
      <c r="Z81" s="10">
        <f>+'A) Base RI'!O81</f>
        <v>6976.6</v>
      </c>
      <c r="AA81" s="10">
        <f>'A) Base RI'!V81</f>
        <v>1024</v>
      </c>
    </row>
    <row r="82" spans="1:27" x14ac:dyDescent="0.25">
      <c r="A82" s="8">
        <f>'A) Base RI'!A82</f>
        <v>5521</v>
      </c>
      <c r="B82" s="32" t="str">
        <f>'A) Base RI'!B82</f>
        <v>Etagnières</v>
      </c>
      <c r="C82" s="10">
        <f>'A) Base RI'!C82+'A) Base RI'!D82</f>
        <v>2680587.73</v>
      </c>
      <c r="D82" s="10">
        <f>'A) Base RI'!W82</f>
        <v>-35773.68</v>
      </c>
      <c r="E82" s="406">
        <f>'A) Base RI'!X82</f>
        <v>0</v>
      </c>
      <c r="F82" s="406">
        <f>'A) Base RI'!Y82</f>
        <v>-35.909999999999997</v>
      </c>
      <c r="G82" s="420">
        <f t="shared" si="6"/>
        <v>2644778.1399999997</v>
      </c>
      <c r="H82" s="10">
        <f>+'A) Base RI'!E82</f>
        <v>0</v>
      </c>
      <c r="I82" s="10">
        <f>+'A) Base RI'!F82</f>
        <v>0</v>
      </c>
      <c r="J82" s="10">
        <f>+'A) Base RI'!G82+'A) Base RI'!H82+'A) Base RI'!I82</f>
        <v>98748.170038594748</v>
      </c>
      <c r="K82" s="10">
        <f>+'A) Base RI'!J82</f>
        <v>0</v>
      </c>
      <c r="L82" s="10">
        <f>+'A) Base RI'!K82</f>
        <v>39857.69</v>
      </c>
      <c r="M82" s="10">
        <f>+'A) Base RI'!L82</f>
        <v>14596.25</v>
      </c>
      <c r="N82" s="10">
        <f>+'A) Base RI'!R82</f>
        <v>13962.1</v>
      </c>
      <c r="O82" s="10">
        <f t="shared" si="7"/>
        <v>244089.7</v>
      </c>
      <c r="P82" s="10">
        <f>+'A) Base RI'!M82</f>
        <v>244089.7</v>
      </c>
      <c r="Q82" s="428">
        <f>'A) Base RI'!Z82</f>
        <v>1</v>
      </c>
      <c r="R82" s="420">
        <f t="shared" si="8"/>
        <v>3056032.0500385948</v>
      </c>
      <c r="S82" s="410">
        <f>+'A) Base RI'!U82</f>
        <v>73</v>
      </c>
      <c r="T82" s="420">
        <f t="shared" si="9"/>
        <v>2797346.1000385946</v>
      </c>
      <c r="U82" s="420">
        <f t="shared" si="10"/>
        <v>41863.452740254725</v>
      </c>
      <c r="V82" s="10">
        <f>+'A) Base RI'!P82</f>
        <v>11582.8</v>
      </c>
      <c r="W82" s="10">
        <f>+'A) Base RI'!Q82</f>
        <v>123693.3</v>
      </c>
      <c r="X82" s="10">
        <f>+'A) Base RI'!S82</f>
        <v>23177.200000000001</v>
      </c>
      <c r="Y82" s="420">
        <f t="shared" si="11"/>
        <v>158453.30000000002</v>
      </c>
      <c r="Z82" s="10">
        <f>+'A) Base RI'!O82</f>
        <v>55180.35</v>
      </c>
      <c r="AA82" s="10">
        <f>'A) Base RI'!V82</f>
        <v>1118</v>
      </c>
    </row>
    <row r="83" spans="1:27" x14ac:dyDescent="0.25">
      <c r="A83" s="8">
        <f>'A) Base RI'!A83</f>
        <v>5522</v>
      </c>
      <c r="B83" s="32" t="str">
        <f>'A) Base RI'!B83</f>
        <v>Fey</v>
      </c>
      <c r="C83" s="10">
        <f>'A) Base RI'!C83+'A) Base RI'!D83</f>
        <v>1446866.38</v>
      </c>
      <c r="D83" s="10">
        <f>'A) Base RI'!W83</f>
        <v>-16654.57</v>
      </c>
      <c r="E83" s="406">
        <f>'A) Base RI'!X83</f>
        <v>0</v>
      </c>
      <c r="F83" s="406">
        <f>'A) Base RI'!Y83</f>
        <v>-0.08</v>
      </c>
      <c r="G83" s="420">
        <f t="shared" si="6"/>
        <v>1430211.7299999997</v>
      </c>
      <c r="H83" s="10">
        <f>+'A) Base RI'!E83</f>
        <v>0</v>
      </c>
      <c r="I83" s="10">
        <f>+'A) Base RI'!F83</f>
        <v>0</v>
      </c>
      <c r="J83" s="10">
        <f>+'A) Base RI'!G83+'A) Base RI'!H83+'A) Base RI'!I83</f>
        <v>35353.153476957894</v>
      </c>
      <c r="K83" s="10">
        <f>+'A) Base RI'!J83</f>
        <v>0</v>
      </c>
      <c r="L83" s="10">
        <f>+'A) Base RI'!K83</f>
        <v>25943.21</v>
      </c>
      <c r="M83" s="10">
        <f>+'A) Base RI'!L83</f>
        <v>2192.9</v>
      </c>
      <c r="N83" s="10">
        <f>+'A) Base RI'!R83</f>
        <v>0</v>
      </c>
      <c r="O83" s="10">
        <f t="shared" si="7"/>
        <v>121092.4</v>
      </c>
      <c r="P83" s="10">
        <f>+'A) Base RI'!M83</f>
        <v>121092.4</v>
      </c>
      <c r="Q83" s="428">
        <f>'A) Base RI'!Z83</f>
        <v>1</v>
      </c>
      <c r="R83" s="420">
        <f t="shared" si="8"/>
        <v>1614793.3934769575</v>
      </c>
      <c r="S83" s="410">
        <f>+'A) Base RI'!U83</f>
        <v>75</v>
      </c>
      <c r="T83" s="420">
        <f t="shared" si="9"/>
        <v>1491508.0934769576</v>
      </c>
      <c r="U83" s="420">
        <f t="shared" si="10"/>
        <v>21530.578579692767</v>
      </c>
      <c r="V83" s="10">
        <f>+'A) Base RI'!P83</f>
        <v>18267.2</v>
      </c>
      <c r="W83" s="10">
        <f>+'A) Base RI'!Q83</f>
        <v>49332.35</v>
      </c>
      <c r="X83" s="10">
        <f>+'A) Base RI'!S83</f>
        <v>44424.9</v>
      </c>
      <c r="Y83" s="420">
        <f t="shared" si="11"/>
        <v>112024.45000000001</v>
      </c>
      <c r="Z83" s="10">
        <f>+'A) Base RI'!O83</f>
        <v>16661.849999999999</v>
      </c>
      <c r="AA83" s="10">
        <f>'A) Base RI'!V83</f>
        <v>734</v>
      </c>
    </row>
    <row r="84" spans="1:27" x14ac:dyDescent="0.25">
      <c r="A84" s="8">
        <f>'A) Base RI'!A84</f>
        <v>5523</v>
      </c>
      <c r="B84" s="32" t="str">
        <f>'A) Base RI'!B84</f>
        <v>Froideville</v>
      </c>
      <c r="C84" s="10">
        <f>'A) Base RI'!C84+'A) Base RI'!D84</f>
        <v>5650594.0499999998</v>
      </c>
      <c r="D84" s="10">
        <f>'A) Base RI'!W84</f>
        <v>-67792.990000000005</v>
      </c>
      <c r="E84" s="406">
        <f>'A) Base RI'!X84</f>
        <v>0</v>
      </c>
      <c r="F84" s="406">
        <f>'A) Base RI'!Y84</f>
        <v>-71.8</v>
      </c>
      <c r="G84" s="420">
        <f t="shared" si="6"/>
        <v>5582729.2599999998</v>
      </c>
      <c r="H84" s="10">
        <f>+'A) Base RI'!E84</f>
        <v>0</v>
      </c>
      <c r="I84" s="10">
        <f>+'A) Base RI'!F84</f>
        <v>14310</v>
      </c>
      <c r="J84" s="10">
        <f>+'A) Base RI'!G84+'A) Base RI'!H84+'A) Base RI'!I84</f>
        <v>32987.338408694894</v>
      </c>
      <c r="K84" s="10">
        <f>+'A) Base RI'!J84</f>
        <v>29419.200000000001</v>
      </c>
      <c r="L84" s="10">
        <f>+'A) Base RI'!K84</f>
        <v>96703.59</v>
      </c>
      <c r="M84" s="10">
        <f>+'A) Base RI'!L84</f>
        <v>17888.5</v>
      </c>
      <c r="N84" s="10">
        <f>+'A) Base RI'!R84</f>
        <v>40536.46</v>
      </c>
      <c r="O84" s="10">
        <f t="shared" si="7"/>
        <v>488384.84</v>
      </c>
      <c r="P84" s="10">
        <f>+'A) Base RI'!M84</f>
        <v>610481.05000000005</v>
      </c>
      <c r="Q84" s="428">
        <f>'A) Base RI'!Z84</f>
        <v>1.25</v>
      </c>
      <c r="R84" s="420">
        <f t="shared" si="8"/>
        <v>6302959.1884086942</v>
      </c>
      <c r="S84" s="410">
        <f>+'A) Base RI'!U84</f>
        <v>76</v>
      </c>
      <c r="T84" s="420">
        <f t="shared" si="9"/>
        <v>5782375.8484086944</v>
      </c>
      <c r="U84" s="420">
        <f t="shared" si="10"/>
        <v>82933.673531693348</v>
      </c>
      <c r="V84" s="10">
        <f>+'A) Base RI'!P84</f>
        <v>7359.8</v>
      </c>
      <c r="W84" s="10">
        <f>+'A) Base RI'!Q84</f>
        <v>186943.35</v>
      </c>
      <c r="X84" s="10">
        <f>+'A) Base RI'!S84</f>
        <v>124010.55</v>
      </c>
      <c r="Y84" s="420">
        <f t="shared" si="11"/>
        <v>318313.7</v>
      </c>
      <c r="Z84" s="10">
        <f>+'A) Base RI'!O84</f>
        <v>4694.8999999999996</v>
      </c>
      <c r="AA84" s="10">
        <f>'A) Base RI'!V84</f>
        <v>2576</v>
      </c>
    </row>
    <row r="85" spans="1:27" x14ac:dyDescent="0.25">
      <c r="A85" s="8">
        <f>'A) Base RI'!A85</f>
        <v>5527</v>
      </c>
      <c r="B85" s="32" t="str">
        <f>'A) Base RI'!B85</f>
        <v>Morrens</v>
      </c>
      <c r="C85" s="10">
        <f>'A) Base RI'!C85+'A) Base RI'!D85</f>
        <v>2572798.2000000002</v>
      </c>
      <c r="D85" s="10">
        <f>'A) Base RI'!W85</f>
        <v>-35052.620000000003</v>
      </c>
      <c r="E85" s="406">
        <f>'A) Base RI'!X85</f>
        <v>-853.3</v>
      </c>
      <c r="F85" s="406">
        <f>'A) Base RI'!Y85</f>
        <v>-12.04</v>
      </c>
      <c r="G85" s="420">
        <f t="shared" si="6"/>
        <v>2536880.2400000002</v>
      </c>
      <c r="H85" s="10">
        <f>+'A) Base RI'!E85</f>
        <v>0</v>
      </c>
      <c r="I85" s="10">
        <f>+'A) Base RI'!F85</f>
        <v>0</v>
      </c>
      <c r="J85" s="10">
        <f>+'A) Base RI'!G85+'A) Base RI'!H85+'A) Base RI'!I85</f>
        <v>-518.57648822269869</v>
      </c>
      <c r="K85" s="10">
        <f>+'A) Base RI'!J85</f>
        <v>0</v>
      </c>
      <c r="L85" s="10">
        <f>+'A) Base RI'!K85</f>
        <v>36379.5</v>
      </c>
      <c r="M85" s="10">
        <f>+'A) Base RI'!L85</f>
        <v>2709.25</v>
      </c>
      <c r="N85" s="10">
        <f>+'A) Base RI'!R85</f>
        <v>7544.42</v>
      </c>
      <c r="O85" s="10">
        <f t="shared" si="7"/>
        <v>217631.95</v>
      </c>
      <c r="P85" s="10">
        <f>+'A) Base RI'!M85</f>
        <v>217631.95</v>
      </c>
      <c r="Q85" s="428">
        <f>'A) Base RI'!Z85</f>
        <v>1</v>
      </c>
      <c r="R85" s="420">
        <f t="shared" si="8"/>
        <v>2800626.7835117774</v>
      </c>
      <c r="S85" s="410">
        <f>+'A) Base RI'!U85</f>
        <v>74</v>
      </c>
      <c r="T85" s="420">
        <f t="shared" si="9"/>
        <v>2580285.5835117772</v>
      </c>
      <c r="U85" s="420">
        <f t="shared" si="10"/>
        <v>37846.307885294293</v>
      </c>
      <c r="V85" s="10">
        <f>+'A) Base RI'!P85</f>
        <v>346.2</v>
      </c>
      <c r="W85" s="10">
        <f>+'A) Base RI'!Q85</f>
        <v>152170.65</v>
      </c>
      <c r="X85" s="10">
        <f>+'A) Base RI'!S85</f>
        <v>111776.65</v>
      </c>
      <c r="Y85" s="420">
        <f t="shared" si="11"/>
        <v>264293.5</v>
      </c>
      <c r="Z85" s="10">
        <f>+'A) Base RI'!O85</f>
        <v>9200.9500000000007</v>
      </c>
      <c r="AA85" s="10">
        <f>'A) Base RI'!V85</f>
        <v>1077</v>
      </c>
    </row>
    <row r="86" spans="1:27" x14ac:dyDescent="0.25">
      <c r="A86" s="8">
        <f>'A) Base RI'!A86</f>
        <v>5529</v>
      </c>
      <c r="B86" s="32" t="str">
        <f>'A) Base RI'!B86</f>
        <v>Oulens-sous-Echallens</v>
      </c>
      <c r="C86" s="10">
        <f>'A) Base RI'!C86+'A) Base RI'!D86</f>
        <v>1384170.75</v>
      </c>
      <c r="D86" s="10">
        <f>'A) Base RI'!W86</f>
        <v>-10309.91</v>
      </c>
      <c r="E86" s="406">
        <f>'A) Base RI'!X86</f>
        <v>0</v>
      </c>
      <c r="F86" s="406">
        <f>'A) Base RI'!Y86</f>
        <v>-14.79</v>
      </c>
      <c r="G86" s="420">
        <f t="shared" si="6"/>
        <v>1373846.05</v>
      </c>
      <c r="H86" s="10">
        <f>+'A) Base RI'!E86</f>
        <v>0</v>
      </c>
      <c r="I86" s="10">
        <f>+'A) Base RI'!F86</f>
        <v>0</v>
      </c>
      <c r="J86" s="10">
        <f>+'A) Base RI'!G86+'A) Base RI'!H86+'A) Base RI'!I86</f>
        <v>12321.548346160305</v>
      </c>
      <c r="K86" s="10">
        <f>+'A) Base RI'!J86</f>
        <v>0</v>
      </c>
      <c r="L86" s="10">
        <f>+'A) Base RI'!K86</f>
        <v>12599.56</v>
      </c>
      <c r="M86" s="10">
        <f>+'A) Base RI'!L86</f>
        <v>2516.75</v>
      </c>
      <c r="N86" s="10">
        <f>+'A) Base RI'!R86</f>
        <v>0</v>
      </c>
      <c r="O86" s="10">
        <f t="shared" si="7"/>
        <v>106236.7</v>
      </c>
      <c r="P86" s="10">
        <f>+'A) Base RI'!M86</f>
        <v>106236.7</v>
      </c>
      <c r="Q86" s="428">
        <f>'A) Base RI'!Z86</f>
        <v>1</v>
      </c>
      <c r="R86" s="420">
        <f t="shared" si="8"/>
        <v>1507520.6083461603</v>
      </c>
      <c r="S86" s="410">
        <f>+'A) Base RI'!U86</f>
        <v>71</v>
      </c>
      <c r="T86" s="420">
        <f t="shared" si="9"/>
        <v>1398767.1583461603</v>
      </c>
      <c r="U86" s="420">
        <f t="shared" si="10"/>
        <v>21232.684624593807</v>
      </c>
      <c r="V86" s="10">
        <f>+'A) Base RI'!P86</f>
        <v>0</v>
      </c>
      <c r="W86" s="10">
        <f>+'A) Base RI'!Q86</f>
        <v>27451.9</v>
      </c>
      <c r="X86" s="10">
        <f>+'A) Base RI'!S86</f>
        <v>33140.5</v>
      </c>
      <c r="Y86" s="420">
        <f t="shared" si="11"/>
        <v>60592.4</v>
      </c>
      <c r="Z86" s="10">
        <f>+'A) Base RI'!O86</f>
        <v>490.85</v>
      </c>
      <c r="AA86" s="10">
        <f>'A) Base RI'!V86</f>
        <v>611</v>
      </c>
    </row>
    <row r="87" spans="1:27" x14ac:dyDescent="0.25">
      <c r="A87" s="8">
        <f>'A) Base RI'!A87</f>
        <v>5530</v>
      </c>
      <c r="B87" s="32" t="str">
        <f>'A) Base RI'!B87</f>
        <v>Pailly</v>
      </c>
      <c r="C87" s="10">
        <f>'A) Base RI'!C87+'A) Base RI'!D87</f>
        <v>1182435.52</v>
      </c>
      <c r="D87" s="10">
        <f>'A) Base RI'!W87</f>
        <v>-14238.15</v>
      </c>
      <c r="E87" s="406">
        <f>'A) Base RI'!X87</f>
        <v>-2145.3000000000002</v>
      </c>
      <c r="F87" s="406">
        <f>'A) Base RI'!Y87</f>
        <v>0</v>
      </c>
      <c r="G87" s="420">
        <f t="shared" si="6"/>
        <v>1166052.07</v>
      </c>
      <c r="H87" s="10">
        <f>+'A) Base RI'!E87</f>
        <v>0</v>
      </c>
      <c r="I87" s="10">
        <f>+'A) Base RI'!F87</f>
        <v>0</v>
      </c>
      <c r="J87" s="10">
        <f>+'A) Base RI'!G87+'A) Base RI'!H87+'A) Base RI'!I87</f>
        <v>35048.277555556015</v>
      </c>
      <c r="K87" s="10">
        <f>+'A) Base RI'!J87</f>
        <v>0</v>
      </c>
      <c r="L87" s="10">
        <f>+'A) Base RI'!K87</f>
        <v>19037.53</v>
      </c>
      <c r="M87" s="10">
        <f>+'A) Base RI'!L87</f>
        <v>762.5</v>
      </c>
      <c r="N87" s="10">
        <f>+'A) Base RI'!R87</f>
        <v>0</v>
      </c>
      <c r="O87" s="10">
        <f t="shared" si="7"/>
        <v>82869.416666666672</v>
      </c>
      <c r="P87" s="10">
        <f>+'A) Base RI'!M87</f>
        <v>99443.3</v>
      </c>
      <c r="Q87" s="428">
        <f>'A) Base RI'!Z87</f>
        <v>1.2</v>
      </c>
      <c r="R87" s="420">
        <f t="shared" si="8"/>
        <v>1303769.7942222229</v>
      </c>
      <c r="S87" s="410">
        <f>+'A) Base RI'!U87</f>
        <v>77.5</v>
      </c>
      <c r="T87" s="420">
        <f t="shared" si="9"/>
        <v>1220137.8775555561</v>
      </c>
      <c r="U87" s="420">
        <f t="shared" si="10"/>
        <v>16822.836054480296</v>
      </c>
      <c r="V87" s="10">
        <f>+'A) Base RI'!P87</f>
        <v>39778</v>
      </c>
      <c r="W87" s="10">
        <f>+'A) Base RI'!Q87</f>
        <v>73217.149999999994</v>
      </c>
      <c r="X87" s="10">
        <f>+'A) Base RI'!S87</f>
        <v>67452.3</v>
      </c>
      <c r="Y87" s="420">
        <f t="shared" si="11"/>
        <v>180447.45</v>
      </c>
      <c r="Z87" s="10">
        <f>+'A) Base RI'!O87</f>
        <v>12684.65</v>
      </c>
      <c r="AA87" s="10">
        <f>'A) Base RI'!V87</f>
        <v>561</v>
      </c>
    </row>
    <row r="88" spans="1:27" x14ac:dyDescent="0.25">
      <c r="A88" s="8">
        <f>'A) Base RI'!A88</f>
        <v>5531</v>
      </c>
      <c r="B88" s="32" t="str">
        <f>'A) Base RI'!B88</f>
        <v>Penthéréaz</v>
      </c>
      <c r="C88" s="10">
        <f>'A) Base RI'!C88+'A) Base RI'!D88</f>
        <v>1078396</v>
      </c>
      <c r="D88" s="10">
        <f>'A) Base RI'!W88</f>
        <v>-7338.33</v>
      </c>
      <c r="E88" s="406">
        <f>'A) Base RI'!X88</f>
        <v>0</v>
      </c>
      <c r="F88" s="406">
        <f>'A) Base RI'!Y88</f>
        <v>-1.38</v>
      </c>
      <c r="G88" s="420">
        <f t="shared" si="6"/>
        <v>1071056.29</v>
      </c>
      <c r="H88" s="10">
        <f>+'A) Base RI'!E88</f>
        <v>0</v>
      </c>
      <c r="I88" s="10">
        <f>+'A) Base RI'!F88</f>
        <v>0</v>
      </c>
      <c r="J88" s="10">
        <f>+'A) Base RI'!G88+'A) Base RI'!H88+'A) Base RI'!I88</f>
        <v>442.55768311498866</v>
      </c>
      <c r="K88" s="10">
        <f>+'A) Base RI'!J88</f>
        <v>0</v>
      </c>
      <c r="L88" s="10">
        <f>+'A) Base RI'!K88</f>
        <v>9121.49</v>
      </c>
      <c r="M88" s="10">
        <f>+'A) Base RI'!L88</f>
        <v>910</v>
      </c>
      <c r="N88" s="10">
        <f>+'A) Base RI'!R88</f>
        <v>12666.82</v>
      </c>
      <c r="O88" s="10">
        <f t="shared" si="7"/>
        <v>74978</v>
      </c>
      <c r="P88" s="10">
        <f>+'A) Base RI'!M88</f>
        <v>74978</v>
      </c>
      <c r="Q88" s="428">
        <f>'A) Base RI'!Z88</f>
        <v>1</v>
      </c>
      <c r="R88" s="420">
        <f t="shared" si="8"/>
        <v>1169175.157683115</v>
      </c>
      <c r="S88" s="410">
        <f>+'A) Base RI'!U88</f>
        <v>78</v>
      </c>
      <c r="T88" s="420">
        <f t="shared" si="9"/>
        <v>1093287.157683115</v>
      </c>
      <c r="U88" s="420">
        <f t="shared" si="10"/>
        <v>14989.425098501475</v>
      </c>
      <c r="V88" s="10">
        <f>+'A) Base RI'!P88</f>
        <v>0</v>
      </c>
      <c r="W88" s="10">
        <f>+'A) Base RI'!Q88</f>
        <v>29757</v>
      </c>
      <c r="X88" s="10">
        <f>+'A) Base RI'!S88</f>
        <v>28799.45</v>
      </c>
      <c r="Y88" s="420">
        <f t="shared" si="11"/>
        <v>58556.45</v>
      </c>
      <c r="Z88" s="10">
        <f>+'A) Base RI'!O88</f>
        <v>11272.95</v>
      </c>
      <c r="AA88" s="10">
        <f>'A) Base RI'!V88</f>
        <v>421</v>
      </c>
    </row>
    <row r="89" spans="1:27" x14ac:dyDescent="0.25">
      <c r="A89" s="8">
        <f>'A) Base RI'!A89</f>
        <v>5533</v>
      </c>
      <c r="B89" s="32" t="str">
        <f>'A) Base RI'!B89</f>
        <v>Poliez-Pittet</v>
      </c>
      <c r="C89" s="10">
        <f>'A) Base RI'!C89+'A) Base RI'!D89</f>
        <v>1557147.23</v>
      </c>
      <c r="D89" s="10">
        <f>'A) Base RI'!W89</f>
        <v>-29375.439999999999</v>
      </c>
      <c r="E89" s="406">
        <f>'A) Base RI'!X89</f>
        <v>0</v>
      </c>
      <c r="F89" s="406">
        <f>'A) Base RI'!Y89</f>
        <v>-47.6</v>
      </c>
      <c r="G89" s="420">
        <f t="shared" si="6"/>
        <v>1527724.19</v>
      </c>
      <c r="H89" s="10">
        <f>+'A) Base RI'!E89</f>
        <v>0</v>
      </c>
      <c r="I89" s="10">
        <f>+'A) Base RI'!F89</f>
        <v>0</v>
      </c>
      <c r="J89" s="10">
        <f>+'A) Base RI'!G89+'A) Base RI'!H89+'A) Base RI'!I89</f>
        <v>41493.821127142852</v>
      </c>
      <c r="K89" s="10">
        <f>+'A) Base RI'!J89</f>
        <v>0</v>
      </c>
      <c r="L89" s="10">
        <f>+'A) Base RI'!K89</f>
        <v>41219.5</v>
      </c>
      <c r="M89" s="10">
        <f>+'A) Base RI'!L89</f>
        <v>8665</v>
      </c>
      <c r="N89" s="10">
        <f>+'A) Base RI'!R89</f>
        <v>37490.17</v>
      </c>
      <c r="O89" s="10">
        <f t="shared" si="7"/>
        <v>137990.75</v>
      </c>
      <c r="P89" s="10">
        <f>+'A) Base RI'!M89</f>
        <v>82794.45</v>
      </c>
      <c r="Q89" s="428">
        <f>'A) Base RI'!Z89</f>
        <v>0.6</v>
      </c>
      <c r="R89" s="420">
        <f t="shared" si="8"/>
        <v>1794583.4311271426</v>
      </c>
      <c r="S89" s="410">
        <f>+'A) Base RI'!U89</f>
        <v>71</v>
      </c>
      <c r="T89" s="420">
        <f t="shared" si="9"/>
        <v>1647927.6811271426</v>
      </c>
      <c r="U89" s="420">
        <f t="shared" si="10"/>
        <v>25275.822973621725</v>
      </c>
      <c r="V89" s="10">
        <f>+'A) Base RI'!P89</f>
        <v>0</v>
      </c>
      <c r="W89" s="10">
        <f>+'A) Base RI'!Q89</f>
        <v>54071.55</v>
      </c>
      <c r="X89" s="10">
        <f>+'A) Base RI'!S89</f>
        <v>13021.5</v>
      </c>
      <c r="Y89" s="420">
        <f t="shared" si="11"/>
        <v>67093.05</v>
      </c>
      <c r="Z89" s="10">
        <f>+'A) Base RI'!O89</f>
        <v>4052.5</v>
      </c>
      <c r="AA89" s="10">
        <f>'A) Base RI'!V89</f>
        <v>846</v>
      </c>
    </row>
    <row r="90" spans="1:27" x14ac:dyDescent="0.25">
      <c r="A90" s="8">
        <f>'A) Base RI'!A90</f>
        <v>5534</v>
      </c>
      <c r="B90" s="32" t="str">
        <f>'A) Base RI'!B90</f>
        <v>Rueyres</v>
      </c>
      <c r="C90" s="10">
        <f>'A) Base RI'!C90+'A) Base RI'!D90</f>
        <v>472328.55000000005</v>
      </c>
      <c r="D90" s="10">
        <f>'A) Base RI'!W90</f>
        <v>-2914.9</v>
      </c>
      <c r="E90" s="406">
        <f>'A) Base RI'!X90</f>
        <v>0</v>
      </c>
      <c r="F90" s="406">
        <f>'A) Base RI'!Y90</f>
        <v>0</v>
      </c>
      <c r="G90" s="420">
        <f t="shared" si="6"/>
        <v>469413.65</v>
      </c>
      <c r="H90" s="10">
        <f>+'A) Base RI'!E90</f>
        <v>0</v>
      </c>
      <c r="I90" s="10">
        <f>+'A) Base RI'!F90</f>
        <v>0</v>
      </c>
      <c r="J90" s="10">
        <f>+'A) Base RI'!G90+'A) Base RI'!H90+'A) Base RI'!I90</f>
        <v>62745.747637862456</v>
      </c>
      <c r="K90" s="10">
        <f>+'A) Base RI'!J90</f>
        <v>0</v>
      </c>
      <c r="L90" s="10">
        <f>+'A) Base RI'!K90</f>
        <v>1450.5</v>
      </c>
      <c r="M90" s="10">
        <f>+'A) Base RI'!L90</f>
        <v>861</v>
      </c>
      <c r="N90" s="10">
        <f>+'A) Base RI'!R90</f>
        <v>0</v>
      </c>
      <c r="O90" s="10">
        <f t="shared" si="7"/>
        <v>72387.75</v>
      </c>
      <c r="P90" s="10">
        <f>+'A) Base RI'!M90</f>
        <v>72387.75</v>
      </c>
      <c r="Q90" s="428">
        <f>'A) Base RI'!Z90</f>
        <v>1</v>
      </c>
      <c r="R90" s="420">
        <f t="shared" si="8"/>
        <v>606858.64763786248</v>
      </c>
      <c r="S90" s="410">
        <f>+'A) Base RI'!U90</f>
        <v>73</v>
      </c>
      <c r="T90" s="420">
        <f t="shared" si="9"/>
        <v>533609.89763786248</v>
      </c>
      <c r="U90" s="420">
        <f t="shared" si="10"/>
        <v>8313.1321594227738</v>
      </c>
      <c r="V90" s="10">
        <f>+'A) Base RI'!P90</f>
        <v>25.5</v>
      </c>
      <c r="W90" s="10">
        <f>+'A) Base RI'!Q90</f>
        <v>5991.7</v>
      </c>
      <c r="X90" s="10">
        <f>+'A) Base RI'!S90</f>
        <v>4317.3999999999996</v>
      </c>
      <c r="Y90" s="420">
        <f t="shared" si="11"/>
        <v>10334.599999999999</v>
      </c>
      <c r="Z90" s="10">
        <f>+'A) Base RI'!O90</f>
        <v>24343.4</v>
      </c>
      <c r="AA90" s="10">
        <f>'A) Base RI'!V90</f>
        <v>255</v>
      </c>
    </row>
    <row r="91" spans="1:27" x14ac:dyDescent="0.25">
      <c r="A91" s="8">
        <f>'A) Base RI'!A91</f>
        <v>5535</v>
      </c>
      <c r="B91" s="32" t="str">
        <f>'A) Base RI'!B91</f>
        <v>Saint-Barthélemy</v>
      </c>
      <c r="C91" s="10">
        <f>'A) Base RI'!C91+'A) Base RI'!D91</f>
        <v>1532397.6199999999</v>
      </c>
      <c r="D91" s="10">
        <f>'A) Base RI'!W91</f>
        <v>-24352.83</v>
      </c>
      <c r="E91" s="406">
        <f>'A) Base RI'!X91</f>
        <v>0</v>
      </c>
      <c r="F91" s="406">
        <f>'A) Base RI'!Y91</f>
        <v>-2.46</v>
      </c>
      <c r="G91" s="420">
        <f t="shared" si="6"/>
        <v>1508042.3299999998</v>
      </c>
      <c r="H91" s="10">
        <f>+'A) Base RI'!E91</f>
        <v>0</v>
      </c>
      <c r="I91" s="10">
        <f>+'A) Base RI'!F91</f>
        <v>0</v>
      </c>
      <c r="J91" s="10">
        <f>+'A) Base RI'!G91+'A) Base RI'!H91+'A) Base RI'!I91</f>
        <v>27675.558845062318</v>
      </c>
      <c r="K91" s="10">
        <f>+'A) Base RI'!J91</f>
        <v>0</v>
      </c>
      <c r="L91" s="10">
        <f>+'A) Base RI'!K91</f>
        <v>7812.17</v>
      </c>
      <c r="M91" s="10">
        <f>+'A) Base RI'!L91</f>
        <v>-5870.7</v>
      </c>
      <c r="N91" s="10">
        <f>+'A) Base RI'!R91</f>
        <v>1590.36</v>
      </c>
      <c r="O91" s="10">
        <f t="shared" si="7"/>
        <v>139537.29999999999</v>
      </c>
      <c r="P91" s="10">
        <f>+'A) Base RI'!M91</f>
        <v>139537.29999999999</v>
      </c>
      <c r="Q91" s="428">
        <f>'A) Base RI'!Z91</f>
        <v>1</v>
      </c>
      <c r="R91" s="420">
        <f t="shared" si="8"/>
        <v>1678787.0188450622</v>
      </c>
      <c r="S91" s="410">
        <f>+'A) Base RI'!U91</f>
        <v>77</v>
      </c>
      <c r="T91" s="420">
        <f t="shared" si="9"/>
        <v>1545120.4188450621</v>
      </c>
      <c r="U91" s="420">
        <f t="shared" si="10"/>
        <v>21802.428816169639</v>
      </c>
      <c r="V91" s="10" t="str">
        <f>+'A) Base RI'!P91</f>
        <v/>
      </c>
      <c r="W91" s="10">
        <f>+'A) Base RI'!Q91</f>
        <v>96756</v>
      </c>
      <c r="X91" s="10">
        <f>+'A) Base RI'!S91</f>
        <v>54993.55</v>
      </c>
      <c r="Y91" s="420">
        <f t="shared" si="11"/>
        <v>151749.54999999999</v>
      </c>
      <c r="Z91" s="10">
        <f>+'A) Base RI'!O91</f>
        <v>37117.599999999999</v>
      </c>
      <c r="AA91" s="10">
        <f>'A) Base RI'!V91</f>
        <v>778</v>
      </c>
    </row>
    <row r="92" spans="1:27" x14ac:dyDescent="0.25">
      <c r="A92" s="8">
        <f>'A) Base RI'!A92</f>
        <v>5537</v>
      </c>
      <c r="B92" s="32" t="str">
        <f>'A) Base RI'!B92</f>
        <v>Villars-le-Terroir</v>
      </c>
      <c r="C92" s="10">
        <f>'A) Base RI'!C92+'A) Base RI'!D92</f>
        <v>2492897.5499999998</v>
      </c>
      <c r="D92" s="10">
        <f>'A) Base RI'!W92</f>
        <v>-18916.48</v>
      </c>
      <c r="E92" s="406">
        <f>'A) Base RI'!X92</f>
        <v>0</v>
      </c>
      <c r="F92" s="406">
        <f>'A) Base RI'!Y92</f>
        <v>-19.940000000000001</v>
      </c>
      <c r="G92" s="420">
        <f t="shared" si="6"/>
        <v>2473961.13</v>
      </c>
      <c r="H92" s="10">
        <f>+'A) Base RI'!E92</f>
        <v>0</v>
      </c>
      <c r="I92" s="10">
        <f>+'A) Base RI'!F92</f>
        <v>6505.35</v>
      </c>
      <c r="J92" s="10">
        <f>+'A) Base RI'!G92+'A) Base RI'!H92+'A) Base RI'!I92</f>
        <v>12641.938567139963</v>
      </c>
      <c r="K92" s="10">
        <f>+'A) Base RI'!J92</f>
        <v>0</v>
      </c>
      <c r="L92" s="10">
        <f>+'A) Base RI'!K92</f>
        <v>25861.759999999998</v>
      </c>
      <c r="M92" s="10">
        <f>+'A) Base RI'!L92</f>
        <v>2788.75</v>
      </c>
      <c r="N92" s="10">
        <f>+'A) Base RI'!R92</f>
        <v>0</v>
      </c>
      <c r="O92" s="10">
        <f t="shared" si="7"/>
        <v>202039.12499999997</v>
      </c>
      <c r="P92" s="10">
        <f>+'A) Base RI'!M92</f>
        <v>161631.29999999999</v>
      </c>
      <c r="Q92" s="428">
        <f>'A) Base RI'!Z92</f>
        <v>0.8</v>
      </c>
      <c r="R92" s="420">
        <f t="shared" si="8"/>
        <v>2723798.0535671399</v>
      </c>
      <c r="S92" s="410">
        <f>+'A) Base RI'!U92</f>
        <v>73</v>
      </c>
      <c r="T92" s="420">
        <f t="shared" si="9"/>
        <v>2512464.8285671398</v>
      </c>
      <c r="U92" s="420">
        <f t="shared" si="10"/>
        <v>37312.302103659451</v>
      </c>
      <c r="V92" s="10">
        <f>+'A) Base RI'!P92</f>
        <v>1449.5</v>
      </c>
      <c r="W92" s="10">
        <f>+'A) Base RI'!Q92</f>
        <v>80137.100000000006</v>
      </c>
      <c r="X92" s="10">
        <f>+'A) Base RI'!S92</f>
        <v>38680.85</v>
      </c>
      <c r="Y92" s="420">
        <f t="shared" si="11"/>
        <v>120267.45000000001</v>
      </c>
      <c r="Z92" s="10">
        <f>+'A) Base RI'!O92</f>
        <v>0</v>
      </c>
      <c r="AA92" s="10">
        <f>'A) Base RI'!V92</f>
        <v>1213</v>
      </c>
    </row>
    <row r="93" spans="1:27" x14ac:dyDescent="0.25">
      <c r="A93" s="8">
        <f>'A) Base RI'!A93</f>
        <v>5539</v>
      </c>
      <c r="B93" s="32" t="str">
        <f>'A) Base RI'!B93</f>
        <v>Vuarrens</v>
      </c>
      <c r="C93" s="10">
        <f>'A) Base RI'!C93+'A) Base RI'!D93</f>
        <v>1969656.72</v>
      </c>
      <c r="D93" s="10">
        <f>'A) Base RI'!W93</f>
        <v>-18348.13</v>
      </c>
      <c r="E93" s="406">
        <f>'A) Base RI'!X93</f>
        <v>0</v>
      </c>
      <c r="F93" s="406">
        <f>'A) Base RI'!Y93</f>
        <v>-38.14</v>
      </c>
      <c r="G93" s="420">
        <f t="shared" si="6"/>
        <v>1951270.4500000002</v>
      </c>
      <c r="H93" s="10">
        <f>+'A) Base RI'!E93</f>
        <v>0</v>
      </c>
      <c r="I93" s="10">
        <f>+'A) Base RI'!F93</f>
        <v>0</v>
      </c>
      <c r="J93" s="10">
        <f>+'A) Base RI'!G93+'A) Base RI'!H93+'A) Base RI'!I93</f>
        <v>5989.0544352155412</v>
      </c>
      <c r="K93" s="10">
        <f>+'A) Base RI'!J93</f>
        <v>0</v>
      </c>
      <c r="L93" s="10">
        <f>+'A) Base RI'!K93</f>
        <v>25205.23</v>
      </c>
      <c r="M93" s="10">
        <f>+'A) Base RI'!L93</f>
        <v>5776.2</v>
      </c>
      <c r="N93" s="10">
        <f>+'A) Base RI'!R93</f>
        <v>3313.53</v>
      </c>
      <c r="O93" s="10">
        <f t="shared" si="7"/>
        <v>173197.37499999997</v>
      </c>
      <c r="P93" s="10">
        <f>+'A) Base RI'!M93</f>
        <v>138557.9</v>
      </c>
      <c r="Q93" s="428">
        <f>'A) Base RI'!Z93</f>
        <v>0.8</v>
      </c>
      <c r="R93" s="420">
        <f t="shared" si="8"/>
        <v>2164751.8394352156</v>
      </c>
      <c r="S93" s="410">
        <f>+'A) Base RI'!U93</f>
        <v>75</v>
      </c>
      <c r="T93" s="420">
        <f t="shared" si="9"/>
        <v>1985778.2644352156</v>
      </c>
      <c r="U93" s="420">
        <f t="shared" si="10"/>
        <v>28863.357859136209</v>
      </c>
      <c r="V93" s="10">
        <f>+'A) Base RI'!P93</f>
        <v>39766.800000000003</v>
      </c>
      <c r="W93" s="10">
        <f>+'A) Base RI'!Q93</f>
        <v>85795.199999999997</v>
      </c>
      <c r="X93" s="10">
        <f>+'A) Base RI'!S93</f>
        <v>37040.949999999997</v>
      </c>
      <c r="Y93" s="420">
        <f t="shared" si="11"/>
        <v>162602.95000000001</v>
      </c>
      <c r="Z93" s="10">
        <f>+'A) Base RI'!O93</f>
        <v>14221.75</v>
      </c>
      <c r="AA93" s="10">
        <f>'A) Base RI'!V93</f>
        <v>1001</v>
      </c>
    </row>
    <row r="94" spans="1:27" x14ac:dyDescent="0.25">
      <c r="A94" s="8">
        <f>'A) Base RI'!A94</f>
        <v>5540</v>
      </c>
      <c r="B94" s="32" t="str">
        <f>'A) Base RI'!B94</f>
        <v>Montilliez</v>
      </c>
      <c r="C94" s="10">
        <f>'A) Base RI'!C94+'A) Base RI'!D94</f>
        <v>4061001.15</v>
      </c>
      <c r="D94" s="10">
        <f>'A) Base RI'!W94</f>
        <v>-83150.39</v>
      </c>
      <c r="E94" s="406">
        <f>'A) Base RI'!X94</f>
        <v>-2937.25</v>
      </c>
      <c r="F94" s="406">
        <f>'A) Base RI'!Y94</f>
        <v>-146.27000000000001</v>
      </c>
      <c r="G94" s="420">
        <f t="shared" si="6"/>
        <v>3974767.2399999998</v>
      </c>
      <c r="H94" s="10">
        <f>+'A) Base RI'!E94</f>
        <v>0</v>
      </c>
      <c r="I94" s="10">
        <f>+'A) Base RI'!F94</f>
        <v>0</v>
      </c>
      <c r="J94" s="10">
        <f>+'A) Base RI'!G94+'A) Base RI'!H94+'A) Base RI'!I94</f>
        <v>51736.616678646067</v>
      </c>
      <c r="K94" s="10">
        <f>+'A) Base RI'!J94</f>
        <v>0</v>
      </c>
      <c r="L94" s="10">
        <f>+'A) Base RI'!K94</f>
        <v>26160.77</v>
      </c>
      <c r="M94" s="10">
        <f>+'A) Base RI'!L94</f>
        <v>6820.35</v>
      </c>
      <c r="N94" s="10">
        <f>+'A) Base RI'!R94</f>
        <v>1104.07</v>
      </c>
      <c r="O94" s="10">
        <f t="shared" si="7"/>
        <v>312199.74999999994</v>
      </c>
      <c r="P94" s="10">
        <f>+'A) Base RI'!M94</f>
        <v>249759.8</v>
      </c>
      <c r="Q94" s="428">
        <f>'A) Base RI'!Z94</f>
        <v>0.8</v>
      </c>
      <c r="R94" s="420">
        <f t="shared" si="8"/>
        <v>4372788.7966786455</v>
      </c>
      <c r="S94" s="410">
        <f>+'A) Base RI'!U94</f>
        <v>74</v>
      </c>
      <c r="T94" s="420">
        <f t="shared" si="9"/>
        <v>4053768.6966786459</v>
      </c>
      <c r="U94" s="420">
        <f t="shared" si="10"/>
        <v>59091.740495657374</v>
      </c>
      <c r="V94" s="10">
        <f>+'A) Base RI'!P94</f>
        <v>292.60000000000002</v>
      </c>
      <c r="W94" s="10">
        <f>+'A) Base RI'!Q94</f>
        <v>108615.3</v>
      </c>
      <c r="X94" s="10">
        <f>+'A) Base RI'!S94</f>
        <v>87178.55</v>
      </c>
      <c r="Y94" s="420">
        <f t="shared" si="11"/>
        <v>196086.45</v>
      </c>
      <c r="Z94" s="10">
        <f>+'A) Base RI'!O94</f>
        <v>6897.65</v>
      </c>
      <c r="AA94" s="10">
        <f>'A) Base RI'!V94</f>
        <v>1781</v>
      </c>
    </row>
    <row r="95" spans="1:27" x14ac:dyDescent="0.25">
      <c r="A95" s="8">
        <f>'A) Base RI'!A95</f>
        <v>5541</v>
      </c>
      <c r="B95" s="32" t="str">
        <f>'A) Base RI'!B95</f>
        <v>Goumoëns</v>
      </c>
      <c r="C95" s="10">
        <f>'A) Base RI'!C95+'A) Base RI'!D95</f>
        <v>2418213.71</v>
      </c>
      <c r="D95" s="10">
        <f>'A) Base RI'!W95</f>
        <v>-22250.33</v>
      </c>
      <c r="E95" s="406">
        <f>'A) Base RI'!X95</f>
        <v>-6819.85</v>
      </c>
      <c r="F95" s="406">
        <f>'A) Base RI'!Y95</f>
        <v>-2.44</v>
      </c>
      <c r="G95" s="420">
        <f t="shared" si="6"/>
        <v>2389141.09</v>
      </c>
      <c r="H95" s="10">
        <f>+'A) Base RI'!E95</f>
        <v>0</v>
      </c>
      <c r="I95" s="10">
        <f>+'A) Base RI'!F95</f>
        <v>0</v>
      </c>
      <c r="J95" s="10">
        <f>+'A) Base RI'!G95+'A) Base RI'!H95+'A) Base RI'!I95</f>
        <v>73620.427680674926</v>
      </c>
      <c r="K95" s="10">
        <f>+'A) Base RI'!J95</f>
        <v>0</v>
      </c>
      <c r="L95" s="10">
        <f>+'A) Base RI'!K95</f>
        <v>42479.32</v>
      </c>
      <c r="M95" s="10">
        <f>+'A) Base RI'!L95</f>
        <v>1945.15</v>
      </c>
      <c r="N95" s="10">
        <f>+'A) Base RI'!R95</f>
        <v>2092.63</v>
      </c>
      <c r="O95" s="10">
        <f t="shared" si="7"/>
        <v>203505.85</v>
      </c>
      <c r="P95" s="10">
        <f>+'A) Base RI'!M95</f>
        <v>203505.85</v>
      </c>
      <c r="Q95" s="428">
        <f>'A) Base RI'!Z95</f>
        <v>1</v>
      </c>
      <c r="R95" s="420">
        <f t="shared" si="8"/>
        <v>2712784.4676806745</v>
      </c>
      <c r="S95" s="410">
        <f>+'A) Base RI'!U95</f>
        <v>77</v>
      </c>
      <c r="T95" s="420">
        <f t="shared" si="9"/>
        <v>2507333.4676806745</v>
      </c>
      <c r="U95" s="420">
        <f t="shared" si="10"/>
        <v>35230.967112736034</v>
      </c>
      <c r="V95" s="10">
        <f>+'A) Base RI'!P95</f>
        <v>40663.599999999977</v>
      </c>
      <c r="W95" s="10">
        <f>+'A) Base RI'!Q95</f>
        <v>48114</v>
      </c>
      <c r="X95" s="10">
        <f>+'A) Base RI'!S95</f>
        <v>37861.4</v>
      </c>
      <c r="Y95" s="420">
        <f t="shared" si="11"/>
        <v>126638.99999999997</v>
      </c>
      <c r="Z95" s="10">
        <f>+'A) Base RI'!O95</f>
        <v>12741.2</v>
      </c>
      <c r="AA95" s="10">
        <f>'A) Base RI'!V95</f>
        <v>1119</v>
      </c>
    </row>
    <row r="96" spans="1:27" x14ac:dyDescent="0.25">
      <c r="A96" s="8">
        <f>'A) Base RI'!A96</f>
        <v>5551</v>
      </c>
      <c r="B96" s="32" t="str">
        <f>'A) Base RI'!B96</f>
        <v>Bonvillars</v>
      </c>
      <c r="C96" s="10">
        <f>'A) Base RI'!C96+'A) Base RI'!D96</f>
        <v>942016.73</v>
      </c>
      <c r="D96" s="10">
        <f>'A) Base RI'!W96</f>
        <v>-3185.72</v>
      </c>
      <c r="E96" s="406">
        <f>'A) Base RI'!X96</f>
        <v>0</v>
      </c>
      <c r="F96" s="406">
        <f>'A) Base RI'!Y96</f>
        <v>-238.35</v>
      </c>
      <c r="G96" s="420">
        <f t="shared" si="6"/>
        <v>938592.66</v>
      </c>
      <c r="H96" s="10">
        <f>+'A) Base RI'!E96</f>
        <v>0</v>
      </c>
      <c r="I96" s="10">
        <f>+'A) Base RI'!F96</f>
        <v>0</v>
      </c>
      <c r="J96" s="10">
        <f>+'A) Base RI'!G96+'A) Base RI'!H96+'A) Base RI'!I96</f>
        <v>110467.2726308796</v>
      </c>
      <c r="K96" s="10">
        <f>+'A) Base RI'!J96</f>
        <v>0</v>
      </c>
      <c r="L96" s="10">
        <f>+'A) Base RI'!K96</f>
        <v>3867.89</v>
      </c>
      <c r="M96" s="10">
        <f>+'A) Base RI'!L96</f>
        <v>15490.8</v>
      </c>
      <c r="N96" s="10">
        <f>+'A) Base RI'!R96</f>
        <v>743.96</v>
      </c>
      <c r="O96" s="10">
        <f t="shared" si="7"/>
        <v>108679.2</v>
      </c>
      <c r="P96" s="10">
        <f>+'A) Base RI'!M96</f>
        <v>108679.2</v>
      </c>
      <c r="Q96" s="428">
        <f>'A) Base RI'!Z96</f>
        <v>1</v>
      </c>
      <c r="R96" s="420">
        <f t="shared" si="8"/>
        <v>1177841.7826308794</v>
      </c>
      <c r="S96" s="410">
        <f>+'A) Base RI'!U96</f>
        <v>55</v>
      </c>
      <c r="T96" s="420">
        <f t="shared" si="9"/>
        <v>1053671.7826308794</v>
      </c>
      <c r="U96" s="420">
        <f t="shared" si="10"/>
        <v>21415.305138743261</v>
      </c>
      <c r="V96" s="10">
        <f>+'A) Base RI'!P96</f>
        <v>4786.3</v>
      </c>
      <c r="W96" s="10">
        <f>+'A) Base RI'!Q96</f>
        <v>53064.45</v>
      </c>
      <c r="X96" s="10">
        <f>+'A) Base RI'!S96</f>
        <v>22048.9</v>
      </c>
      <c r="Y96" s="420">
        <f t="shared" si="11"/>
        <v>79899.649999999994</v>
      </c>
      <c r="Z96" s="10">
        <f>+'A) Base RI'!O96</f>
        <v>10084.65</v>
      </c>
      <c r="AA96" s="10">
        <f>'A) Base RI'!V96</f>
        <v>505</v>
      </c>
    </row>
    <row r="97" spans="1:27" x14ac:dyDescent="0.25">
      <c r="A97" s="8">
        <f>'A) Base RI'!A97</f>
        <v>5552</v>
      </c>
      <c r="B97" s="32" t="str">
        <f>'A) Base RI'!B97</f>
        <v>Bullet</v>
      </c>
      <c r="C97" s="10">
        <f>'A) Base RI'!C97+'A) Base RI'!D97</f>
        <v>1227002.98</v>
      </c>
      <c r="D97" s="10">
        <f>'A) Base RI'!W97</f>
        <v>-34046.99</v>
      </c>
      <c r="E97" s="406">
        <f>'A) Base RI'!X97</f>
        <v>0</v>
      </c>
      <c r="F97" s="406">
        <f>'A) Base RI'!Y97</f>
        <v>-3.38</v>
      </c>
      <c r="G97" s="420">
        <f t="shared" si="6"/>
        <v>1192952.6100000001</v>
      </c>
      <c r="H97" s="10">
        <f>+'A) Base RI'!E97</f>
        <v>0</v>
      </c>
      <c r="I97" s="10">
        <f>+'A) Base RI'!F97</f>
        <v>0</v>
      </c>
      <c r="J97" s="10">
        <f>+'A) Base RI'!G97+'A) Base RI'!H97+'A) Base RI'!I97</f>
        <v>9831.3665967855268</v>
      </c>
      <c r="K97" s="10">
        <f>+'A) Base RI'!J97</f>
        <v>-36302.129999999997</v>
      </c>
      <c r="L97" s="10">
        <f>+'A) Base RI'!K97</f>
        <v>15125.72</v>
      </c>
      <c r="M97" s="10">
        <f>+'A) Base RI'!L97</f>
        <v>1632.2</v>
      </c>
      <c r="N97" s="10">
        <f>+'A) Base RI'!R97</f>
        <v>0</v>
      </c>
      <c r="O97" s="10">
        <f t="shared" si="7"/>
        <v>111202.65</v>
      </c>
      <c r="P97" s="10">
        <f>+'A) Base RI'!M97</f>
        <v>111202.65</v>
      </c>
      <c r="Q97" s="428">
        <f>'A) Base RI'!Z97</f>
        <v>1</v>
      </c>
      <c r="R97" s="420">
        <f t="shared" si="8"/>
        <v>1294442.4165967857</v>
      </c>
      <c r="S97" s="410">
        <f>+'A) Base RI'!U97</f>
        <v>73</v>
      </c>
      <c r="T97" s="420">
        <f t="shared" si="9"/>
        <v>1181607.5665967858</v>
      </c>
      <c r="U97" s="420">
        <f t="shared" si="10"/>
        <v>17732.087898586105</v>
      </c>
      <c r="V97" s="10">
        <f>+'A) Base RI'!P97</f>
        <v>0</v>
      </c>
      <c r="W97" s="10">
        <f>+'A) Base RI'!Q97</f>
        <v>49792.3</v>
      </c>
      <c r="X97" s="10">
        <f>+'A) Base RI'!S97</f>
        <v>26199.55</v>
      </c>
      <c r="Y97" s="420">
        <f t="shared" si="11"/>
        <v>75991.850000000006</v>
      </c>
      <c r="Z97" s="10">
        <f>+'A) Base RI'!O97</f>
        <v>40389.949999999997</v>
      </c>
      <c r="AA97" s="10">
        <f>'A) Base RI'!V97</f>
        <v>655</v>
      </c>
    </row>
    <row r="98" spans="1:27" x14ac:dyDescent="0.25">
      <c r="A98" s="8">
        <f>'A) Base RI'!A98</f>
        <v>5553</v>
      </c>
      <c r="B98" s="32" t="str">
        <f>'A) Base RI'!B98</f>
        <v>Champagne</v>
      </c>
      <c r="C98" s="10">
        <f>'A) Base RI'!C98+'A) Base RI'!D98</f>
        <v>2061020.74</v>
      </c>
      <c r="D98" s="10">
        <f>'A) Base RI'!W98</f>
        <v>-15652.32</v>
      </c>
      <c r="E98" s="406">
        <f>'A) Base RI'!X98</f>
        <v>0</v>
      </c>
      <c r="F98" s="406">
        <f>'A) Base RI'!Y98</f>
        <v>-413.53</v>
      </c>
      <c r="G98" s="420">
        <f t="shared" si="6"/>
        <v>2044954.89</v>
      </c>
      <c r="H98" s="10">
        <f>+'A) Base RI'!E98</f>
        <v>0</v>
      </c>
      <c r="I98" s="10">
        <f>+'A) Base RI'!F98</f>
        <v>0</v>
      </c>
      <c r="J98" s="10">
        <f>+'A) Base RI'!G98+'A) Base RI'!H98+'A) Base RI'!I98</f>
        <v>128316.82604475904</v>
      </c>
      <c r="K98" s="10">
        <f>+'A) Base RI'!J98</f>
        <v>0</v>
      </c>
      <c r="L98" s="10">
        <f>+'A) Base RI'!K98</f>
        <v>51067.9</v>
      </c>
      <c r="M98" s="10">
        <f>+'A) Base RI'!L98</f>
        <v>28323.25</v>
      </c>
      <c r="N98" s="10">
        <f>+'A) Base RI'!R98</f>
        <v>901.86</v>
      </c>
      <c r="O98" s="10">
        <f t="shared" si="7"/>
        <v>221831.8</v>
      </c>
      <c r="P98" s="10">
        <f>+'A) Base RI'!M98</f>
        <v>221831.8</v>
      </c>
      <c r="Q98" s="428">
        <f>'A) Base RI'!Z98</f>
        <v>1</v>
      </c>
      <c r="R98" s="420">
        <f t="shared" si="8"/>
        <v>2475396.5260447585</v>
      </c>
      <c r="S98" s="410">
        <f>+'A) Base RI'!U98</f>
        <v>65</v>
      </c>
      <c r="T98" s="420">
        <f t="shared" si="9"/>
        <v>2225241.4760447587</v>
      </c>
      <c r="U98" s="420">
        <f t="shared" si="10"/>
        <v>38083.02347761167</v>
      </c>
      <c r="V98" s="10">
        <f>+'A) Base RI'!P98</f>
        <v>0</v>
      </c>
      <c r="W98" s="10">
        <f>+'A) Base RI'!Q98</f>
        <v>106178.35</v>
      </c>
      <c r="X98" s="10">
        <f>+'A) Base RI'!S98</f>
        <v>78128.800000000003</v>
      </c>
      <c r="Y98" s="420">
        <f t="shared" si="11"/>
        <v>184307.15000000002</v>
      </c>
      <c r="Z98" s="10">
        <f>+'A) Base RI'!O98</f>
        <v>130175.35</v>
      </c>
      <c r="AA98" s="10">
        <f>'A) Base RI'!V98</f>
        <v>1034</v>
      </c>
    </row>
    <row r="99" spans="1:27" x14ac:dyDescent="0.25">
      <c r="A99" s="8">
        <f>'A) Base RI'!A99</f>
        <v>5554</v>
      </c>
      <c r="B99" s="32" t="str">
        <f>'A) Base RI'!B99</f>
        <v>Concise</v>
      </c>
      <c r="C99" s="10">
        <f>'A) Base RI'!C99+'A) Base RI'!D99</f>
        <v>2037988.05</v>
      </c>
      <c r="D99" s="10">
        <f>'A) Base RI'!W99</f>
        <v>-33078.83</v>
      </c>
      <c r="E99" s="406">
        <f>'A) Base RI'!X99</f>
        <v>0</v>
      </c>
      <c r="F99" s="406">
        <f>'A) Base RI'!Y99</f>
        <v>-1366.25</v>
      </c>
      <c r="G99" s="420">
        <f t="shared" si="6"/>
        <v>2003542.97</v>
      </c>
      <c r="H99" s="10">
        <f>+'A) Base RI'!E99</f>
        <v>0</v>
      </c>
      <c r="I99" s="10">
        <f>+'A) Base RI'!F99</f>
        <v>0</v>
      </c>
      <c r="J99" s="10">
        <f>+'A) Base RI'!G99+'A) Base RI'!H99+'A) Base RI'!I99</f>
        <v>13492.702458368009</v>
      </c>
      <c r="K99" s="10">
        <f>+'A) Base RI'!J99</f>
        <v>0</v>
      </c>
      <c r="L99" s="10">
        <f>+'A) Base RI'!K99</f>
        <v>37404.99</v>
      </c>
      <c r="M99" s="10">
        <f>+'A) Base RI'!L99</f>
        <v>7143.2</v>
      </c>
      <c r="N99" s="10">
        <f>+'A) Base RI'!R99</f>
        <v>0</v>
      </c>
      <c r="O99" s="10">
        <f t="shared" si="7"/>
        <v>170206.1</v>
      </c>
      <c r="P99" s="10">
        <f>+'A) Base RI'!M99</f>
        <v>170206.1</v>
      </c>
      <c r="Q99" s="428">
        <f>'A) Base RI'!Z99</f>
        <v>1</v>
      </c>
      <c r="R99" s="420">
        <f t="shared" si="8"/>
        <v>2231789.9624583679</v>
      </c>
      <c r="S99" s="410">
        <f>+'A) Base RI'!U99</f>
        <v>75</v>
      </c>
      <c r="T99" s="420">
        <f t="shared" si="9"/>
        <v>2054440.6624583679</v>
      </c>
      <c r="U99" s="420">
        <f t="shared" si="10"/>
        <v>29757.199499444905</v>
      </c>
      <c r="V99" s="10">
        <f>+'A) Base RI'!P99</f>
        <v>48761.8</v>
      </c>
      <c r="W99" s="10">
        <f>+'A) Base RI'!Q99</f>
        <v>110647.25</v>
      </c>
      <c r="X99" s="10">
        <f>+'A) Base RI'!S99</f>
        <v>119779.8</v>
      </c>
      <c r="Y99" s="420">
        <f t="shared" si="11"/>
        <v>279188.84999999998</v>
      </c>
      <c r="Z99" s="10">
        <f>+'A) Base RI'!O99</f>
        <v>4705.6000000000004</v>
      </c>
      <c r="AA99" s="10">
        <f>'A) Base RI'!V99</f>
        <v>995</v>
      </c>
    </row>
    <row r="100" spans="1:27" x14ac:dyDescent="0.25">
      <c r="A100" s="8">
        <f>'A) Base RI'!A100</f>
        <v>5555</v>
      </c>
      <c r="B100" s="32" t="str">
        <f>'A) Base RI'!B100</f>
        <v>Corcelles-près-Concise</v>
      </c>
      <c r="C100" s="10">
        <f>'A) Base RI'!C100+'A) Base RI'!D100</f>
        <v>843890.51</v>
      </c>
      <c r="D100" s="10">
        <f>'A) Base RI'!W100</f>
        <v>-12583.29</v>
      </c>
      <c r="E100" s="406">
        <f>'A) Base RI'!X100</f>
        <v>0</v>
      </c>
      <c r="F100" s="406">
        <f>'A) Base RI'!Y100</f>
        <v>-55.58</v>
      </c>
      <c r="G100" s="420">
        <f t="shared" si="6"/>
        <v>831251.64</v>
      </c>
      <c r="H100" s="10">
        <f>+'A) Base RI'!E100</f>
        <v>0</v>
      </c>
      <c r="I100" s="10">
        <f>+'A) Base RI'!F100</f>
        <v>0</v>
      </c>
      <c r="J100" s="10">
        <f>+'A) Base RI'!G100+'A) Base RI'!H100+'A) Base RI'!I100</f>
        <v>7857.7505986558253</v>
      </c>
      <c r="K100" s="10">
        <f>+'A) Base RI'!J100</f>
        <v>0</v>
      </c>
      <c r="L100" s="10">
        <f>+'A) Base RI'!K100</f>
        <v>-677.84</v>
      </c>
      <c r="M100" s="10">
        <f>+'A) Base RI'!L100</f>
        <v>2458.85</v>
      </c>
      <c r="N100" s="10">
        <f>+'A) Base RI'!R100</f>
        <v>341.92</v>
      </c>
      <c r="O100" s="10">
        <f t="shared" si="7"/>
        <v>83632.800000000003</v>
      </c>
      <c r="P100" s="10">
        <f>+'A) Base RI'!M100</f>
        <v>83632.800000000003</v>
      </c>
      <c r="Q100" s="428">
        <f>'A) Base RI'!Z100</f>
        <v>1</v>
      </c>
      <c r="R100" s="420">
        <f t="shared" si="8"/>
        <v>924865.12059865589</v>
      </c>
      <c r="S100" s="410">
        <f>+'A) Base RI'!U100</f>
        <v>71</v>
      </c>
      <c r="T100" s="420">
        <f t="shared" si="9"/>
        <v>838773.47059865587</v>
      </c>
      <c r="U100" s="420">
        <f t="shared" si="10"/>
        <v>13026.26930420642</v>
      </c>
      <c r="V100" s="10">
        <f>+'A) Base RI'!P100</f>
        <v>15139.1</v>
      </c>
      <c r="W100" s="10">
        <f>+'A) Base RI'!Q100</f>
        <v>47802.3</v>
      </c>
      <c r="X100" s="10">
        <f>+'A) Base RI'!S100</f>
        <v>26118.2</v>
      </c>
      <c r="Y100" s="420">
        <f t="shared" si="11"/>
        <v>89059.6</v>
      </c>
      <c r="Z100" s="10">
        <f>+'A) Base RI'!O100</f>
        <v>6304.6</v>
      </c>
      <c r="AA100" s="10">
        <f>'A) Base RI'!V100</f>
        <v>401</v>
      </c>
    </row>
    <row r="101" spans="1:27" x14ac:dyDescent="0.25">
      <c r="A101" s="8">
        <f>'A) Base RI'!A101</f>
        <v>5556</v>
      </c>
      <c r="B101" s="32" t="str">
        <f>'A) Base RI'!B101</f>
        <v>Fiez</v>
      </c>
      <c r="C101" s="10">
        <f>'A) Base RI'!C101+'A) Base RI'!D101</f>
        <v>801282.8</v>
      </c>
      <c r="D101" s="10">
        <f>'A) Base RI'!W101</f>
        <v>-4379.32</v>
      </c>
      <c r="E101" s="406">
        <f>'A) Base RI'!X101</f>
        <v>0</v>
      </c>
      <c r="F101" s="406">
        <f>'A) Base RI'!Y101</f>
        <v>-0.28000000000000003</v>
      </c>
      <c r="G101" s="420">
        <f t="shared" si="6"/>
        <v>796903.20000000007</v>
      </c>
      <c r="H101" s="10">
        <f>+'A) Base RI'!E101</f>
        <v>0</v>
      </c>
      <c r="I101" s="10">
        <f>+'A) Base RI'!F101</f>
        <v>2230</v>
      </c>
      <c r="J101" s="10">
        <f>+'A) Base RI'!G101+'A) Base RI'!H101+'A) Base RI'!I101</f>
        <v>245.45570403149875</v>
      </c>
      <c r="K101" s="10">
        <f>+'A) Base RI'!J101</f>
        <v>0</v>
      </c>
      <c r="L101" s="10">
        <f>+'A) Base RI'!K101</f>
        <v>8244</v>
      </c>
      <c r="M101" s="10">
        <f>+'A) Base RI'!L101</f>
        <v>646.5</v>
      </c>
      <c r="N101" s="10">
        <f>+'A) Base RI'!R101</f>
        <v>0</v>
      </c>
      <c r="O101" s="10">
        <f t="shared" si="7"/>
        <v>66753.333333333343</v>
      </c>
      <c r="P101" s="10">
        <f>+'A) Base RI'!M101</f>
        <v>80104</v>
      </c>
      <c r="Q101" s="428">
        <f>'A) Base RI'!Z101</f>
        <v>1.2</v>
      </c>
      <c r="R101" s="420">
        <f t="shared" si="8"/>
        <v>875022.48903736495</v>
      </c>
      <c r="S101" s="410">
        <f>+'A) Base RI'!U101</f>
        <v>69</v>
      </c>
      <c r="T101" s="420">
        <f t="shared" si="9"/>
        <v>805392.65570403158</v>
      </c>
      <c r="U101" s="420">
        <f t="shared" si="10"/>
        <v>12681.485348367609</v>
      </c>
      <c r="V101" s="10">
        <f>+'A) Base RI'!P101</f>
        <v>10692.4</v>
      </c>
      <c r="W101" s="10">
        <f>+'A) Base RI'!Q101</f>
        <v>42010.5</v>
      </c>
      <c r="X101" s="10">
        <f>+'A) Base RI'!S101</f>
        <v>43589.1</v>
      </c>
      <c r="Y101" s="420">
        <f t="shared" si="11"/>
        <v>96292</v>
      </c>
      <c r="Z101" s="10">
        <f>+'A) Base RI'!O101</f>
        <v>0</v>
      </c>
      <c r="AA101" s="10">
        <f>'A) Base RI'!V101</f>
        <v>447</v>
      </c>
    </row>
    <row r="102" spans="1:27" x14ac:dyDescent="0.25">
      <c r="A102" s="8">
        <f>'A) Base RI'!A102</f>
        <v>5557</v>
      </c>
      <c r="B102" s="32" t="str">
        <f>'A) Base RI'!B102</f>
        <v>Fontaines-sur-Grandson</v>
      </c>
      <c r="C102" s="10">
        <f>'A) Base RI'!C102+'A) Base RI'!D102</f>
        <v>334866.05</v>
      </c>
      <c r="D102" s="10">
        <f>'A) Base RI'!W102</f>
        <v>-3982.64</v>
      </c>
      <c r="E102" s="406">
        <f>'A) Base RI'!X102</f>
        <v>0</v>
      </c>
      <c r="F102" s="406">
        <f>'A) Base RI'!Y102</f>
        <v>0</v>
      </c>
      <c r="G102" s="420">
        <f t="shared" si="6"/>
        <v>330883.40999999997</v>
      </c>
      <c r="H102" s="10">
        <f>+'A) Base RI'!E102</f>
        <v>0</v>
      </c>
      <c r="I102" s="10">
        <f>+'A) Base RI'!F102</f>
        <v>1070</v>
      </c>
      <c r="J102" s="10">
        <f>+'A) Base RI'!G102+'A) Base RI'!H102+'A) Base RI'!I102</f>
        <v>6741.3232516425942</v>
      </c>
      <c r="K102" s="10">
        <f>+'A) Base RI'!J102</f>
        <v>0</v>
      </c>
      <c r="L102" s="10">
        <f>+'A) Base RI'!K102</f>
        <v>1547.23</v>
      </c>
      <c r="M102" s="10">
        <f>+'A) Base RI'!L102</f>
        <v>1452.7</v>
      </c>
      <c r="N102" s="10">
        <f>+'A) Base RI'!R102</f>
        <v>0</v>
      </c>
      <c r="O102" s="10">
        <f t="shared" si="7"/>
        <v>35527</v>
      </c>
      <c r="P102" s="10">
        <f>+'A) Base RI'!M102</f>
        <v>35527</v>
      </c>
      <c r="Q102" s="428">
        <f>'A) Base RI'!Z102</f>
        <v>1</v>
      </c>
      <c r="R102" s="420">
        <f t="shared" si="8"/>
        <v>377221.66325164255</v>
      </c>
      <c r="S102" s="410">
        <f>+'A) Base RI'!U102</f>
        <v>69</v>
      </c>
      <c r="T102" s="420">
        <f t="shared" si="9"/>
        <v>339171.96325164253</v>
      </c>
      <c r="U102" s="420">
        <f t="shared" si="10"/>
        <v>5466.9806268353996</v>
      </c>
      <c r="V102" s="10">
        <f>+'A) Base RI'!P102</f>
        <v>42371.4</v>
      </c>
      <c r="W102" s="10">
        <f>+'A) Base RI'!Q102</f>
        <v>487.95</v>
      </c>
      <c r="X102" s="10">
        <f>+'A) Base RI'!S102</f>
        <v>0</v>
      </c>
      <c r="Y102" s="420">
        <f t="shared" si="11"/>
        <v>42859.35</v>
      </c>
      <c r="Z102" s="10">
        <f>+'A) Base RI'!O102</f>
        <v>0</v>
      </c>
      <c r="AA102" s="10">
        <f>'A) Base RI'!V102</f>
        <v>218</v>
      </c>
    </row>
    <row r="103" spans="1:27" x14ac:dyDescent="0.25">
      <c r="A103" s="8">
        <f>'A) Base RI'!A103</f>
        <v>5559</v>
      </c>
      <c r="B103" s="32" t="str">
        <f>'A) Base RI'!B103</f>
        <v>Giez</v>
      </c>
      <c r="C103" s="10">
        <f>'A) Base RI'!C103+'A) Base RI'!D103</f>
        <v>1080847.99</v>
      </c>
      <c r="D103" s="10">
        <f>'A) Base RI'!W103</f>
        <v>-25334.97</v>
      </c>
      <c r="E103" s="406">
        <f>'A) Base RI'!X103</f>
        <v>0</v>
      </c>
      <c r="F103" s="406">
        <f>'A) Base RI'!Y103</f>
        <v>-23.27</v>
      </c>
      <c r="G103" s="420">
        <f t="shared" si="6"/>
        <v>1055489.75</v>
      </c>
      <c r="H103" s="10">
        <f>+'A) Base RI'!E103</f>
        <v>0</v>
      </c>
      <c r="I103" s="10">
        <f>+'A) Base RI'!F103</f>
        <v>0</v>
      </c>
      <c r="J103" s="10">
        <f>+'A) Base RI'!G103+'A) Base RI'!H103+'A) Base RI'!I103</f>
        <v>108774.65891974016</v>
      </c>
      <c r="K103" s="10">
        <f>+'A) Base RI'!J103</f>
        <v>0</v>
      </c>
      <c r="L103" s="10">
        <f>+'A) Base RI'!K103</f>
        <v>7439.69</v>
      </c>
      <c r="M103" s="10">
        <f>+'A) Base RI'!L103</f>
        <v>3258.2</v>
      </c>
      <c r="N103" s="10">
        <f>+'A) Base RI'!R103</f>
        <v>6092.3</v>
      </c>
      <c r="O103" s="10">
        <f t="shared" si="7"/>
        <v>84589.2</v>
      </c>
      <c r="P103" s="10">
        <f>+'A) Base RI'!M103</f>
        <v>84589.2</v>
      </c>
      <c r="Q103" s="428">
        <f>'A) Base RI'!Z103</f>
        <v>1</v>
      </c>
      <c r="R103" s="420">
        <f t="shared" si="8"/>
        <v>1265643.7989197401</v>
      </c>
      <c r="S103" s="410">
        <f>+'A) Base RI'!U103</f>
        <v>66</v>
      </c>
      <c r="T103" s="420">
        <f t="shared" si="9"/>
        <v>1177796.3989197402</v>
      </c>
      <c r="U103" s="420">
        <f t="shared" si="10"/>
        <v>19176.421195753639</v>
      </c>
      <c r="V103" s="10">
        <f>+'A) Base RI'!P103</f>
        <v>30787.8</v>
      </c>
      <c r="W103" s="10">
        <f>+'A) Base RI'!Q103</f>
        <v>69001.350000000006</v>
      </c>
      <c r="X103" s="10">
        <f>+'A) Base RI'!S103</f>
        <v>110654.8</v>
      </c>
      <c r="Y103" s="420">
        <f t="shared" si="11"/>
        <v>210443.95</v>
      </c>
      <c r="Z103" s="10">
        <f>+'A) Base RI'!O103</f>
        <v>36403</v>
      </c>
      <c r="AA103" s="10">
        <f>'A) Base RI'!V103</f>
        <v>412</v>
      </c>
    </row>
    <row r="104" spans="1:27" x14ac:dyDescent="0.25">
      <c r="A104" s="8">
        <f>'A) Base RI'!A104</f>
        <v>5560</v>
      </c>
      <c r="B104" s="32" t="str">
        <f>'A) Base RI'!B104</f>
        <v>Grandevent</v>
      </c>
      <c r="C104" s="10">
        <f>'A) Base RI'!C104+'A) Base RI'!D104</f>
        <v>464235.12</v>
      </c>
      <c r="D104" s="10">
        <f>'A) Base RI'!W104</f>
        <v>-11331.81</v>
      </c>
      <c r="E104" s="406">
        <f>'A) Base RI'!X104</f>
        <v>0</v>
      </c>
      <c r="F104" s="406">
        <f>'A) Base RI'!Y104</f>
        <v>0</v>
      </c>
      <c r="G104" s="420">
        <f t="shared" si="6"/>
        <v>452903.31</v>
      </c>
      <c r="H104" s="10">
        <f>+'A) Base RI'!E104</f>
        <v>0</v>
      </c>
      <c r="I104" s="10">
        <f>+'A) Base RI'!F104</f>
        <v>0</v>
      </c>
      <c r="J104" s="10">
        <f>+'A) Base RI'!G104+'A) Base RI'!H104+'A) Base RI'!I104</f>
        <v>2513.2125033175985</v>
      </c>
      <c r="K104" s="10">
        <f>+'A) Base RI'!J104</f>
        <v>0</v>
      </c>
      <c r="L104" s="10">
        <f>+'A) Base RI'!K104</f>
        <v>1775.79</v>
      </c>
      <c r="M104" s="10">
        <f>+'A) Base RI'!L104</f>
        <v>682.7</v>
      </c>
      <c r="N104" s="10">
        <f>+'A) Base RI'!R104</f>
        <v>7487.96</v>
      </c>
      <c r="O104" s="10">
        <f t="shared" si="7"/>
        <v>40254.550000000003</v>
      </c>
      <c r="P104" s="10">
        <f>+'A) Base RI'!M104</f>
        <v>40254.550000000003</v>
      </c>
      <c r="Q104" s="428">
        <f>'A) Base RI'!Z104</f>
        <v>1</v>
      </c>
      <c r="R104" s="420">
        <f t="shared" si="8"/>
        <v>505617.52250331762</v>
      </c>
      <c r="S104" s="410">
        <f>+'A) Base RI'!U104</f>
        <v>68</v>
      </c>
      <c r="T104" s="420">
        <f t="shared" si="9"/>
        <v>464680.27250331762</v>
      </c>
      <c r="U104" s="420">
        <f t="shared" si="10"/>
        <v>7435.5518015193766</v>
      </c>
      <c r="V104" s="10">
        <f>+'A) Base RI'!P104</f>
        <v>1363.2</v>
      </c>
      <c r="W104" s="10">
        <f>+'A) Base RI'!Q104</f>
        <v>29429.4</v>
      </c>
      <c r="X104" s="10">
        <f>+'A) Base RI'!S104</f>
        <v>12560.35</v>
      </c>
      <c r="Y104" s="420">
        <f t="shared" si="11"/>
        <v>43352.950000000004</v>
      </c>
      <c r="Z104" s="10">
        <f>+'A) Base RI'!O104</f>
        <v>0</v>
      </c>
      <c r="AA104" s="10">
        <f>'A) Base RI'!V104</f>
        <v>238</v>
      </c>
    </row>
    <row r="105" spans="1:27" x14ac:dyDescent="0.25">
      <c r="A105" s="8">
        <f>'A) Base RI'!A105</f>
        <v>5561</v>
      </c>
      <c r="B105" s="32" t="str">
        <f>'A) Base RI'!B105</f>
        <v>Grandson</v>
      </c>
      <c r="C105" s="10">
        <f>'A) Base RI'!C105+'A) Base RI'!D105</f>
        <v>7558861.1299999999</v>
      </c>
      <c r="D105" s="10">
        <f>'A) Base RI'!W105</f>
        <v>-76753.509999999995</v>
      </c>
      <c r="E105" s="406">
        <f>'A) Base RI'!X105</f>
        <v>0</v>
      </c>
      <c r="F105" s="406">
        <f>'A) Base RI'!Y105</f>
        <v>-99.93</v>
      </c>
      <c r="G105" s="420">
        <f t="shared" si="6"/>
        <v>7482007.6900000004</v>
      </c>
      <c r="H105" s="10">
        <f>+'A) Base RI'!E105</f>
        <v>0</v>
      </c>
      <c r="I105" s="10">
        <f>+'A) Base RI'!F105</f>
        <v>0</v>
      </c>
      <c r="J105" s="10">
        <f>+'A) Base RI'!G105+'A) Base RI'!H105+'A) Base RI'!I105</f>
        <v>228435.57242365915</v>
      </c>
      <c r="K105" s="10">
        <f>+'A) Base RI'!J105</f>
        <v>0</v>
      </c>
      <c r="L105" s="10">
        <f>+'A) Base RI'!K105</f>
        <v>60864.29</v>
      </c>
      <c r="M105" s="10">
        <f>+'A) Base RI'!L105</f>
        <v>29503.8</v>
      </c>
      <c r="N105" s="10">
        <f>+'A) Base RI'!R105</f>
        <v>28923.11</v>
      </c>
      <c r="O105" s="10">
        <f t="shared" si="7"/>
        <v>573431.30000000005</v>
      </c>
      <c r="P105" s="10">
        <f>+'A) Base RI'!M105</f>
        <v>573431.30000000005</v>
      </c>
      <c r="Q105" s="428">
        <f>'A) Base RI'!Z105</f>
        <v>1</v>
      </c>
      <c r="R105" s="420">
        <f t="shared" si="8"/>
        <v>8403165.7624236606</v>
      </c>
      <c r="S105" s="410">
        <f>+'A) Base RI'!U105</f>
        <v>69</v>
      </c>
      <c r="T105" s="420">
        <f t="shared" si="9"/>
        <v>7800230.66242366</v>
      </c>
      <c r="U105" s="420">
        <f t="shared" si="10"/>
        <v>121785.01104961828</v>
      </c>
      <c r="V105" s="10">
        <f>+'A) Base RI'!P105</f>
        <v>303463.3</v>
      </c>
      <c r="W105" s="10">
        <f>+'A) Base RI'!Q105</f>
        <v>278925.45</v>
      </c>
      <c r="X105" s="10">
        <f>+'A) Base RI'!S105</f>
        <v>184163.85</v>
      </c>
      <c r="Y105" s="420">
        <f t="shared" si="11"/>
        <v>766552.6</v>
      </c>
      <c r="Z105" s="10">
        <f>+'A) Base RI'!O105</f>
        <v>336581.85</v>
      </c>
      <c r="AA105" s="10">
        <f>'A) Base RI'!V105</f>
        <v>3360</v>
      </c>
    </row>
    <row r="106" spans="1:27" x14ac:dyDescent="0.25">
      <c r="A106" s="8">
        <f>'A) Base RI'!A106</f>
        <v>5562</v>
      </c>
      <c r="B106" s="32" t="str">
        <f>'A) Base RI'!B106</f>
        <v>Mauborget</v>
      </c>
      <c r="C106" s="10">
        <f>'A) Base RI'!C106+'A) Base RI'!D106</f>
        <v>347586.26</v>
      </c>
      <c r="D106" s="10">
        <f>'A) Base RI'!W106</f>
        <v>-10676.65</v>
      </c>
      <c r="E106" s="406">
        <f>'A) Base RI'!X106</f>
        <v>0</v>
      </c>
      <c r="F106" s="406">
        <f>'A) Base RI'!Y106</f>
        <v>-2.4</v>
      </c>
      <c r="G106" s="420">
        <f t="shared" si="6"/>
        <v>336907.20999999996</v>
      </c>
      <c r="H106" s="10">
        <f>+'A) Base RI'!E106</f>
        <v>0</v>
      </c>
      <c r="I106" s="10">
        <f>+'A) Base RI'!F106</f>
        <v>790</v>
      </c>
      <c r="J106" s="10">
        <f>+'A) Base RI'!G106+'A) Base RI'!H106+'A) Base RI'!I106</f>
        <v>-226.79882565492323</v>
      </c>
      <c r="K106" s="10">
        <f>+'A) Base RI'!J106</f>
        <v>0</v>
      </c>
      <c r="L106" s="10">
        <f>+'A) Base RI'!K106</f>
        <v>740.58</v>
      </c>
      <c r="M106" s="10">
        <f>+'A) Base RI'!L106</f>
        <v>1280</v>
      </c>
      <c r="N106" s="10">
        <f>+'A) Base RI'!R106</f>
        <v>1991.43</v>
      </c>
      <c r="O106" s="10">
        <f t="shared" si="7"/>
        <v>29097.108333333334</v>
      </c>
      <c r="P106" s="10">
        <f>+'A) Base RI'!M106</f>
        <v>34916.53</v>
      </c>
      <c r="Q106" s="428">
        <f>'A) Base RI'!Z106</f>
        <v>1.2</v>
      </c>
      <c r="R106" s="420">
        <f t="shared" si="8"/>
        <v>370579.52950767841</v>
      </c>
      <c r="S106" s="410">
        <f>+'A) Base RI'!U106</f>
        <v>70</v>
      </c>
      <c r="T106" s="420">
        <f t="shared" si="9"/>
        <v>339412.42117434507</v>
      </c>
      <c r="U106" s="420">
        <f t="shared" si="10"/>
        <v>5293.9932786811205</v>
      </c>
      <c r="V106" s="10">
        <f>+'A) Base RI'!P106</f>
        <v>11598.8</v>
      </c>
      <c r="W106" s="10">
        <f>+'A) Base RI'!Q106</f>
        <v>9845</v>
      </c>
      <c r="X106" s="10">
        <f>+'A) Base RI'!S106</f>
        <v>12475.7</v>
      </c>
      <c r="Y106" s="420">
        <f t="shared" si="11"/>
        <v>33919.5</v>
      </c>
      <c r="Z106" s="10">
        <f>+'A) Base RI'!O106</f>
        <v>452.2</v>
      </c>
      <c r="AA106" s="10">
        <f>'A) Base RI'!V106</f>
        <v>122</v>
      </c>
    </row>
    <row r="107" spans="1:27" x14ac:dyDescent="0.25">
      <c r="A107" s="8">
        <f>'A) Base RI'!A107</f>
        <v>5563</v>
      </c>
      <c r="B107" s="32" t="str">
        <f>'A) Base RI'!B107</f>
        <v>Mutrux</v>
      </c>
      <c r="C107" s="10">
        <f>'A) Base RI'!C107+'A) Base RI'!D107</f>
        <v>237758.03</v>
      </c>
      <c r="D107" s="10">
        <f>'A) Base RI'!W107</f>
        <v>-3398.32</v>
      </c>
      <c r="E107" s="406">
        <f>'A) Base RI'!X107</f>
        <v>0</v>
      </c>
      <c r="F107" s="406">
        <f>'A) Base RI'!Y107</f>
        <v>0</v>
      </c>
      <c r="G107" s="420">
        <f t="shared" si="6"/>
        <v>234359.71</v>
      </c>
      <c r="H107" s="10">
        <f>+'A) Base RI'!E107</f>
        <v>0</v>
      </c>
      <c r="I107" s="10">
        <f>+'A) Base RI'!F107</f>
        <v>528</v>
      </c>
      <c r="J107" s="10">
        <f>+'A) Base RI'!G107+'A) Base RI'!H107+'A) Base RI'!I107</f>
        <v>2949.5365699005788</v>
      </c>
      <c r="K107" s="10">
        <f>+'A) Base RI'!J107</f>
        <v>0</v>
      </c>
      <c r="L107" s="10">
        <f>+'A) Base RI'!K107</f>
        <v>-367.49</v>
      </c>
      <c r="M107" s="10">
        <f>+'A) Base RI'!L107</f>
        <v>0</v>
      </c>
      <c r="N107" s="10">
        <f>+'A) Base RI'!R107</f>
        <v>0</v>
      </c>
      <c r="O107" s="10">
        <f t="shared" si="7"/>
        <v>20988.95</v>
      </c>
      <c r="P107" s="10">
        <f>+'A) Base RI'!M107</f>
        <v>20988.95</v>
      </c>
      <c r="Q107" s="428">
        <f>'A) Base RI'!Z107</f>
        <v>1</v>
      </c>
      <c r="R107" s="420">
        <f t="shared" si="8"/>
        <v>258458.70656990059</v>
      </c>
      <c r="S107" s="410">
        <f>+'A) Base RI'!U107</f>
        <v>78.5</v>
      </c>
      <c r="T107" s="420">
        <f t="shared" si="9"/>
        <v>236941.75656990058</v>
      </c>
      <c r="U107" s="420">
        <f t="shared" si="10"/>
        <v>3292.4675996165679</v>
      </c>
      <c r="V107" s="10">
        <f>+'A) Base RI'!P107</f>
        <v>0</v>
      </c>
      <c r="W107" s="10">
        <f>+'A) Base RI'!Q107</f>
        <v>9570</v>
      </c>
      <c r="X107" s="10">
        <f>+'A) Base RI'!S107</f>
        <v>1314.3</v>
      </c>
      <c r="Y107" s="420">
        <f t="shared" si="11"/>
        <v>10884.3</v>
      </c>
      <c r="Z107" s="10">
        <f>+'A) Base RI'!O107</f>
        <v>0</v>
      </c>
      <c r="AA107" s="10">
        <f>'A) Base RI'!V107</f>
        <v>158</v>
      </c>
    </row>
    <row r="108" spans="1:27" x14ac:dyDescent="0.25">
      <c r="A108" s="8">
        <f>'A) Base RI'!A108</f>
        <v>5564</v>
      </c>
      <c r="B108" s="32" t="str">
        <f>'A) Base RI'!B108</f>
        <v>Novalles</v>
      </c>
      <c r="C108" s="10">
        <f>'A) Base RI'!C108+'A) Base RI'!D108</f>
        <v>208242.97999999998</v>
      </c>
      <c r="D108" s="10">
        <f>'A) Base RI'!W108</f>
        <v>-2750.73</v>
      </c>
      <c r="E108" s="406">
        <f>'A) Base RI'!X108</f>
        <v>0</v>
      </c>
      <c r="F108" s="406">
        <f>'A) Base RI'!Y108</f>
        <v>-10.42</v>
      </c>
      <c r="G108" s="420">
        <f t="shared" si="6"/>
        <v>205481.82999999996</v>
      </c>
      <c r="H108" s="10">
        <f>+'A) Base RI'!E108</f>
        <v>0</v>
      </c>
      <c r="I108" s="10">
        <f>+'A) Base RI'!F108</f>
        <v>0</v>
      </c>
      <c r="J108" s="10">
        <f>+'A) Base RI'!G108+'A) Base RI'!H108+'A) Base RI'!I108</f>
        <v>95.073332775294418</v>
      </c>
      <c r="K108" s="10">
        <f>+'A) Base RI'!J108</f>
        <v>0</v>
      </c>
      <c r="L108" s="10">
        <f>+'A) Base RI'!K108</f>
        <v>0</v>
      </c>
      <c r="M108" s="10">
        <f>+'A) Base RI'!L108</f>
        <v>0</v>
      </c>
      <c r="N108" s="10">
        <f>+'A) Base RI'!R108</f>
        <v>0</v>
      </c>
      <c r="O108" s="10">
        <f t="shared" si="7"/>
        <v>13219.6875</v>
      </c>
      <c r="P108" s="10">
        <f>+'A) Base RI'!M108</f>
        <v>10575.75</v>
      </c>
      <c r="Q108" s="428">
        <f>'A) Base RI'!Z108</f>
        <v>0.8</v>
      </c>
      <c r="R108" s="420">
        <f t="shared" si="8"/>
        <v>218796.59083277525</v>
      </c>
      <c r="S108" s="410">
        <f>+'A) Base RI'!U108</f>
        <v>76</v>
      </c>
      <c r="T108" s="420">
        <f t="shared" si="9"/>
        <v>205576.90333277525</v>
      </c>
      <c r="U108" s="420">
        <f t="shared" si="10"/>
        <v>2878.9025109575691</v>
      </c>
      <c r="V108" s="10">
        <f>+'A) Base RI'!P108</f>
        <v>0</v>
      </c>
      <c r="W108" s="10">
        <f>+'A) Base RI'!Q108</f>
        <v>12684.15</v>
      </c>
      <c r="X108" s="10">
        <f>+'A) Base RI'!S108</f>
        <v>14702.65</v>
      </c>
      <c r="Y108" s="420">
        <f t="shared" si="11"/>
        <v>27386.799999999999</v>
      </c>
      <c r="Z108" s="10">
        <f>+'A) Base RI'!O108</f>
        <v>0</v>
      </c>
      <c r="AA108" s="10">
        <f>'A) Base RI'!V108</f>
        <v>101</v>
      </c>
    </row>
    <row r="109" spans="1:27" x14ac:dyDescent="0.25">
      <c r="A109" s="8">
        <f>'A) Base RI'!A109</f>
        <v>5565</v>
      </c>
      <c r="B109" s="32" t="str">
        <f>'A) Base RI'!B109</f>
        <v>Onnens</v>
      </c>
      <c r="C109" s="10">
        <f>'A) Base RI'!C109+'A) Base RI'!D109</f>
        <v>972835.29</v>
      </c>
      <c r="D109" s="10">
        <f>'A) Base RI'!W109</f>
        <v>-9707.91</v>
      </c>
      <c r="E109" s="406">
        <f>'A) Base RI'!X109</f>
        <v>0</v>
      </c>
      <c r="F109" s="406">
        <f>'A) Base RI'!Y109</f>
        <v>0</v>
      </c>
      <c r="G109" s="420">
        <f t="shared" si="6"/>
        <v>963127.38</v>
      </c>
      <c r="H109" s="10">
        <f>+'A) Base RI'!E109</f>
        <v>0</v>
      </c>
      <c r="I109" s="10">
        <f>+'A) Base RI'!F109</f>
        <v>0</v>
      </c>
      <c r="J109" s="10">
        <f>+'A) Base RI'!G109+'A) Base RI'!H109+'A) Base RI'!I109</f>
        <v>326355.46121481073</v>
      </c>
      <c r="K109" s="10">
        <f>+'A) Base RI'!J109</f>
        <v>0</v>
      </c>
      <c r="L109" s="10">
        <f>+'A) Base RI'!K109</f>
        <v>5303.58</v>
      </c>
      <c r="M109" s="10">
        <f>+'A) Base RI'!L109</f>
        <v>42150.15</v>
      </c>
      <c r="N109" s="10">
        <f>+'A) Base RI'!R109</f>
        <v>1913.3</v>
      </c>
      <c r="O109" s="10">
        <f t="shared" si="7"/>
        <v>123400.7</v>
      </c>
      <c r="P109" s="10">
        <f>+'A) Base RI'!M109</f>
        <v>123400.7</v>
      </c>
      <c r="Q109" s="428">
        <f>'A) Base RI'!Z109</f>
        <v>1</v>
      </c>
      <c r="R109" s="420">
        <f t="shared" si="8"/>
        <v>1462250.5712148107</v>
      </c>
      <c r="S109" s="410">
        <f>+'A) Base RI'!U109</f>
        <v>65</v>
      </c>
      <c r="T109" s="420">
        <f t="shared" si="9"/>
        <v>1296699.7212148109</v>
      </c>
      <c r="U109" s="420">
        <f t="shared" si="10"/>
        <v>22496.162634074011</v>
      </c>
      <c r="V109" s="10">
        <f>+'A) Base RI'!P109</f>
        <v>407.2</v>
      </c>
      <c r="W109" s="10">
        <f>+'A) Base RI'!Q109</f>
        <v>49788.35</v>
      </c>
      <c r="X109" s="10">
        <f>+'A) Base RI'!S109</f>
        <v>16011.5</v>
      </c>
      <c r="Y109" s="420">
        <f t="shared" si="11"/>
        <v>66207.049999999988</v>
      </c>
      <c r="Z109" s="10">
        <f>+'A) Base RI'!O109</f>
        <v>29116.15</v>
      </c>
      <c r="AA109" s="10">
        <f>'A) Base RI'!V109</f>
        <v>494</v>
      </c>
    </row>
    <row r="110" spans="1:27" x14ac:dyDescent="0.25">
      <c r="A110" s="8">
        <f>'A) Base RI'!A110</f>
        <v>5566</v>
      </c>
      <c r="B110" s="32" t="str">
        <f>'A) Base RI'!B110</f>
        <v>Provence</v>
      </c>
      <c r="C110" s="10">
        <f>'A) Base RI'!C110+'A) Base RI'!D110</f>
        <v>593678.65999999992</v>
      </c>
      <c r="D110" s="10">
        <f>'A) Base RI'!W110</f>
        <v>-10839.52</v>
      </c>
      <c r="E110" s="406">
        <f>'A) Base RI'!X110</f>
        <v>0</v>
      </c>
      <c r="F110" s="406">
        <f>'A) Base RI'!Y110</f>
        <v>0</v>
      </c>
      <c r="G110" s="420">
        <f t="shared" si="6"/>
        <v>582839.1399999999</v>
      </c>
      <c r="H110" s="10">
        <f>+'A) Base RI'!E110</f>
        <v>0</v>
      </c>
      <c r="I110" s="10">
        <f>+'A) Base RI'!F110</f>
        <v>2590</v>
      </c>
      <c r="J110" s="10">
        <f>+'A) Base RI'!G110+'A) Base RI'!H110+'A) Base RI'!I110</f>
        <v>12765.789634847355</v>
      </c>
      <c r="K110" s="10">
        <f>+'A) Base RI'!J110</f>
        <v>0</v>
      </c>
      <c r="L110" s="10">
        <f>+'A) Base RI'!K110</f>
        <v>16211.94</v>
      </c>
      <c r="M110" s="10">
        <f>+'A) Base RI'!L110</f>
        <v>2043.9</v>
      </c>
      <c r="N110" s="10">
        <f>+'A) Base RI'!R110</f>
        <v>0</v>
      </c>
      <c r="O110" s="10">
        <f t="shared" si="7"/>
        <v>50639.466666666667</v>
      </c>
      <c r="P110" s="10">
        <f>+'A) Base RI'!M110</f>
        <v>75959.199999999997</v>
      </c>
      <c r="Q110" s="428">
        <f>'A) Base RI'!Z110</f>
        <v>1.5</v>
      </c>
      <c r="R110" s="420">
        <f t="shared" si="8"/>
        <v>667090.23630151385</v>
      </c>
      <c r="S110" s="410">
        <f>+'A) Base RI'!U110</f>
        <v>81</v>
      </c>
      <c r="T110" s="420">
        <f t="shared" si="9"/>
        <v>611816.86963484716</v>
      </c>
      <c r="U110" s="420">
        <f t="shared" si="10"/>
        <v>8235.6819296483191</v>
      </c>
      <c r="V110" s="10">
        <f>+'A) Base RI'!P110</f>
        <v>298.2</v>
      </c>
      <c r="W110" s="10">
        <f>+'A) Base RI'!Q110</f>
        <v>51518.5</v>
      </c>
      <c r="X110" s="10">
        <f>+'A) Base RI'!S110</f>
        <v>9317.9</v>
      </c>
      <c r="Y110" s="420">
        <f t="shared" si="11"/>
        <v>61134.6</v>
      </c>
      <c r="Z110" s="10">
        <f>+'A) Base RI'!O110</f>
        <v>50308.05</v>
      </c>
      <c r="AA110" s="10">
        <f>'A) Base RI'!V110</f>
        <v>373</v>
      </c>
    </row>
    <row r="111" spans="1:27" x14ac:dyDescent="0.25">
      <c r="A111" s="8">
        <f>'A) Base RI'!A111</f>
        <v>5568</v>
      </c>
      <c r="B111" s="32" t="str">
        <f>'A) Base RI'!B111</f>
        <v>Sainte-Croix</v>
      </c>
      <c r="C111" s="10">
        <f>'A) Base RI'!C111+'A) Base RI'!D111</f>
        <v>6300162.0800000001</v>
      </c>
      <c r="D111" s="10">
        <f>'A) Base RI'!W111</f>
        <v>-253887.03</v>
      </c>
      <c r="E111" s="406">
        <f>'A) Base RI'!X111</f>
        <v>0</v>
      </c>
      <c r="F111" s="406">
        <f>'A) Base RI'!Y111</f>
        <v>-235.29</v>
      </c>
      <c r="G111" s="420">
        <f t="shared" si="6"/>
        <v>6046039.7599999998</v>
      </c>
      <c r="H111" s="10">
        <f>+'A) Base RI'!E111</f>
        <v>0</v>
      </c>
      <c r="I111" s="10">
        <f>+'A) Base RI'!F111</f>
        <v>0</v>
      </c>
      <c r="J111" s="10">
        <f>+'A) Base RI'!G111+'A) Base RI'!H111+'A) Base RI'!I111</f>
        <v>248135.89842834725</v>
      </c>
      <c r="K111" s="10">
        <f>+'A) Base RI'!J111</f>
        <v>23993.55</v>
      </c>
      <c r="L111" s="10">
        <f>+'A) Base RI'!K111</f>
        <v>126850.8</v>
      </c>
      <c r="M111" s="10">
        <f>+'A) Base RI'!L111</f>
        <v>51403.45</v>
      </c>
      <c r="N111" s="10">
        <f>+'A) Base RI'!R111</f>
        <v>55886.07</v>
      </c>
      <c r="O111" s="10">
        <f t="shared" si="7"/>
        <v>583422.94999999995</v>
      </c>
      <c r="P111" s="10">
        <f>+'A) Base RI'!M111</f>
        <v>583422.94999999995</v>
      </c>
      <c r="Q111" s="428">
        <f>'A) Base RI'!Z111</f>
        <v>1</v>
      </c>
      <c r="R111" s="420">
        <f t="shared" si="8"/>
        <v>7135732.478428347</v>
      </c>
      <c r="S111" s="410">
        <f>+'A) Base RI'!U111</f>
        <v>70</v>
      </c>
      <c r="T111" s="420">
        <f t="shared" si="9"/>
        <v>6500906.0784283467</v>
      </c>
      <c r="U111" s="420">
        <f t="shared" si="10"/>
        <v>101939.03540611925</v>
      </c>
      <c r="V111" s="10">
        <f>+'A) Base RI'!P111</f>
        <v>111846</v>
      </c>
      <c r="W111" s="10">
        <f>+'A) Base RI'!Q111</f>
        <v>236124.4</v>
      </c>
      <c r="X111" s="10">
        <f>+'A) Base RI'!S111</f>
        <v>212672.35</v>
      </c>
      <c r="Y111" s="420">
        <f t="shared" si="11"/>
        <v>560642.75</v>
      </c>
      <c r="Z111" s="10">
        <f>+'A) Base RI'!O111</f>
        <v>1751558.4</v>
      </c>
      <c r="AA111" s="10">
        <f>'A) Base RI'!V111</f>
        <v>4845</v>
      </c>
    </row>
    <row r="112" spans="1:27" x14ac:dyDescent="0.25">
      <c r="A112" s="8">
        <f>'A) Base RI'!A112</f>
        <v>5571</v>
      </c>
      <c r="B112" s="32" t="str">
        <f>'A) Base RI'!B112</f>
        <v>Tévenon</v>
      </c>
      <c r="C112" s="10">
        <f>'A) Base RI'!C112+'A) Base RI'!D112</f>
        <v>1472464.5999999999</v>
      </c>
      <c r="D112" s="10">
        <f>'A) Base RI'!W112</f>
        <v>-24532.29</v>
      </c>
      <c r="E112" s="406">
        <f>'A) Base RI'!X112</f>
        <v>0</v>
      </c>
      <c r="F112" s="406">
        <f>'A) Base RI'!Y112</f>
        <v>-0.22</v>
      </c>
      <c r="G112" s="420">
        <f t="shared" si="6"/>
        <v>1447932.0899999999</v>
      </c>
      <c r="H112" s="10">
        <f>+'A) Base RI'!E112</f>
        <v>0</v>
      </c>
      <c r="I112" s="10">
        <f>+'A) Base RI'!F112</f>
        <v>0</v>
      </c>
      <c r="J112" s="10">
        <f>+'A) Base RI'!G112+'A) Base RI'!H112+'A) Base RI'!I112</f>
        <v>1747.5998125717442</v>
      </c>
      <c r="K112" s="10">
        <f>+'A) Base RI'!J112</f>
        <v>0</v>
      </c>
      <c r="L112" s="10">
        <f>+'A) Base RI'!K112</f>
        <v>33048.99</v>
      </c>
      <c r="M112" s="10">
        <f>+'A) Base RI'!L112</f>
        <v>6417.3</v>
      </c>
      <c r="N112" s="10">
        <f>+'A) Base RI'!R112</f>
        <v>0</v>
      </c>
      <c r="O112" s="10">
        <f t="shared" si="7"/>
        <v>152784.08333333334</v>
      </c>
      <c r="P112" s="10">
        <f>+'A) Base RI'!M112</f>
        <v>183340.9</v>
      </c>
      <c r="Q112" s="428">
        <f>'A) Base RI'!Z112</f>
        <v>1.2</v>
      </c>
      <c r="R112" s="420">
        <f t="shared" si="8"/>
        <v>1641930.0631459048</v>
      </c>
      <c r="S112" s="410">
        <f>+'A) Base RI'!U112</f>
        <v>73</v>
      </c>
      <c r="T112" s="420">
        <f t="shared" si="9"/>
        <v>1482728.6798125715</v>
      </c>
      <c r="U112" s="420">
        <f t="shared" si="10"/>
        <v>22492.192645834311</v>
      </c>
      <c r="V112" s="10">
        <f>+'A) Base RI'!P112</f>
        <v>43750</v>
      </c>
      <c r="W112" s="10">
        <f>+'A) Base RI'!Q112</f>
        <v>67609.95</v>
      </c>
      <c r="X112" s="10">
        <f>+'A) Base RI'!S112</f>
        <v>31614.45</v>
      </c>
      <c r="Y112" s="420">
        <f t="shared" si="11"/>
        <v>142974.39999999999</v>
      </c>
      <c r="Z112" s="10">
        <f>+'A) Base RI'!O112</f>
        <v>43949.599999999999</v>
      </c>
      <c r="AA112" s="10">
        <f>'A) Base RI'!V112</f>
        <v>877</v>
      </c>
    </row>
    <row r="113" spans="1:27" x14ac:dyDescent="0.25">
      <c r="A113" s="8">
        <f>'A) Base RI'!A113</f>
        <v>5581</v>
      </c>
      <c r="B113" s="32" t="str">
        <f>'A) Base RI'!B113</f>
        <v>Belmont-sur-Lausanne</v>
      </c>
      <c r="C113" s="10">
        <f>'A) Base RI'!C113+'A) Base RI'!D113</f>
        <v>11603929.620000001</v>
      </c>
      <c r="D113" s="10">
        <f>'A) Base RI'!W113</f>
        <v>-186919.93</v>
      </c>
      <c r="E113" s="406">
        <f>'A) Base RI'!X113</f>
        <v>0</v>
      </c>
      <c r="F113" s="406">
        <f>'A) Base RI'!Y113</f>
        <v>-6059.54</v>
      </c>
      <c r="G113" s="420">
        <f t="shared" si="6"/>
        <v>11410950.150000002</v>
      </c>
      <c r="H113" s="10">
        <f>+'A) Base RI'!E113</f>
        <v>0</v>
      </c>
      <c r="I113" s="10">
        <f>+'A) Base RI'!F113</f>
        <v>0</v>
      </c>
      <c r="J113" s="10">
        <f>+'A) Base RI'!G113+'A) Base RI'!H113+'A) Base RI'!I113</f>
        <v>210139.86435926383</v>
      </c>
      <c r="K113" s="10">
        <f>+'A) Base RI'!J113</f>
        <v>74962.5</v>
      </c>
      <c r="L113" s="10">
        <f>+'A) Base RI'!K113</f>
        <v>217409.98</v>
      </c>
      <c r="M113" s="10">
        <f>+'A) Base RI'!L113</f>
        <v>52595.4</v>
      </c>
      <c r="N113" s="10">
        <f>+'A) Base RI'!R113</f>
        <v>30149.599999999999</v>
      </c>
      <c r="O113" s="10">
        <f t="shared" si="7"/>
        <v>890686.6333333333</v>
      </c>
      <c r="P113" s="10">
        <f>+'A) Base RI'!M113</f>
        <v>1336029.95</v>
      </c>
      <c r="Q113" s="428">
        <f>'A) Base RI'!Z113</f>
        <v>1.5</v>
      </c>
      <c r="R113" s="420">
        <f t="shared" si="8"/>
        <v>12886894.127692599</v>
      </c>
      <c r="S113" s="410">
        <f>+'A) Base RI'!U113</f>
        <v>69.5</v>
      </c>
      <c r="T113" s="420">
        <f t="shared" si="9"/>
        <v>11943612.094359266</v>
      </c>
      <c r="U113" s="420">
        <f t="shared" si="10"/>
        <v>185422.93708910214</v>
      </c>
      <c r="V113" s="10">
        <f>+'A) Base RI'!P113</f>
        <v>63494.95</v>
      </c>
      <c r="W113" s="10">
        <f>+'A) Base RI'!Q113</f>
        <v>708288.15</v>
      </c>
      <c r="X113" s="10">
        <f>+'A) Base RI'!S113</f>
        <v>527596.44999999995</v>
      </c>
      <c r="Y113" s="420">
        <f t="shared" si="11"/>
        <v>1299379.5499999998</v>
      </c>
      <c r="Z113" s="10">
        <f>+'A) Base RI'!O113</f>
        <v>8316.4500000000007</v>
      </c>
      <c r="AA113" s="10">
        <f>'A) Base RI'!V113</f>
        <v>3732</v>
      </c>
    </row>
    <row r="114" spans="1:27" x14ac:dyDescent="0.25">
      <c r="A114" s="8">
        <f>'A) Base RI'!A114</f>
        <v>5582</v>
      </c>
      <c r="B114" s="32" t="str">
        <f>'A) Base RI'!B114</f>
        <v>Cheseaux-sur-Lausanne</v>
      </c>
      <c r="C114" s="10">
        <f>'A) Base RI'!C114+'A) Base RI'!D114</f>
        <v>10025450.350000001</v>
      </c>
      <c r="D114" s="10">
        <f>'A) Base RI'!W114</f>
        <v>-231049.77</v>
      </c>
      <c r="E114" s="406">
        <f>'A) Base RI'!X114</f>
        <v>0</v>
      </c>
      <c r="F114" s="406">
        <f>'A) Base RI'!Y114</f>
        <v>-3170.76</v>
      </c>
      <c r="G114" s="420">
        <f t="shared" si="6"/>
        <v>9791229.8200000022</v>
      </c>
      <c r="H114" s="10">
        <f>+'A) Base RI'!E114</f>
        <v>0</v>
      </c>
      <c r="I114" s="10">
        <f>+'A) Base RI'!F114</f>
        <v>0</v>
      </c>
      <c r="J114" s="10">
        <f>+'A) Base RI'!G114+'A) Base RI'!H114+'A) Base RI'!I114</f>
        <v>1271220.3974676793</v>
      </c>
      <c r="K114" s="10">
        <f>+'A) Base RI'!J114</f>
        <v>15716.78</v>
      </c>
      <c r="L114" s="10">
        <f>+'A) Base RI'!K114</f>
        <v>551253.06000000006</v>
      </c>
      <c r="M114" s="10">
        <f>+'A) Base RI'!L114</f>
        <v>69274.899999999994</v>
      </c>
      <c r="N114" s="10">
        <f>+'A) Base RI'!R114</f>
        <v>259257.17</v>
      </c>
      <c r="O114" s="10">
        <f t="shared" si="7"/>
        <v>914540.25</v>
      </c>
      <c r="P114" s="10">
        <f>+'A) Base RI'!M114</f>
        <v>914540.25</v>
      </c>
      <c r="Q114" s="428">
        <f>'A) Base RI'!Z114</f>
        <v>1</v>
      </c>
      <c r="R114" s="420">
        <f t="shared" si="8"/>
        <v>12872492.377467681</v>
      </c>
      <c r="S114" s="410">
        <f>+'A) Base RI'!U114</f>
        <v>74.5</v>
      </c>
      <c r="T114" s="420">
        <f t="shared" si="9"/>
        <v>11888677.22746768</v>
      </c>
      <c r="U114" s="420">
        <f t="shared" si="10"/>
        <v>172785.13258345879</v>
      </c>
      <c r="V114" s="10">
        <f>+'A) Base RI'!P114</f>
        <v>119857.7</v>
      </c>
      <c r="W114" s="10">
        <f>+'A) Base RI'!Q114</f>
        <v>169035.2</v>
      </c>
      <c r="X114" s="10">
        <f>+'A) Base RI'!S114</f>
        <v>249507.7</v>
      </c>
      <c r="Y114" s="420">
        <f t="shared" si="11"/>
        <v>538400.60000000009</v>
      </c>
      <c r="Z114" s="10">
        <f>+'A) Base RI'!O114</f>
        <v>461910.4</v>
      </c>
      <c r="AA114" s="10">
        <f>'A) Base RI'!V114</f>
        <v>4338</v>
      </c>
    </row>
    <row r="115" spans="1:27" x14ac:dyDescent="0.25">
      <c r="A115" s="8">
        <f>'A) Base RI'!A115</f>
        <v>5583</v>
      </c>
      <c r="B115" s="32" t="str">
        <f>'A) Base RI'!B115</f>
        <v>Crissier</v>
      </c>
      <c r="C115" s="10">
        <f>'A) Base RI'!C115+'A) Base RI'!D115</f>
        <v>13949468.879999999</v>
      </c>
      <c r="D115" s="10">
        <f>'A) Base RI'!W115</f>
        <v>-304823.90999999997</v>
      </c>
      <c r="E115" s="406">
        <f>'A) Base RI'!X115</f>
        <v>0</v>
      </c>
      <c r="F115" s="406">
        <f>'A) Base RI'!Y115</f>
        <v>-622.57000000000005</v>
      </c>
      <c r="G115" s="420">
        <f t="shared" si="6"/>
        <v>13644022.399999999</v>
      </c>
      <c r="H115" s="10">
        <f>+'A) Base RI'!E115</f>
        <v>0</v>
      </c>
      <c r="I115" s="10">
        <f>+'A) Base RI'!F115</f>
        <v>0</v>
      </c>
      <c r="J115" s="10">
        <f>+'A) Base RI'!G115+'A) Base RI'!H115+'A) Base RI'!I115</f>
        <v>3227477.7301232526</v>
      </c>
      <c r="K115" s="10">
        <f>+'A) Base RI'!J115</f>
        <v>0</v>
      </c>
      <c r="L115" s="10">
        <f>+'A) Base RI'!K115</f>
        <v>739111.01</v>
      </c>
      <c r="M115" s="10">
        <f>+'A) Base RI'!L115</f>
        <v>320684.25</v>
      </c>
      <c r="N115" s="10">
        <f>+'A) Base RI'!R115</f>
        <v>32784.97</v>
      </c>
      <c r="O115" s="10">
        <f t="shared" si="7"/>
        <v>2279166.4500000002</v>
      </c>
      <c r="P115" s="10">
        <f>+'A) Base RI'!M115</f>
        <v>2279166.4500000002</v>
      </c>
      <c r="Q115" s="428">
        <f>'A) Base RI'!Z115</f>
        <v>1</v>
      </c>
      <c r="R115" s="420">
        <f t="shared" si="8"/>
        <v>20243246.81012325</v>
      </c>
      <c r="S115" s="410">
        <f>+'A) Base RI'!U115</f>
        <v>65</v>
      </c>
      <c r="T115" s="420">
        <f t="shared" si="9"/>
        <v>17643396.110123251</v>
      </c>
      <c r="U115" s="420">
        <f t="shared" si="10"/>
        <v>311434.56630958844</v>
      </c>
      <c r="V115" s="10">
        <f>+'A) Base RI'!P115</f>
        <v>464820.8</v>
      </c>
      <c r="W115" s="10">
        <f>+'A) Base RI'!Q115</f>
        <v>1859712.7</v>
      </c>
      <c r="X115" s="10">
        <f>+'A) Base RI'!S115</f>
        <v>822560</v>
      </c>
      <c r="Y115" s="420">
        <f t="shared" si="11"/>
        <v>3147093.5</v>
      </c>
      <c r="Z115" s="10">
        <f>+'A) Base RI'!O115</f>
        <v>1826234.1</v>
      </c>
      <c r="AA115" s="10">
        <f>'A) Base RI'!V115</f>
        <v>7905</v>
      </c>
    </row>
    <row r="116" spans="1:27" x14ac:dyDescent="0.25">
      <c r="A116" s="8">
        <f>'A) Base RI'!A116</f>
        <v>5584</v>
      </c>
      <c r="B116" s="32" t="str">
        <f>'A) Base RI'!B116</f>
        <v>Epalinges</v>
      </c>
      <c r="C116" s="10">
        <f>'A) Base RI'!C116+'A) Base RI'!D116</f>
        <v>26178849.869999997</v>
      </c>
      <c r="D116" s="10">
        <f>'A) Base RI'!W116</f>
        <v>-261895.43</v>
      </c>
      <c r="E116" s="406">
        <f>'A) Base RI'!X116</f>
        <v>0</v>
      </c>
      <c r="F116" s="406">
        <f>'A) Base RI'!Y116</f>
        <v>-13214.4</v>
      </c>
      <c r="G116" s="420">
        <f t="shared" si="6"/>
        <v>25903740.039999999</v>
      </c>
      <c r="H116" s="10">
        <f>+'A) Base RI'!E116</f>
        <v>0</v>
      </c>
      <c r="I116" s="10">
        <f>+'A) Base RI'!F116</f>
        <v>0</v>
      </c>
      <c r="J116" s="10">
        <f>+'A) Base RI'!G116+'A) Base RI'!H116+'A) Base RI'!I116</f>
        <v>1265757.3750704674</v>
      </c>
      <c r="K116" s="10">
        <f>+'A) Base RI'!J116</f>
        <v>383226.87</v>
      </c>
      <c r="L116" s="10">
        <f>+'A) Base RI'!K116</f>
        <v>515611.77</v>
      </c>
      <c r="M116" s="10">
        <f>+'A) Base RI'!L116</f>
        <v>200179.4</v>
      </c>
      <c r="N116" s="10">
        <f>+'A) Base RI'!R116</f>
        <v>102435.65</v>
      </c>
      <c r="O116" s="10">
        <f t="shared" si="7"/>
        <v>2180344.0499999998</v>
      </c>
      <c r="P116" s="10">
        <f>+'A) Base RI'!M116</f>
        <v>2180344.0499999998</v>
      </c>
      <c r="Q116" s="428">
        <f>'A) Base RI'!Z116</f>
        <v>1</v>
      </c>
      <c r="R116" s="420">
        <f t="shared" si="8"/>
        <v>30551295.155070465</v>
      </c>
      <c r="S116" s="410">
        <f>+'A) Base RI'!U116</f>
        <v>66</v>
      </c>
      <c r="T116" s="420">
        <f t="shared" si="9"/>
        <v>28170771.705070466</v>
      </c>
      <c r="U116" s="420">
        <f t="shared" si="10"/>
        <v>462898.41144046158</v>
      </c>
      <c r="V116" s="10">
        <f>+'A) Base RI'!P116</f>
        <v>5419507.0999999996</v>
      </c>
      <c r="W116" s="10">
        <f>+'A) Base RI'!Q116</f>
        <v>950372.6</v>
      </c>
      <c r="X116" s="10">
        <f>+'A) Base RI'!S116</f>
        <v>1114661.75</v>
      </c>
      <c r="Y116" s="420">
        <f t="shared" si="11"/>
        <v>7484541.4499999993</v>
      </c>
      <c r="Z116" s="10">
        <f>+'A) Base RI'!O116</f>
        <v>292689.40000000002</v>
      </c>
      <c r="AA116" s="10">
        <f>'A) Base RI'!V116</f>
        <v>9624</v>
      </c>
    </row>
    <row r="117" spans="1:27" x14ac:dyDescent="0.25">
      <c r="A117" s="8">
        <f>'A) Base RI'!A117</f>
        <v>5585</v>
      </c>
      <c r="B117" s="32" t="str">
        <f>'A) Base RI'!B117</f>
        <v>Jouxtens-Mézery</v>
      </c>
      <c r="C117" s="10">
        <f>'A) Base RI'!C117+'A) Base RI'!D117</f>
        <v>10727929.279999999</v>
      </c>
      <c r="D117" s="10">
        <f>'A) Base RI'!W117</f>
        <v>-4058.81</v>
      </c>
      <c r="E117" s="406">
        <f>'A) Base RI'!X117</f>
        <v>0</v>
      </c>
      <c r="F117" s="406">
        <f>'A) Base RI'!Y117</f>
        <v>-2494.77</v>
      </c>
      <c r="G117" s="420">
        <f t="shared" si="6"/>
        <v>10721375.699999999</v>
      </c>
      <c r="H117" s="10">
        <f>+'A) Base RI'!E117</f>
        <v>0</v>
      </c>
      <c r="I117" s="10">
        <f>+'A) Base RI'!F117</f>
        <v>0</v>
      </c>
      <c r="J117" s="10">
        <f>+'A) Base RI'!G117+'A) Base RI'!H117+'A) Base RI'!I117</f>
        <v>167838.45108130877</v>
      </c>
      <c r="K117" s="10">
        <f>+'A) Base RI'!J117</f>
        <v>237788.45</v>
      </c>
      <c r="L117" s="10">
        <f>+'A) Base RI'!K117</f>
        <v>47071.48</v>
      </c>
      <c r="M117" s="10">
        <f>+'A) Base RI'!L117</f>
        <v>-19247.849999999999</v>
      </c>
      <c r="N117" s="10">
        <f>+'A) Base RI'!R117</f>
        <v>1902.16</v>
      </c>
      <c r="O117" s="10">
        <f t="shared" si="7"/>
        <v>478050.95</v>
      </c>
      <c r="P117" s="10">
        <f>+'A) Base RI'!M117</f>
        <v>478050.95</v>
      </c>
      <c r="Q117" s="428">
        <f>'A) Base RI'!Z117</f>
        <v>1</v>
      </c>
      <c r="R117" s="420">
        <f t="shared" si="8"/>
        <v>11634779.341081308</v>
      </c>
      <c r="S117" s="410">
        <f>+'A) Base RI'!U117</f>
        <v>53</v>
      </c>
      <c r="T117" s="420">
        <f t="shared" si="9"/>
        <v>11175976.241081309</v>
      </c>
      <c r="U117" s="420">
        <f t="shared" si="10"/>
        <v>219524.13851096807</v>
      </c>
      <c r="V117" s="10">
        <f>+'A) Base RI'!P117</f>
        <v>61605.4</v>
      </c>
      <c r="W117" s="10">
        <f>+'A) Base RI'!Q117</f>
        <v>259006.65</v>
      </c>
      <c r="X117" s="10">
        <f>+'A) Base RI'!S117</f>
        <v>164493.79999999999</v>
      </c>
      <c r="Y117" s="420">
        <f t="shared" si="11"/>
        <v>485105.85</v>
      </c>
      <c r="Z117" s="10">
        <f>+'A) Base RI'!O117</f>
        <v>1998.15</v>
      </c>
      <c r="AA117" s="10">
        <f>'A) Base RI'!V117</f>
        <v>1471</v>
      </c>
    </row>
    <row r="118" spans="1:27" x14ac:dyDescent="0.25">
      <c r="A118" s="8">
        <f>'A) Base RI'!A118</f>
        <v>5586</v>
      </c>
      <c r="B118" s="32" t="str">
        <f>'A) Base RI'!B118</f>
        <v>Lausanne</v>
      </c>
      <c r="C118" s="10">
        <f>'A) Base RI'!C118+'A) Base RI'!D118</f>
        <v>331938728.91000003</v>
      </c>
      <c r="D118" s="10">
        <f>'A) Base RI'!W118</f>
        <v>-9959374.2300000004</v>
      </c>
      <c r="E118" s="406">
        <f>'A) Base RI'!X118</f>
        <v>0</v>
      </c>
      <c r="F118" s="406">
        <f>'A) Base RI'!Y118</f>
        <v>-820140.22</v>
      </c>
      <c r="G118" s="420">
        <f t="shared" si="6"/>
        <v>321159214.45999998</v>
      </c>
      <c r="H118" s="10">
        <f>+'A) Base RI'!E118</f>
        <v>0</v>
      </c>
      <c r="I118" s="10">
        <f>+'A) Base RI'!F118</f>
        <v>0</v>
      </c>
      <c r="J118" s="10">
        <f>+'A) Base RI'!G118+'A) Base RI'!H118+'A) Base RI'!I118</f>
        <v>61417745.097441271</v>
      </c>
      <c r="K118" s="10">
        <f>+'A) Base RI'!J118</f>
        <v>5337145.84</v>
      </c>
      <c r="L118" s="10">
        <f>+'A) Base RI'!K118</f>
        <v>24759050.420000002</v>
      </c>
      <c r="M118" s="10">
        <f>+'A) Base RI'!L118</f>
        <v>5311444.3</v>
      </c>
      <c r="N118" s="10">
        <f>+'A) Base RI'!R118</f>
        <v>1834072.04</v>
      </c>
      <c r="O118" s="10">
        <f t="shared" si="7"/>
        <v>25089098.833333332</v>
      </c>
      <c r="P118" s="10">
        <f>+'A) Base RI'!M118</f>
        <v>37633648.25</v>
      </c>
      <c r="Q118" s="428">
        <f>'A) Base RI'!Z118</f>
        <v>1.5</v>
      </c>
      <c r="R118" s="420">
        <f t="shared" si="8"/>
        <v>444907770.99077457</v>
      </c>
      <c r="S118" s="410">
        <f>+'A) Base RI'!U118</f>
        <v>79</v>
      </c>
      <c r="T118" s="420">
        <f t="shared" si="9"/>
        <v>414507227.85744125</v>
      </c>
      <c r="U118" s="420">
        <f t="shared" si="10"/>
        <v>5631743.9365920834</v>
      </c>
      <c r="V118" s="10">
        <f>+'A) Base RI'!P118</f>
        <v>20038418.149999999</v>
      </c>
      <c r="W118" s="10">
        <f>+'A) Base RI'!Q118</f>
        <v>10237652.1</v>
      </c>
      <c r="X118" s="10">
        <f>+'A) Base RI'!S118</f>
        <v>8627031.6500000004</v>
      </c>
      <c r="Y118" s="420">
        <f t="shared" si="11"/>
        <v>38903101.899999999</v>
      </c>
      <c r="Z118" s="10">
        <f>+'A) Base RI'!O118</f>
        <v>10875129.949999999</v>
      </c>
      <c r="AA118" s="10">
        <f>'A) Base RI'!V118</f>
        <v>139720</v>
      </c>
    </row>
    <row r="119" spans="1:27" x14ac:dyDescent="0.25">
      <c r="A119" s="8">
        <f>'A) Base RI'!A119</f>
        <v>5587</v>
      </c>
      <c r="B119" s="32" t="str">
        <f>'A) Base RI'!B119</f>
        <v>Le Mont-sur-Lausanne</v>
      </c>
      <c r="C119" s="10">
        <f>'A) Base RI'!C119+'A) Base RI'!D119</f>
        <v>26087087.740000002</v>
      </c>
      <c r="D119" s="10">
        <f>'A) Base RI'!W119</f>
        <v>-340311.73</v>
      </c>
      <c r="E119" s="406">
        <f>'A) Base RI'!X119</f>
        <v>0</v>
      </c>
      <c r="F119" s="406">
        <f>'A) Base RI'!Y119</f>
        <v>-12218.61</v>
      </c>
      <c r="G119" s="420">
        <f t="shared" si="6"/>
        <v>25734557.400000002</v>
      </c>
      <c r="H119" s="10">
        <f>+'A) Base RI'!E119</f>
        <v>0</v>
      </c>
      <c r="I119" s="10">
        <f>+'A) Base RI'!F119</f>
        <v>0</v>
      </c>
      <c r="J119" s="10">
        <f>+'A) Base RI'!G119+'A) Base RI'!H119+'A) Base RI'!I119</f>
        <v>2012213.2027733214</v>
      </c>
      <c r="K119" s="10">
        <f>+'A) Base RI'!J119</f>
        <v>470446.05</v>
      </c>
      <c r="L119" s="10">
        <f>+'A) Base RI'!K119</f>
        <v>375002.01</v>
      </c>
      <c r="M119" s="10">
        <f>+'A) Base RI'!L119</f>
        <v>346593.8</v>
      </c>
      <c r="N119" s="10">
        <f>+'A) Base RI'!R119</f>
        <v>85796.98</v>
      </c>
      <c r="O119" s="10">
        <f t="shared" si="7"/>
        <v>2412327.375</v>
      </c>
      <c r="P119" s="10">
        <f>+'A) Base RI'!M119</f>
        <v>2894792.85</v>
      </c>
      <c r="Q119" s="428">
        <f>'A) Base RI'!Z119</f>
        <v>1.2</v>
      </c>
      <c r="R119" s="420">
        <f t="shared" si="8"/>
        <v>31436936.817773327</v>
      </c>
      <c r="S119" s="410">
        <f>+'A) Base RI'!U119</f>
        <v>75</v>
      </c>
      <c r="T119" s="420">
        <f t="shared" si="9"/>
        <v>28678015.642773326</v>
      </c>
      <c r="U119" s="420">
        <f t="shared" si="10"/>
        <v>419159.15757031104</v>
      </c>
      <c r="V119" s="10">
        <f>+'A) Base RI'!P119</f>
        <v>151110.6</v>
      </c>
      <c r="W119" s="10">
        <f>+'A) Base RI'!Q119</f>
        <v>898427.7</v>
      </c>
      <c r="X119" s="10">
        <f>+'A) Base RI'!S119</f>
        <v>609797.94999999995</v>
      </c>
      <c r="Y119" s="420">
        <f t="shared" si="11"/>
        <v>1659336.25</v>
      </c>
      <c r="Z119" s="10">
        <f>+'A) Base RI'!O119</f>
        <v>538043.69999999995</v>
      </c>
      <c r="AA119" s="10">
        <f>'A) Base RI'!V119</f>
        <v>8516</v>
      </c>
    </row>
    <row r="120" spans="1:27" x14ac:dyDescent="0.25">
      <c r="A120" s="8">
        <f>'A) Base RI'!A120</f>
        <v>5588</v>
      </c>
      <c r="B120" s="32" t="str">
        <f>'A) Base RI'!B120</f>
        <v>Paudex</v>
      </c>
      <c r="C120" s="10">
        <f>'A) Base RI'!C120+'A) Base RI'!D120</f>
        <v>5836131.1799999997</v>
      </c>
      <c r="D120" s="10">
        <f>'A) Base RI'!W120</f>
        <v>-73542.789999999994</v>
      </c>
      <c r="E120" s="406">
        <f>'A) Base RI'!X120</f>
        <v>0</v>
      </c>
      <c r="F120" s="406">
        <f>'A) Base RI'!Y120</f>
        <v>-81202.080000000002</v>
      </c>
      <c r="G120" s="420">
        <f t="shared" si="6"/>
        <v>5681386.3099999996</v>
      </c>
      <c r="H120" s="10">
        <f>+'A) Base RI'!E120</f>
        <v>0</v>
      </c>
      <c r="I120" s="10">
        <f>+'A) Base RI'!F120</f>
        <v>0</v>
      </c>
      <c r="J120" s="10">
        <f>+'A) Base RI'!G120+'A) Base RI'!H120+'A) Base RI'!I120</f>
        <v>823482.72658877866</v>
      </c>
      <c r="K120" s="10">
        <f>+'A) Base RI'!J120</f>
        <v>556447.21</v>
      </c>
      <c r="L120" s="10">
        <f>+'A) Base RI'!K120</f>
        <v>257658.63</v>
      </c>
      <c r="M120" s="10">
        <f>+'A) Base RI'!L120</f>
        <v>37797.050000000003</v>
      </c>
      <c r="N120" s="10">
        <f>+'A) Base RI'!R120</f>
        <v>20551.62</v>
      </c>
      <c r="O120" s="10">
        <f t="shared" si="7"/>
        <v>520752.57142857142</v>
      </c>
      <c r="P120" s="10">
        <f>+'A) Base RI'!M120</f>
        <v>364526.8</v>
      </c>
      <c r="Q120" s="428">
        <f>'A) Base RI'!Z120</f>
        <v>0.7</v>
      </c>
      <c r="R120" s="420">
        <f t="shared" si="8"/>
        <v>7898076.1180173503</v>
      </c>
      <c r="S120" s="410">
        <f>+'A) Base RI'!U120</f>
        <v>61.5</v>
      </c>
      <c r="T120" s="420">
        <f t="shared" si="9"/>
        <v>7339526.4965887787</v>
      </c>
      <c r="U120" s="420">
        <f t="shared" si="10"/>
        <v>128424.0019189813</v>
      </c>
      <c r="V120" s="10">
        <f>+'A) Base RI'!P120</f>
        <v>30582.9</v>
      </c>
      <c r="W120" s="10">
        <f>+'A) Base RI'!Q120</f>
        <v>186670</v>
      </c>
      <c r="X120" s="10">
        <f>+'A) Base RI'!S120</f>
        <v>252412.5</v>
      </c>
      <c r="Y120" s="420">
        <f t="shared" si="11"/>
        <v>469665.4</v>
      </c>
      <c r="Z120" s="10">
        <f>+'A) Base RI'!O120</f>
        <v>15159.4</v>
      </c>
      <c r="AA120" s="10">
        <f>'A) Base RI'!V120</f>
        <v>1507</v>
      </c>
    </row>
    <row r="121" spans="1:27" x14ac:dyDescent="0.25">
      <c r="A121" s="8">
        <f>'A) Base RI'!A121</f>
        <v>5589</v>
      </c>
      <c r="B121" s="32" t="str">
        <f>'A) Base RI'!B121</f>
        <v>Prilly</v>
      </c>
      <c r="C121" s="10">
        <f>'A) Base RI'!C121+'A) Base RI'!D121</f>
        <v>20401001.09</v>
      </c>
      <c r="D121" s="10">
        <f>'A) Base RI'!W121</f>
        <v>-905075.83</v>
      </c>
      <c r="E121" s="406">
        <f>'A) Base RI'!X121</f>
        <v>0</v>
      </c>
      <c r="F121" s="406">
        <f>'A) Base RI'!Y121</f>
        <v>-2910.59</v>
      </c>
      <c r="G121" s="420">
        <f t="shared" si="6"/>
        <v>19493014.670000002</v>
      </c>
      <c r="H121" s="10">
        <f>+'A) Base RI'!E121</f>
        <v>0</v>
      </c>
      <c r="I121" s="10">
        <f>+'A) Base RI'!F121</f>
        <v>0</v>
      </c>
      <c r="J121" s="10">
        <f>+'A) Base RI'!G121+'A) Base RI'!H121+'A) Base RI'!I121</f>
        <v>4274883.6315378044</v>
      </c>
      <c r="K121" s="10">
        <f>+'A) Base RI'!J121</f>
        <v>102531.53</v>
      </c>
      <c r="L121" s="10">
        <f>+'A) Base RI'!K121</f>
        <v>1528407.65</v>
      </c>
      <c r="M121" s="10">
        <f>+'A) Base RI'!L121</f>
        <v>445387.35</v>
      </c>
      <c r="N121" s="10">
        <f>+'A) Base RI'!R121</f>
        <v>165831.19</v>
      </c>
      <c r="O121" s="10">
        <f t="shared" si="7"/>
        <v>2001182.4</v>
      </c>
      <c r="P121" s="10">
        <f>+'A) Base RI'!M121</f>
        <v>2001182.4</v>
      </c>
      <c r="Q121" s="428">
        <f>'A) Base RI'!Z121</f>
        <v>1</v>
      </c>
      <c r="R121" s="420">
        <f t="shared" si="8"/>
        <v>28011238.421537805</v>
      </c>
      <c r="S121" s="410">
        <f>+'A) Base RI'!U121</f>
        <v>73.5</v>
      </c>
      <c r="T121" s="420">
        <f t="shared" si="9"/>
        <v>25564668.671537805</v>
      </c>
      <c r="U121" s="420">
        <f t="shared" si="10"/>
        <v>381105.28464677284</v>
      </c>
      <c r="V121" s="10">
        <f>+'A) Base RI'!P121</f>
        <v>190577.1</v>
      </c>
      <c r="W121" s="10">
        <f>+'A) Base RI'!Q121</f>
        <v>1262585.55</v>
      </c>
      <c r="X121" s="10">
        <f>+'A) Base RI'!S121</f>
        <v>314743.25</v>
      </c>
      <c r="Y121" s="420">
        <f t="shared" si="11"/>
        <v>1767905.9000000001</v>
      </c>
      <c r="Z121" s="10">
        <f>+'A) Base RI'!O121</f>
        <v>1183963.75</v>
      </c>
      <c r="AA121" s="10">
        <f>'A) Base RI'!V121</f>
        <v>12392</v>
      </c>
    </row>
    <row r="122" spans="1:27" x14ac:dyDescent="0.25">
      <c r="A122" s="8">
        <f>'A) Base RI'!A122</f>
        <v>5590</v>
      </c>
      <c r="B122" s="32" t="str">
        <f>'A) Base RI'!B122</f>
        <v>Pully</v>
      </c>
      <c r="C122" s="10">
        <f>'A) Base RI'!C122+'A) Base RI'!D122</f>
        <v>70488692.019999996</v>
      </c>
      <c r="D122" s="10">
        <f>'A) Base RI'!W122</f>
        <v>-894910.23</v>
      </c>
      <c r="E122" s="406">
        <f>'A) Base RI'!X122</f>
        <v>0</v>
      </c>
      <c r="F122" s="406">
        <f>'A) Base RI'!Y122</f>
        <v>-247782.79</v>
      </c>
      <c r="G122" s="420">
        <f t="shared" si="6"/>
        <v>69345998.999999985</v>
      </c>
      <c r="H122" s="10">
        <f>+'A) Base RI'!E122</f>
        <v>0</v>
      </c>
      <c r="I122" s="10">
        <f>+'A) Base RI'!F122</f>
        <v>0</v>
      </c>
      <c r="J122" s="10">
        <f>+'A) Base RI'!G122+'A) Base RI'!H122+'A) Base RI'!I122</f>
        <v>6071708.5396579336</v>
      </c>
      <c r="K122" s="10">
        <f>+'A) Base RI'!J122</f>
        <v>3194813.59</v>
      </c>
      <c r="L122" s="10">
        <f>+'A) Base RI'!K122</f>
        <v>1487448.96</v>
      </c>
      <c r="M122" s="10">
        <f>+'A) Base RI'!L122</f>
        <v>411165.6</v>
      </c>
      <c r="N122" s="10">
        <f>+'A) Base RI'!R122</f>
        <v>128140.32</v>
      </c>
      <c r="O122" s="10">
        <f t="shared" si="7"/>
        <v>4806258.5000000009</v>
      </c>
      <c r="P122" s="10">
        <f>+'A) Base RI'!M122</f>
        <v>3364380.95</v>
      </c>
      <c r="Q122" s="428">
        <f>'A) Base RI'!Z122</f>
        <v>0.7</v>
      </c>
      <c r="R122" s="420">
        <f t="shared" si="8"/>
        <v>85445534.509657905</v>
      </c>
      <c r="S122" s="410">
        <f>+'A) Base RI'!U122</f>
        <v>61</v>
      </c>
      <c r="T122" s="420">
        <f t="shared" si="9"/>
        <v>80228110.40965791</v>
      </c>
      <c r="U122" s="420">
        <f t="shared" si="10"/>
        <v>1400746.467371441</v>
      </c>
      <c r="V122" s="10">
        <f>+'A) Base RI'!P122</f>
        <v>7019320.5999999996</v>
      </c>
      <c r="W122" s="10">
        <f>+'A) Base RI'!Q122</f>
        <v>4298913.75</v>
      </c>
      <c r="X122" s="10">
        <f>+'A) Base RI'!S122</f>
        <v>2462791.0499999998</v>
      </c>
      <c r="Y122" s="420">
        <f t="shared" si="11"/>
        <v>13781025.399999999</v>
      </c>
      <c r="Z122" s="10">
        <f>+'A) Base RI'!O122</f>
        <v>193434.5</v>
      </c>
      <c r="AA122" s="10">
        <f>'A) Base RI'!V122</f>
        <v>18336</v>
      </c>
    </row>
    <row r="123" spans="1:27" x14ac:dyDescent="0.25">
      <c r="A123" s="8">
        <f>'A) Base RI'!A123</f>
        <v>5591</v>
      </c>
      <c r="B123" s="32" t="str">
        <f>'A) Base RI'!B123</f>
        <v>Renens</v>
      </c>
      <c r="C123" s="10">
        <f>'A) Base RI'!C123+'A) Base RI'!D123</f>
        <v>33391956.960000001</v>
      </c>
      <c r="D123" s="10">
        <f>'A) Base RI'!W123</f>
        <v>-2557720.62</v>
      </c>
      <c r="E123" s="406">
        <f>'A) Base RI'!X123</f>
        <v>0</v>
      </c>
      <c r="F123" s="406">
        <f>'A) Base RI'!Y123</f>
        <v>-2604.2800000000002</v>
      </c>
      <c r="G123" s="420">
        <f t="shared" si="6"/>
        <v>30831632.059999999</v>
      </c>
      <c r="H123" s="10">
        <f>+'A) Base RI'!E123</f>
        <v>0</v>
      </c>
      <c r="I123" s="10">
        <f>+'A) Base RI'!F123</f>
        <v>0</v>
      </c>
      <c r="J123" s="10">
        <f>+'A) Base RI'!G123+'A) Base RI'!H123+'A) Base RI'!I123</f>
        <v>5114887.9922517575</v>
      </c>
      <c r="K123" s="10">
        <f>+'A) Base RI'!J123</f>
        <v>0</v>
      </c>
      <c r="L123" s="10">
        <f>+'A) Base RI'!K123</f>
        <v>2440624.98</v>
      </c>
      <c r="M123" s="10">
        <f>+'A) Base RI'!L123</f>
        <v>596805.19999999995</v>
      </c>
      <c r="N123" s="10">
        <f>+'A) Base RI'!R123</f>
        <v>234558.34</v>
      </c>
      <c r="O123" s="10">
        <f t="shared" si="7"/>
        <v>3396448.6785714291</v>
      </c>
      <c r="P123" s="10">
        <f>+'A) Base RI'!M123</f>
        <v>4755028.1500000004</v>
      </c>
      <c r="Q123" s="428">
        <f>'A) Base RI'!Z123</f>
        <v>1.4</v>
      </c>
      <c r="R123" s="420">
        <f t="shared" si="8"/>
        <v>42614957.250823185</v>
      </c>
      <c r="S123" s="410">
        <f>+'A) Base RI'!U123</f>
        <v>78.5</v>
      </c>
      <c r="T123" s="420">
        <f t="shared" si="9"/>
        <v>38621703.372251756</v>
      </c>
      <c r="U123" s="420">
        <f t="shared" si="10"/>
        <v>542865.69746271567</v>
      </c>
      <c r="V123" s="10">
        <f>+'A) Base RI'!P123</f>
        <v>328078.3</v>
      </c>
      <c r="W123" s="10">
        <f>+'A) Base RI'!Q123</f>
        <v>2043555.55</v>
      </c>
      <c r="X123" s="10">
        <f>+'A) Base RI'!S123</f>
        <v>2123613.5</v>
      </c>
      <c r="Y123" s="420">
        <f t="shared" si="11"/>
        <v>4495247.3499999996</v>
      </c>
      <c r="Z123" s="10">
        <f>+'A) Base RI'!O123</f>
        <v>2467919.5</v>
      </c>
      <c r="AA123" s="10">
        <f>'A) Base RI'!V123</f>
        <v>20968</v>
      </c>
    </row>
    <row r="124" spans="1:27" x14ac:dyDescent="0.25">
      <c r="A124" s="8">
        <f>'A) Base RI'!A124</f>
        <v>5592</v>
      </c>
      <c r="B124" s="32" t="str">
        <f>'A) Base RI'!B124</f>
        <v>Romanel-sur-Lausanne</v>
      </c>
      <c r="C124" s="10">
        <f>'A) Base RI'!C124+'A) Base RI'!D124</f>
        <v>6455725.1400000006</v>
      </c>
      <c r="D124" s="10">
        <f>'A) Base RI'!W124</f>
        <v>-110203.06</v>
      </c>
      <c r="E124" s="406">
        <f>'A) Base RI'!X124</f>
        <v>0</v>
      </c>
      <c r="F124" s="406">
        <f>'A) Base RI'!Y124</f>
        <v>-2412.96</v>
      </c>
      <c r="G124" s="420">
        <f t="shared" si="6"/>
        <v>6343109.120000001</v>
      </c>
      <c r="H124" s="10">
        <f>+'A) Base RI'!E124</f>
        <v>0</v>
      </c>
      <c r="I124" s="10">
        <f>+'A) Base RI'!F124</f>
        <v>0</v>
      </c>
      <c r="J124" s="10">
        <f>+'A) Base RI'!G124+'A) Base RI'!H124+'A) Base RI'!I124</f>
        <v>644048.66909883381</v>
      </c>
      <c r="K124" s="10">
        <f>+'A) Base RI'!J124</f>
        <v>29076.55</v>
      </c>
      <c r="L124" s="10">
        <f>+'A) Base RI'!K124</f>
        <v>135240.07999999999</v>
      </c>
      <c r="M124" s="10">
        <f>+'A) Base RI'!L124</f>
        <v>121971.2</v>
      </c>
      <c r="N124" s="10">
        <f>+'A) Base RI'!R124</f>
        <v>8307.33</v>
      </c>
      <c r="O124" s="10">
        <f t="shared" si="7"/>
        <v>674844.05</v>
      </c>
      <c r="P124" s="10">
        <f>+'A) Base RI'!M124</f>
        <v>674844.05</v>
      </c>
      <c r="Q124" s="428">
        <f>'A) Base RI'!Z124</f>
        <v>1</v>
      </c>
      <c r="R124" s="420">
        <f t="shared" si="8"/>
        <v>7956596.9990988346</v>
      </c>
      <c r="S124" s="410">
        <f>+'A) Base RI'!U124</f>
        <v>70</v>
      </c>
      <c r="T124" s="420">
        <f t="shared" si="9"/>
        <v>7159781.7490988346</v>
      </c>
      <c r="U124" s="420">
        <f t="shared" si="10"/>
        <v>113665.67141569764</v>
      </c>
      <c r="V124" s="10">
        <f>+'A) Base RI'!P124</f>
        <v>137615.70000000001</v>
      </c>
      <c r="W124" s="10">
        <f>+'A) Base RI'!Q124</f>
        <v>150170.9</v>
      </c>
      <c r="X124" s="10">
        <f>+'A) Base RI'!S124</f>
        <v>95667.7</v>
      </c>
      <c r="Y124" s="420">
        <f t="shared" si="11"/>
        <v>383454.3</v>
      </c>
      <c r="Z124" s="10">
        <f>+'A) Base RI'!O124</f>
        <v>211296.2</v>
      </c>
      <c r="AA124" s="10">
        <f>'A) Base RI'!V124</f>
        <v>3311</v>
      </c>
    </row>
    <row r="125" spans="1:27" x14ac:dyDescent="0.25">
      <c r="A125" s="8">
        <f>'A) Base RI'!A125</f>
        <v>5601</v>
      </c>
      <c r="B125" s="32" t="str">
        <f>'A) Base RI'!B125</f>
        <v>Chexbres</v>
      </c>
      <c r="C125" s="10">
        <f>'A) Base RI'!C125+'A) Base RI'!D125</f>
        <v>6413672.04</v>
      </c>
      <c r="D125" s="10">
        <f>'A) Base RI'!W125</f>
        <v>-94270.47</v>
      </c>
      <c r="E125" s="406">
        <f>'A) Base RI'!X125</f>
        <v>0</v>
      </c>
      <c r="F125" s="406">
        <f>'A) Base RI'!Y125</f>
        <v>-2328.79</v>
      </c>
      <c r="G125" s="420">
        <f t="shared" si="6"/>
        <v>6317072.7800000003</v>
      </c>
      <c r="H125" s="10">
        <f>+'A) Base RI'!E125</f>
        <v>0</v>
      </c>
      <c r="I125" s="10">
        <f>+'A) Base RI'!F125</f>
        <v>0</v>
      </c>
      <c r="J125" s="10">
        <f>+'A) Base RI'!G125+'A) Base RI'!H125+'A) Base RI'!I125</f>
        <v>80761.113867057691</v>
      </c>
      <c r="K125" s="10">
        <f>+'A) Base RI'!J125</f>
        <v>72833.759999999995</v>
      </c>
      <c r="L125" s="10">
        <f>+'A) Base RI'!K125</f>
        <v>100725.83</v>
      </c>
      <c r="M125" s="10">
        <f>+'A) Base RI'!L125</f>
        <v>24387.4</v>
      </c>
      <c r="N125" s="10">
        <f>+'A) Base RI'!R125</f>
        <v>15899.75</v>
      </c>
      <c r="O125" s="10">
        <f t="shared" si="7"/>
        <v>455697.15</v>
      </c>
      <c r="P125" s="10">
        <f>+'A) Base RI'!M125</f>
        <v>455697.15</v>
      </c>
      <c r="Q125" s="428">
        <f>'A) Base RI'!Z125</f>
        <v>1</v>
      </c>
      <c r="R125" s="420">
        <f t="shared" si="8"/>
        <v>7067377.7838670583</v>
      </c>
      <c r="S125" s="410">
        <f>+'A) Base RI'!U125</f>
        <v>69</v>
      </c>
      <c r="T125" s="420">
        <f t="shared" si="9"/>
        <v>6587293.2338670576</v>
      </c>
      <c r="U125" s="420">
        <f t="shared" si="10"/>
        <v>102425.76498358055</v>
      </c>
      <c r="V125" s="10">
        <f>+'A) Base RI'!P125</f>
        <v>192264.4</v>
      </c>
      <c r="W125" s="10">
        <f>+'A) Base RI'!Q125</f>
        <v>258622.6</v>
      </c>
      <c r="X125" s="10">
        <f>+'A) Base RI'!S125</f>
        <v>255919.4</v>
      </c>
      <c r="Y125" s="420">
        <f t="shared" si="11"/>
        <v>706806.4</v>
      </c>
      <c r="Z125" s="10">
        <f>+'A) Base RI'!O125</f>
        <v>46283.1</v>
      </c>
      <c r="AA125" s="10">
        <f>'A) Base RI'!V125</f>
        <v>2238</v>
      </c>
    </row>
    <row r="126" spans="1:27" x14ac:dyDescent="0.25">
      <c r="A126" s="8">
        <f>'A) Base RI'!A126</f>
        <v>5604</v>
      </c>
      <c r="B126" s="32" t="str">
        <f>'A) Base RI'!B126</f>
        <v>Forel (Lavaux)</v>
      </c>
      <c r="C126" s="10">
        <f>'A) Base RI'!C126+'A) Base RI'!D126</f>
        <v>4362664.82</v>
      </c>
      <c r="D126" s="10">
        <f>'A) Base RI'!W126</f>
        <v>-68082.63</v>
      </c>
      <c r="E126" s="406">
        <f>'A) Base RI'!X126</f>
        <v>0</v>
      </c>
      <c r="F126" s="406">
        <f>'A) Base RI'!Y126</f>
        <v>-434</v>
      </c>
      <c r="G126" s="420">
        <f t="shared" si="6"/>
        <v>4294148.1900000004</v>
      </c>
      <c r="H126" s="10">
        <f>+'A) Base RI'!E126</f>
        <v>0</v>
      </c>
      <c r="I126" s="10">
        <f>+'A) Base RI'!F126</f>
        <v>0</v>
      </c>
      <c r="J126" s="10">
        <f>+'A) Base RI'!G126+'A) Base RI'!H126+'A) Base RI'!I126</f>
        <v>292508.91268233262</v>
      </c>
      <c r="K126" s="10">
        <f>+'A) Base RI'!J126</f>
        <v>28133.08</v>
      </c>
      <c r="L126" s="10">
        <f>+'A) Base RI'!K126</f>
        <v>77119.009999999995</v>
      </c>
      <c r="M126" s="10">
        <f>+'A) Base RI'!L126</f>
        <v>38411.800000000003</v>
      </c>
      <c r="N126" s="10">
        <f>+'A) Base RI'!R126</f>
        <v>6312.7</v>
      </c>
      <c r="O126" s="10">
        <f t="shared" si="7"/>
        <v>384261.45</v>
      </c>
      <c r="P126" s="10">
        <f>+'A) Base RI'!M126</f>
        <v>384261.45</v>
      </c>
      <c r="Q126" s="428">
        <f>'A) Base RI'!Z126</f>
        <v>1</v>
      </c>
      <c r="R126" s="420">
        <f t="shared" si="8"/>
        <v>5120895.1426823335</v>
      </c>
      <c r="S126" s="410">
        <f>+'A) Base RI'!U126</f>
        <v>70</v>
      </c>
      <c r="T126" s="420">
        <f t="shared" si="9"/>
        <v>4698221.8926823335</v>
      </c>
      <c r="U126" s="420">
        <f t="shared" si="10"/>
        <v>73155.644895461912</v>
      </c>
      <c r="V126" s="10">
        <f>+'A) Base RI'!P126</f>
        <v>3165.75</v>
      </c>
      <c r="W126" s="10">
        <f>+'A) Base RI'!Q126</f>
        <v>226896.15</v>
      </c>
      <c r="X126" s="10">
        <f>+'A) Base RI'!S126</f>
        <v>103978</v>
      </c>
      <c r="Y126" s="420">
        <f t="shared" si="11"/>
        <v>334039.90000000002</v>
      </c>
      <c r="Z126" s="10">
        <f>+'A) Base RI'!O126</f>
        <v>109339.65</v>
      </c>
      <c r="AA126" s="10">
        <f>'A) Base RI'!V126</f>
        <v>2082</v>
      </c>
    </row>
    <row r="127" spans="1:27" x14ac:dyDescent="0.25">
      <c r="A127" s="8">
        <f>'A) Base RI'!A127</f>
        <v>5606</v>
      </c>
      <c r="B127" s="32" t="str">
        <f>'A) Base RI'!B127</f>
        <v>Lutry</v>
      </c>
      <c r="C127" s="10">
        <f>'A) Base RI'!C127+'A) Base RI'!D127</f>
        <v>38499382.780000001</v>
      </c>
      <c r="D127" s="10">
        <f>'A) Base RI'!W127</f>
        <v>-484170.33</v>
      </c>
      <c r="E127" s="406">
        <f>'A) Base RI'!X127</f>
        <v>0</v>
      </c>
      <c r="F127" s="406">
        <f>'A) Base RI'!Y127</f>
        <v>-40494.660000000003</v>
      </c>
      <c r="G127" s="420">
        <f t="shared" si="6"/>
        <v>37974717.790000007</v>
      </c>
      <c r="H127" s="10">
        <f>+'A) Base RI'!E127</f>
        <v>0</v>
      </c>
      <c r="I127" s="10">
        <f>+'A) Base RI'!F127</f>
        <v>0</v>
      </c>
      <c r="J127" s="10">
        <f>+'A) Base RI'!G127+'A) Base RI'!H127+'A) Base RI'!I127</f>
        <v>1594973.2797929517</v>
      </c>
      <c r="K127" s="10">
        <f>+'A) Base RI'!J127</f>
        <v>1365123.92</v>
      </c>
      <c r="L127" s="10">
        <f>+'A) Base RI'!K127</f>
        <v>929717.18</v>
      </c>
      <c r="M127" s="10">
        <f>+'A) Base RI'!L127</f>
        <v>127717.5</v>
      </c>
      <c r="N127" s="10">
        <f>+'A) Base RI'!R127</f>
        <v>146178.21</v>
      </c>
      <c r="O127" s="10">
        <f t="shared" si="7"/>
        <v>2896589.7857142859</v>
      </c>
      <c r="P127" s="10">
        <f>+'A) Base RI'!M127</f>
        <v>2027612.85</v>
      </c>
      <c r="Q127" s="428">
        <f>'A) Base RI'!Z127</f>
        <v>0.7</v>
      </c>
      <c r="R127" s="420">
        <f t="shared" si="8"/>
        <v>45035017.665507242</v>
      </c>
      <c r="S127" s="410">
        <f>+'A) Base RI'!U127</f>
        <v>55.5</v>
      </c>
      <c r="T127" s="420">
        <f t="shared" si="9"/>
        <v>42010710.379792958</v>
      </c>
      <c r="U127" s="420">
        <f t="shared" si="10"/>
        <v>811441.75973886927</v>
      </c>
      <c r="V127" s="10">
        <f>+'A) Base RI'!P127</f>
        <v>2431335.0499999998</v>
      </c>
      <c r="W127" s="10">
        <f>+'A) Base RI'!Q127</f>
        <v>3011601.35</v>
      </c>
      <c r="X127" s="10">
        <f>+'A) Base RI'!S127</f>
        <v>2053751.5</v>
      </c>
      <c r="Y127" s="420">
        <f t="shared" si="11"/>
        <v>7496687.9000000004</v>
      </c>
      <c r="Z127" s="10">
        <f>+'A) Base RI'!O127</f>
        <v>114627.85</v>
      </c>
      <c r="AA127" s="10">
        <f>'A) Base RI'!V127</f>
        <v>10285</v>
      </c>
    </row>
    <row r="128" spans="1:27" x14ac:dyDescent="0.25">
      <c r="A128" s="8">
        <f>'A) Base RI'!A128</f>
        <v>5607</v>
      </c>
      <c r="B128" s="32" t="str">
        <f>'A) Base RI'!B128</f>
        <v>Puidoux</v>
      </c>
      <c r="C128" s="10">
        <f>'A) Base RI'!C128+'A) Base RI'!D128</f>
        <v>5800770.7000000002</v>
      </c>
      <c r="D128" s="10">
        <f>'A) Base RI'!W128</f>
        <v>-74970.100000000006</v>
      </c>
      <c r="E128" s="406">
        <f>'A) Base RI'!X128</f>
        <v>0</v>
      </c>
      <c r="F128" s="406">
        <f>'A) Base RI'!Y128</f>
        <v>-20484.18</v>
      </c>
      <c r="G128" s="420">
        <f t="shared" si="6"/>
        <v>5705316.4200000009</v>
      </c>
      <c r="H128" s="10">
        <f>+'A) Base RI'!E128</f>
        <v>0</v>
      </c>
      <c r="I128" s="10">
        <f>+'A) Base RI'!F128</f>
        <v>0</v>
      </c>
      <c r="J128" s="10">
        <f>+'A) Base RI'!G128+'A) Base RI'!H128+'A) Base RI'!I128</f>
        <v>741236.19855397323</v>
      </c>
      <c r="K128" s="10">
        <f>+'A) Base RI'!J128</f>
        <v>65.599999999999994</v>
      </c>
      <c r="L128" s="10">
        <f>+'A) Base RI'!K128</f>
        <v>204634.95</v>
      </c>
      <c r="M128" s="10">
        <f>+'A) Base RI'!L128</f>
        <v>125396.65</v>
      </c>
      <c r="N128" s="10">
        <f>+'A) Base RI'!R128</f>
        <v>17458.849999999999</v>
      </c>
      <c r="O128" s="10">
        <f t="shared" si="7"/>
        <v>673624.82608695666</v>
      </c>
      <c r="P128" s="10">
        <f>+'A) Base RI'!M128</f>
        <v>774668.55</v>
      </c>
      <c r="Q128" s="428">
        <f>'A) Base RI'!Z128</f>
        <v>1.1499999999999999</v>
      </c>
      <c r="R128" s="420">
        <f t="shared" si="8"/>
        <v>7467733.4946409306</v>
      </c>
      <c r="S128" s="410">
        <f>+'A) Base RI'!U128</f>
        <v>70</v>
      </c>
      <c r="T128" s="420">
        <f t="shared" si="9"/>
        <v>6668712.0185539732</v>
      </c>
      <c r="U128" s="420">
        <f t="shared" si="10"/>
        <v>106681.90706629901</v>
      </c>
      <c r="V128" s="10">
        <f>+'A) Base RI'!P128</f>
        <v>359642.1</v>
      </c>
      <c r="W128" s="10">
        <f>+'A) Base RI'!Q128</f>
        <v>271782.25</v>
      </c>
      <c r="X128" s="10">
        <f>+'A) Base RI'!S128</f>
        <v>82442.850000000006</v>
      </c>
      <c r="Y128" s="420">
        <f t="shared" si="11"/>
        <v>713867.2</v>
      </c>
      <c r="Z128" s="10">
        <f>+'A) Base RI'!O128</f>
        <v>226664.6</v>
      </c>
      <c r="AA128" s="10">
        <f>'A) Base RI'!V128</f>
        <v>2880</v>
      </c>
    </row>
    <row r="129" spans="1:27" x14ac:dyDescent="0.25">
      <c r="A129" s="8">
        <f>'A) Base RI'!A129</f>
        <v>5609</v>
      </c>
      <c r="B129" s="32" t="str">
        <f>'A) Base RI'!B129</f>
        <v>Rivaz</v>
      </c>
      <c r="C129" s="10">
        <f>'A) Base RI'!C129+'A) Base RI'!D129</f>
        <v>782428.25</v>
      </c>
      <c r="D129" s="10">
        <f>'A) Base RI'!W129</f>
        <v>-15942.23</v>
      </c>
      <c r="E129" s="406">
        <f>'A) Base RI'!X129</f>
        <v>0</v>
      </c>
      <c r="F129" s="406">
        <f>'A) Base RI'!Y129</f>
        <v>-41.66</v>
      </c>
      <c r="G129" s="420">
        <f t="shared" si="6"/>
        <v>766444.36</v>
      </c>
      <c r="H129" s="10">
        <f>+'A) Base RI'!E129</f>
        <v>0</v>
      </c>
      <c r="I129" s="10">
        <f>+'A) Base RI'!F129</f>
        <v>0</v>
      </c>
      <c r="J129" s="10">
        <f>+'A) Base RI'!G129+'A) Base RI'!H129+'A) Base RI'!I129</f>
        <v>4230.528739712543</v>
      </c>
      <c r="K129" s="10">
        <f>+'A) Base RI'!J129</f>
        <v>0</v>
      </c>
      <c r="L129" s="10">
        <f>+'A) Base RI'!K129</f>
        <v>28690.19</v>
      </c>
      <c r="M129" s="10">
        <f>+'A) Base RI'!L129</f>
        <v>1268.4000000000001</v>
      </c>
      <c r="N129" s="10">
        <f>+'A) Base RI'!R129</f>
        <v>0</v>
      </c>
      <c r="O129" s="10">
        <f t="shared" si="7"/>
        <v>54950.5</v>
      </c>
      <c r="P129" s="10">
        <f>+'A) Base RI'!M129</f>
        <v>54950.5</v>
      </c>
      <c r="Q129" s="428">
        <f>'A) Base RI'!Z129</f>
        <v>1</v>
      </c>
      <c r="R129" s="420">
        <f t="shared" si="8"/>
        <v>855583.9787397125</v>
      </c>
      <c r="S129" s="410">
        <f>+'A) Base RI'!U129</f>
        <v>63.5</v>
      </c>
      <c r="T129" s="420">
        <f t="shared" si="9"/>
        <v>799365.07873971248</v>
      </c>
      <c r="U129" s="420">
        <f t="shared" si="10"/>
        <v>13473.763444719882</v>
      </c>
      <c r="V129" s="10">
        <f>+'A) Base RI'!P129</f>
        <v>0</v>
      </c>
      <c r="W129" s="10">
        <f>+'A) Base RI'!Q129</f>
        <v>19580</v>
      </c>
      <c r="X129" s="10">
        <f>+'A) Base RI'!S129</f>
        <v>0</v>
      </c>
      <c r="Y129" s="420">
        <f t="shared" si="11"/>
        <v>19580</v>
      </c>
      <c r="Z129" s="10">
        <f>+'A) Base RI'!O129</f>
        <v>0</v>
      </c>
      <c r="AA129" s="10">
        <f>'A) Base RI'!V129</f>
        <v>358</v>
      </c>
    </row>
    <row r="130" spans="1:27" x14ac:dyDescent="0.25">
      <c r="A130" s="8">
        <f>'A) Base RI'!A130</f>
        <v>5610</v>
      </c>
      <c r="B130" s="32" t="str">
        <f>'A) Base RI'!B130</f>
        <v>St-Saphorin (Lavaux)</v>
      </c>
      <c r="C130" s="10">
        <f>'A) Base RI'!C130+'A) Base RI'!D130</f>
        <v>2283246.67</v>
      </c>
      <c r="D130" s="10">
        <f>'A) Base RI'!W130</f>
        <v>-2845.55</v>
      </c>
      <c r="E130" s="406">
        <f>'A) Base RI'!X130</f>
        <v>-906774.4</v>
      </c>
      <c r="F130" s="406">
        <f>'A) Base RI'!Y130</f>
        <v>-870.54</v>
      </c>
      <c r="G130" s="420">
        <f t="shared" si="6"/>
        <v>1372756.1800000002</v>
      </c>
      <c r="H130" s="10">
        <f>+'A) Base RI'!E130</f>
        <v>0</v>
      </c>
      <c r="I130" s="10">
        <f>+'A) Base RI'!F130</f>
        <v>0</v>
      </c>
      <c r="J130" s="10">
        <f>+'A) Base RI'!G130+'A) Base RI'!H130+'A) Base RI'!I130</f>
        <v>9344.442596876288</v>
      </c>
      <c r="K130" s="10">
        <f>+'A) Base RI'!J130</f>
        <v>-2463.1500000000101</v>
      </c>
      <c r="L130" s="10">
        <f>+'A) Base RI'!K130</f>
        <v>26056.06</v>
      </c>
      <c r="M130" s="10">
        <f>+'A) Base RI'!L130</f>
        <v>7065.8</v>
      </c>
      <c r="N130" s="10">
        <f>+'A) Base RI'!R130</f>
        <v>1063.29</v>
      </c>
      <c r="O130" s="10">
        <f t="shared" si="7"/>
        <v>93841.55</v>
      </c>
      <c r="P130" s="10">
        <f>+'A) Base RI'!M130</f>
        <v>93841.55</v>
      </c>
      <c r="Q130" s="428">
        <f>'A) Base RI'!Z130</f>
        <v>1</v>
      </c>
      <c r="R130" s="420">
        <f t="shared" si="8"/>
        <v>1507664.1725968767</v>
      </c>
      <c r="S130" s="410">
        <f>+'A) Base RI'!U130</f>
        <v>70</v>
      </c>
      <c r="T130" s="420">
        <f t="shared" si="9"/>
        <v>1406756.8225968766</v>
      </c>
      <c r="U130" s="420">
        <f t="shared" si="10"/>
        <v>21538.059608526812</v>
      </c>
      <c r="V130" s="10">
        <f>+'A) Base RI'!P130</f>
        <v>6564.4</v>
      </c>
      <c r="W130" s="10">
        <f>+'A) Base RI'!Q130</f>
        <v>14069</v>
      </c>
      <c r="X130" s="10">
        <f>+'A) Base RI'!S130</f>
        <v>17289.25</v>
      </c>
      <c r="Y130" s="420">
        <f t="shared" si="11"/>
        <v>37922.65</v>
      </c>
      <c r="Z130" s="10">
        <f>+'A) Base RI'!O130</f>
        <v>0</v>
      </c>
      <c r="AA130" s="10">
        <f>'A) Base RI'!V130</f>
        <v>391</v>
      </c>
    </row>
    <row r="131" spans="1:27" x14ac:dyDescent="0.25">
      <c r="A131" s="8">
        <f>'A) Base RI'!A131</f>
        <v>5611</v>
      </c>
      <c r="B131" s="32" t="str">
        <f>'A) Base RI'!B131</f>
        <v>Savigny</v>
      </c>
      <c r="C131" s="10">
        <f>'A) Base RI'!C131+'A) Base RI'!D131</f>
        <v>8320157.2999999998</v>
      </c>
      <c r="D131" s="10">
        <f>'A) Base RI'!W131</f>
        <v>-136858.85999999999</v>
      </c>
      <c r="E131" s="406">
        <f>'A) Base RI'!X131</f>
        <v>0</v>
      </c>
      <c r="F131" s="406">
        <f>'A) Base RI'!Y131</f>
        <v>-2155.73</v>
      </c>
      <c r="G131" s="420">
        <f t="shared" si="6"/>
        <v>8181142.709999999</v>
      </c>
      <c r="H131" s="10">
        <f>+'A) Base RI'!E131</f>
        <v>0</v>
      </c>
      <c r="I131" s="10">
        <f>+'A) Base RI'!F131</f>
        <v>0</v>
      </c>
      <c r="J131" s="10">
        <f>+'A) Base RI'!G131+'A) Base RI'!H131+'A) Base RI'!I131</f>
        <v>274250.85654219275</v>
      </c>
      <c r="K131" s="10">
        <f>+'A) Base RI'!J131</f>
        <v>49142.5</v>
      </c>
      <c r="L131" s="10">
        <f>+'A) Base RI'!K131</f>
        <v>139098.85</v>
      </c>
      <c r="M131" s="10">
        <f>+'A) Base RI'!L131</f>
        <v>25088.65</v>
      </c>
      <c r="N131" s="10">
        <f>+'A) Base RI'!R131</f>
        <v>8701.4599999999991</v>
      </c>
      <c r="O131" s="10">
        <f t="shared" si="7"/>
        <v>641554.41666666674</v>
      </c>
      <c r="P131" s="10">
        <f>+'A) Base RI'!M131</f>
        <v>769865.3</v>
      </c>
      <c r="Q131" s="428">
        <f>'A) Base RI'!Z131</f>
        <v>1.2</v>
      </c>
      <c r="R131" s="420">
        <f t="shared" si="8"/>
        <v>9318979.4432088584</v>
      </c>
      <c r="S131" s="410">
        <f>+'A) Base RI'!U131</f>
        <v>69</v>
      </c>
      <c r="T131" s="420">
        <f t="shared" si="9"/>
        <v>8652336.376542192</v>
      </c>
      <c r="U131" s="420">
        <f t="shared" si="10"/>
        <v>135057.67308998347</v>
      </c>
      <c r="V131" s="10">
        <f>+'A) Base RI'!P131</f>
        <v>1085711.8</v>
      </c>
      <c r="W131" s="10">
        <f>+'A) Base RI'!Q131</f>
        <v>299437.45</v>
      </c>
      <c r="X131" s="10">
        <f>+'A) Base RI'!S131</f>
        <v>205682</v>
      </c>
      <c r="Y131" s="420">
        <f t="shared" si="11"/>
        <v>1590831.25</v>
      </c>
      <c r="Z131" s="10">
        <f>+'A) Base RI'!O131</f>
        <v>152991.25</v>
      </c>
      <c r="AA131" s="10">
        <f>'A) Base RI'!V131</f>
        <v>3353</v>
      </c>
    </row>
    <row r="132" spans="1:27" x14ac:dyDescent="0.25">
      <c r="A132" s="8">
        <f>'A) Base RI'!A132</f>
        <v>5613</v>
      </c>
      <c r="B132" s="32" t="str">
        <f>'A) Base RI'!B132</f>
        <v>Bourg-en-Lavaux</v>
      </c>
      <c r="C132" s="10">
        <f>'A) Base RI'!C132+'A) Base RI'!D132</f>
        <v>15935213.469999999</v>
      </c>
      <c r="D132" s="10">
        <f>'A) Base RI'!W132</f>
        <v>-289203.40000000002</v>
      </c>
      <c r="E132" s="406">
        <f>'A) Base RI'!X132</f>
        <v>0</v>
      </c>
      <c r="F132" s="406">
        <f>'A) Base RI'!Y132</f>
        <v>-8321.73</v>
      </c>
      <c r="G132" s="420">
        <f t="shared" si="6"/>
        <v>15637688.339999998</v>
      </c>
      <c r="H132" s="10">
        <f>+'A) Base RI'!E132</f>
        <v>0</v>
      </c>
      <c r="I132" s="10">
        <f>+'A) Base RI'!F132</f>
        <v>0</v>
      </c>
      <c r="J132" s="10">
        <f>+'A) Base RI'!G132+'A) Base RI'!H132+'A) Base RI'!I132</f>
        <v>138294.97029274591</v>
      </c>
      <c r="K132" s="10">
        <f>+'A) Base RI'!J132</f>
        <v>278712.84999999998</v>
      </c>
      <c r="L132" s="10">
        <f>+'A) Base RI'!K132</f>
        <v>411516.68</v>
      </c>
      <c r="M132" s="10">
        <f>+'A) Base RI'!L132</f>
        <v>28193.1</v>
      </c>
      <c r="N132" s="10">
        <f>+'A) Base RI'!R132</f>
        <v>2632.23</v>
      </c>
      <c r="O132" s="10">
        <f t="shared" si="7"/>
        <v>1376758.4000000001</v>
      </c>
      <c r="P132" s="10">
        <f>+'A) Base RI'!M132</f>
        <v>2065137.6</v>
      </c>
      <c r="Q132" s="428">
        <f>'A) Base RI'!Z132</f>
        <v>1.5</v>
      </c>
      <c r="R132" s="420">
        <f t="shared" si="8"/>
        <v>17873796.570292741</v>
      </c>
      <c r="S132" s="410">
        <f>+'A) Base RI'!U132</f>
        <v>61</v>
      </c>
      <c r="T132" s="420">
        <f t="shared" si="9"/>
        <v>16468845.070292743</v>
      </c>
      <c r="U132" s="420">
        <f t="shared" si="10"/>
        <v>293013.05852938921</v>
      </c>
      <c r="V132" s="10">
        <f>+'A) Base RI'!P132</f>
        <v>433812.8</v>
      </c>
      <c r="W132" s="10">
        <f>+'A) Base RI'!Q132</f>
        <v>767572.65</v>
      </c>
      <c r="X132" s="10">
        <f>+'A) Base RI'!S132</f>
        <v>964241.35</v>
      </c>
      <c r="Y132" s="420">
        <f t="shared" si="11"/>
        <v>2165626.7999999998</v>
      </c>
      <c r="Z132" s="10">
        <f>+'A) Base RI'!O132</f>
        <v>27565.8</v>
      </c>
      <c r="AA132" s="10">
        <f>'A) Base RI'!V132</f>
        <v>5367</v>
      </c>
    </row>
    <row r="133" spans="1:27" x14ac:dyDescent="0.25">
      <c r="A133" s="8">
        <f>'A) Base RI'!A133</f>
        <v>5621</v>
      </c>
      <c r="B133" s="32" t="str">
        <f>'A) Base RI'!B133</f>
        <v>Aclens</v>
      </c>
      <c r="C133" s="10">
        <f>'A) Base RI'!C133+'A) Base RI'!D133</f>
        <v>1346470.78</v>
      </c>
      <c r="D133" s="10">
        <f>'A) Base RI'!W133</f>
        <v>-51717.16</v>
      </c>
      <c r="E133" s="406">
        <f>'A) Base RI'!X133</f>
        <v>0</v>
      </c>
      <c r="F133" s="406">
        <f>'A) Base RI'!Y133</f>
        <v>-16.71</v>
      </c>
      <c r="G133" s="420">
        <f t="shared" si="6"/>
        <v>1294736.9100000001</v>
      </c>
      <c r="H133" s="10">
        <f>+'A) Base RI'!E133</f>
        <v>0</v>
      </c>
      <c r="I133" s="10">
        <f>+'A) Base RI'!F133</f>
        <v>0</v>
      </c>
      <c r="J133" s="10">
        <f>+'A) Base RI'!G133+'A) Base RI'!H133+'A) Base RI'!I133</f>
        <v>425883.09832775424</v>
      </c>
      <c r="K133" s="10">
        <f>+'A) Base RI'!J133</f>
        <v>0</v>
      </c>
      <c r="L133" s="10">
        <f>+'A) Base RI'!K133</f>
        <v>70297.41</v>
      </c>
      <c r="M133" s="10">
        <f>+'A) Base RI'!L133</f>
        <v>15614.15</v>
      </c>
      <c r="N133" s="10">
        <f>+'A) Base RI'!R133</f>
        <v>1879.28</v>
      </c>
      <c r="O133" s="10">
        <f t="shared" si="7"/>
        <v>281778.04545454541</v>
      </c>
      <c r="P133" s="10">
        <f>+'A) Base RI'!M133</f>
        <v>309955.84999999998</v>
      </c>
      <c r="Q133" s="428">
        <f>'A) Base RI'!Z133</f>
        <v>1.1000000000000001</v>
      </c>
      <c r="R133" s="420">
        <f t="shared" si="8"/>
        <v>2090188.8937822997</v>
      </c>
      <c r="S133" s="410">
        <f>+'A) Base RI'!U133</f>
        <v>62</v>
      </c>
      <c r="T133" s="420">
        <f t="shared" si="9"/>
        <v>1792796.6983277544</v>
      </c>
      <c r="U133" s="420">
        <f t="shared" si="10"/>
        <v>33712.724093262899</v>
      </c>
      <c r="V133" s="10">
        <f>+'A) Base RI'!P133</f>
        <v>269761.5</v>
      </c>
      <c r="W133" s="10">
        <f>+'A) Base RI'!Q133</f>
        <v>36952.85</v>
      </c>
      <c r="X133" s="10">
        <f>+'A) Base RI'!S133</f>
        <v>64359.5</v>
      </c>
      <c r="Y133" s="420">
        <f t="shared" si="11"/>
        <v>371073.85</v>
      </c>
      <c r="Z133" s="10">
        <f>+'A) Base RI'!O133</f>
        <v>216714.35</v>
      </c>
      <c r="AA133" s="10">
        <f>'A) Base RI'!V133</f>
        <v>535</v>
      </c>
    </row>
    <row r="134" spans="1:27" x14ac:dyDescent="0.25">
      <c r="A134" s="8">
        <f>'A) Base RI'!A134</f>
        <v>5622</v>
      </c>
      <c r="B134" s="32" t="str">
        <f>'A) Base RI'!B134</f>
        <v>Bremblens</v>
      </c>
      <c r="C134" s="10">
        <f>'A) Base RI'!C134+'A) Base RI'!D134</f>
        <v>1595778.51</v>
      </c>
      <c r="D134" s="10">
        <f>'A) Base RI'!W134</f>
        <v>-8919.76</v>
      </c>
      <c r="E134" s="406">
        <f>'A) Base RI'!X134</f>
        <v>0</v>
      </c>
      <c r="F134" s="406">
        <f>'A) Base RI'!Y134</f>
        <v>-67.260000000000005</v>
      </c>
      <c r="G134" s="420">
        <f t="shared" si="6"/>
        <v>1586791.49</v>
      </c>
      <c r="H134" s="10">
        <f>+'A) Base RI'!E134</f>
        <v>0</v>
      </c>
      <c r="I134" s="10">
        <f>+'A) Base RI'!F134</f>
        <v>0</v>
      </c>
      <c r="J134" s="10">
        <f>+'A) Base RI'!G134+'A) Base RI'!H134+'A) Base RI'!I134</f>
        <v>-20428.610212613472</v>
      </c>
      <c r="K134" s="10">
        <f>+'A) Base RI'!J134</f>
        <v>0</v>
      </c>
      <c r="L134" s="10">
        <f>+'A) Base RI'!K134</f>
        <v>-16188.79</v>
      </c>
      <c r="M134" s="10">
        <f>+'A) Base RI'!L134</f>
        <v>5357</v>
      </c>
      <c r="N134" s="10">
        <f>+'A) Base RI'!R134</f>
        <v>5642.52</v>
      </c>
      <c r="O134" s="10">
        <f t="shared" si="7"/>
        <v>139012.4</v>
      </c>
      <c r="P134" s="10">
        <f>+'A) Base RI'!M134</f>
        <v>139012.4</v>
      </c>
      <c r="Q134" s="428">
        <f>'A) Base RI'!Z134</f>
        <v>1</v>
      </c>
      <c r="R134" s="420">
        <f t="shared" si="8"/>
        <v>1700186.0097873865</v>
      </c>
      <c r="S134" s="410">
        <f>+'A) Base RI'!U134</f>
        <v>66</v>
      </c>
      <c r="T134" s="420">
        <f t="shared" si="9"/>
        <v>1555816.6097873866</v>
      </c>
      <c r="U134" s="420">
        <f t="shared" si="10"/>
        <v>25760.394087687673</v>
      </c>
      <c r="V134" s="10">
        <f>+'A) Base RI'!P134</f>
        <v>0</v>
      </c>
      <c r="W134" s="10">
        <f>+'A) Base RI'!Q134</f>
        <v>147249.1</v>
      </c>
      <c r="X134" s="10">
        <f>+'A) Base RI'!S134</f>
        <v>104349.6</v>
      </c>
      <c r="Y134" s="420">
        <f t="shared" si="11"/>
        <v>251598.7</v>
      </c>
      <c r="Z134" s="10">
        <f>+'A) Base RI'!O134</f>
        <v>22635.8</v>
      </c>
      <c r="AA134" s="10">
        <f>'A) Base RI'!V134</f>
        <v>548</v>
      </c>
    </row>
    <row r="135" spans="1:27" x14ac:dyDescent="0.25">
      <c r="A135" s="8">
        <f>'A) Base RI'!A135</f>
        <v>5623</v>
      </c>
      <c r="B135" s="32" t="str">
        <f>'A) Base RI'!B135</f>
        <v>Buchillon</v>
      </c>
      <c r="C135" s="10">
        <f>'A) Base RI'!C135+'A) Base RI'!D135</f>
        <v>5529113.4700000007</v>
      </c>
      <c r="D135" s="10">
        <f>'A) Base RI'!W135</f>
        <v>-3950.78</v>
      </c>
      <c r="E135" s="406">
        <f>'A) Base RI'!X135</f>
        <v>0</v>
      </c>
      <c r="F135" s="406">
        <f>'A) Base RI'!Y135</f>
        <v>-19195.86</v>
      </c>
      <c r="G135" s="420">
        <f t="shared" si="6"/>
        <v>5505966.8300000001</v>
      </c>
      <c r="H135" s="10">
        <f>+'A) Base RI'!E135</f>
        <v>0</v>
      </c>
      <c r="I135" s="10">
        <f>+'A) Base RI'!F135</f>
        <v>0</v>
      </c>
      <c r="J135" s="10">
        <f>+'A) Base RI'!G135+'A) Base RI'!H135+'A) Base RI'!I135</f>
        <v>281674.69826238486</v>
      </c>
      <c r="K135" s="10">
        <f>+'A) Base RI'!J135</f>
        <v>172396.45</v>
      </c>
      <c r="L135" s="10">
        <f>+'A) Base RI'!K135</f>
        <v>8984.08</v>
      </c>
      <c r="M135" s="10">
        <f>+'A) Base RI'!L135</f>
        <v>3141.7</v>
      </c>
      <c r="N135" s="10">
        <f>+'A) Base RI'!R135</f>
        <v>1038.72</v>
      </c>
      <c r="O135" s="10">
        <f t="shared" si="7"/>
        <v>336348.6</v>
      </c>
      <c r="P135" s="10">
        <f>+'A) Base RI'!M135</f>
        <v>336348.6</v>
      </c>
      <c r="Q135" s="428">
        <f>'A) Base RI'!Z135</f>
        <v>1</v>
      </c>
      <c r="R135" s="420">
        <f t="shared" si="8"/>
        <v>6309551.078262385</v>
      </c>
      <c r="S135" s="410">
        <f>+'A) Base RI'!U135</f>
        <v>53</v>
      </c>
      <c r="T135" s="420">
        <f t="shared" si="9"/>
        <v>5970060.7782623852</v>
      </c>
      <c r="U135" s="420">
        <f t="shared" si="10"/>
        <v>119048.13355212047</v>
      </c>
      <c r="V135" s="10">
        <f>+'A) Base RI'!P135</f>
        <v>103319.7</v>
      </c>
      <c r="W135" s="10">
        <f>+'A) Base RI'!Q135</f>
        <v>134400.9</v>
      </c>
      <c r="X135" s="10">
        <f>+'A) Base RI'!S135</f>
        <v>32810.1</v>
      </c>
      <c r="Y135" s="420">
        <f t="shared" si="11"/>
        <v>270530.69999999995</v>
      </c>
      <c r="Z135" s="10">
        <f>+'A) Base RI'!O135</f>
        <v>2113.4499999999998</v>
      </c>
      <c r="AA135" s="10">
        <f>'A) Base RI'!V135</f>
        <v>650</v>
      </c>
    </row>
    <row r="136" spans="1:27" x14ac:dyDescent="0.25">
      <c r="A136" s="8">
        <f>'A) Base RI'!A136</f>
        <v>5624</v>
      </c>
      <c r="B136" s="32" t="str">
        <f>'A) Base RI'!B136</f>
        <v>Bussigny</v>
      </c>
      <c r="C136" s="10">
        <f>'A) Base RI'!C136+'A) Base RI'!D136</f>
        <v>14440096.25</v>
      </c>
      <c r="D136" s="10">
        <f>'A) Base RI'!W136</f>
        <v>-321660.27</v>
      </c>
      <c r="E136" s="406">
        <f>'A) Base RI'!X136</f>
        <v>0</v>
      </c>
      <c r="F136" s="406">
        <f>'A) Base RI'!Y136</f>
        <v>0</v>
      </c>
      <c r="G136" s="420">
        <f t="shared" ref="G136:G199" si="12">SUM(C136:F136)</f>
        <v>14118435.98</v>
      </c>
      <c r="H136" s="10">
        <f>+'A) Base RI'!E136</f>
        <v>0</v>
      </c>
      <c r="I136" s="10">
        <f>+'A) Base RI'!F136</f>
        <v>0</v>
      </c>
      <c r="J136" s="10">
        <f>+'A) Base RI'!G136+'A) Base RI'!H136+'A) Base RI'!I136</f>
        <v>5219620.4189806804</v>
      </c>
      <c r="K136" s="10">
        <f>+'A) Base RI'!J136</f>
        <v>0</v>
      </c>
      <c r="L136" s="10">
        <f>+'A) Base RI'!K136</f>
        <v>746259.86</v>
      </c>
      <c r="M136" s="10">
        <f>+'A) Base RI'!L136</f>
        <v>440469.85</v>
      </c>
      <c r="N136" s="10">
        <f>+'A) Base RI'!R136</f>
        <v>55808.66</v>
      </c>
      <c r="O136" s="10">
        <f t="shared" ref="O136:O199" si="13">(P136/Q136)*1</f>
        <v>1877785.08</v>
      </c>
      <c r="P136" s="10">
        <f>+'A) Base RI'!M136</f>
        <v>2347231.35</v>
      </c>
      <c r="Q136" s="428">
        <f>'A) Base RI'!Z136</f>
        <v>1.25</v>
      </c>
      <c r="R136" s="420">
        <f t="shared" ref="R136:R199" si="14">SUM(G136:O136)</f>
        <v>22458379.84898068</v>
      </c>
      <c r="S136" s="410">
        <f>+'A) Base RI'!U136</f>
        <v>63</v>
      </c>
      <c r="T136" s="420">
        <f t="shared" ref="T136:T199" si="15">(G136+H136+J136+K136+L136+N136)</f>
        <v>20140124.91898068</v>
      </c>
      <c r="U136" s="420">
        <f t="shared" ref="U136:U199" si="16">R136/S136</f>
        <v>356482.21982509014</v>
      </c>
      <c r="V136" s="10">
        <f>+'A) Base RI'!P136</f>
        <v>150118.70000000001</v>
      </c>
      <c r="W136" s="10">
        <f>+'A) Base RI'!Q136</f>
        <v>1221353.6000000001</v>
      </c>
      <c r="X136" s="10">
        <f>+'A) Base RI'!S136</f>
        <v>1041326.9</v>
      </c>
      <c r="Y136" s="420">
        <f t="shared" ref="Y136:Y199" si="17">SUM(V136:X136)</f>
        <v>2412799.2000000002</v>
      </c>
      <c r="Z136" s="10">
        <f>+'A) Base RI'!O136</f>
        <v>1436741.85</v>
      </c>
      <c r="AA136" s="10">
        <f>'A) Base RI'!V136</f>
        <v>8759</v>
      </c>
    </row>
    <row r="137" spans="1:27" x14ac:dyDescent="0.25">
      <c r="A137" s="8">
        <f>'A) Base RI'!A137</f>
        <v>5625</v>
      </c>
      <c r="B137" s="32" t="str">
        <f>'A) Base RI'!B137</f>
        <v>Bussy-Chardonney</v>
      </c>
      <c r="C137" s="10">
        <f>'A) Base RI'!C137+'A) Base RI'!D137</f>
        <v>907965.64</v>
      </c>
      <c r="D137" s="10">
        <f>'A) Base RI'!W137</f>
        <v>-8556.2900000000009</v>
      </c>
      <c r="E137" s="406">
        <f>'A) Base RI'!X137</f>
        <v>0</v>
      </c>
      <c r="F137" s="406">
        <f>'A) Base RI'!Y137</f>
        <v>0</v>
      </c>
      <c r="G137" s="420">
        <f t="shared" si="12"/>
        <v>899409.35</v>
      </c>
      <c r="H137" s="10">
        <f>+'A) Base RI'!E137</f>
        <v>0</v>
      </c>
      <c r="I137" s="10">
        <f>+'A) Base RI'!F137</f>
        <v>0</v>
      </c>
      <c r="J137" s="10">
        <f>+'A) Base RI'!G137+'A) Base RI'!H137+'A) Base RI'!I137</f>
        <v>13578.306292560736</v>
      </c>
      <c r="K137" s="10">
        <f>+'A) Base RI'!J137</f>
        <v>49537.55</v>
      </c>
      <c r="L137" s="10">
        <f>+'A) Base RI'!K137</f>
        <v>-19036.05</v>
      </c>
      <c r="M137" s="10">
        <f>+'A) Base RI'!L137</f>
        <v>7737</v>
      </c>
      <c r="N137" s="10">
        <f>+'A) Base RI'!R137</f>
        <v>0</v>
      </c>
      <c r="O137" s="10">
        <f t="shared" si="13"/>
        <v>91658.208333333343</v>
      </c>
      <c r="P137" s="10">
        <f>+'A) Base RI'!M137</f>
        <v>109989.85</v>
      </c>
      <c r="Q137" s="428">
        <f>'A) Base RI'!Z137</f>
        <v>1.2</v>
      </c>
      <c r="R137" s="420">
        <f t="shared" si="14"/>
        <v>1042884.3646258941</v>
      </c>
      <c r="S137" s="410">
        <f>+'A) Base RI'!U137</f>
        <v>78</v>
      </c>
      <c r="T137" s="420">
        <f t="shared" si="15"/>
        <v>943489.15629256074</v>
      </c>
      <c r="U137" s="420">
        <f t="shared" si="16"/>
        <v>13370.312366998642</v>
      </c>
      <c r="V137" s="10">
        <f>+'A) Base RI'!P137</f>
        <v>0</v>
      </c>
      <c r="W137" s="10">
        <f>+'A) Base RI'!Q137</f>
        <v>81248.3</v>
      </c>
      <c r="X137" s="10">
        <f>+'A) Base RI'!S137</f>
        <v>50382.55</v>
      </c>
      <c r="Y137" s="420">
        <f t="shared" si="17"/>
        <v>131630.85</v>
      </c>
      <c r="Z137" s="10">
        <f>+'A) Base RI'!O137</f>
        <v>0</v>
      </c>
      <c r="AA137" s="10">
        <f>'A) Base RI'!V137</f>
        <v>376</v>
      </c>
    </row>
    <row r="138" spans="1:27" x14ac:dyDescent="0.25">
      <c r="A138" s="8">
        <f>'A) Base RI'!A138</f>
        <v>5627</v>
      </c>
      <c r="B138" s="32" t="str">
        <f>'A) Base RI'!B138</f>
        <v>Chavannes-près-Renens</v>
      </c>
      <c r="C138" s="10">
        <f>'A) Base RI'!C138+'A) Base RI'!D138</f>
        <v>10454827.49</v>
      </c>
      <c r="D138" s="10">
        <f>'A) Base RI'!W138</f>
        <v>-393848.73</v>
      </c>
      <c r="E138" s="406">
        <f>'A) Base RI'!X138</f>
        <v>0</v>
      </c>
      <c r="F138" s="406">
        <f>'A) Base RI'!Y138</f>
        <v>-144.16</v>
      </c>
      <c r="G138" s="420">
        <f t="shared" si="12"/>
        <v>10060834.6</v>
      </c>
      <c r="H138" s="10">
        <f>+'A) Base RI'!E138</f>
        <v>0</v>
      </c>
      <c r="I138" s="10">
        <f>+'A) Base RI'!F138</f>
        <v>0</v>
      </c>
      <c r="J138" s="10">
        <f>+'A) Base RI'!G138+'A) Base RI'!H138+'A) Base RI'!I138</f>
        <v>1486474.6758634243</v>
      </c>
      <c r="K138" s="10">
        <f>+'A) Base RI'!J138</f>
        <v>0</v>
      </c>
      <c r="L138" s="10">
        <f>+'A) Base RI'!K138</f>
        <v>721488.67</v>
      </c>
      <c r="M138" s="10">
        <f>+'A) Base RI'!L138</f>
        <v>330766.25</v>
      </c>
      <c r="N138" s="10">
        <f>+'A) Base RI'!R138</f>
        <v>116989.72</v>
      </c>
      <c r="O138" s="10">
        <f t="shared" si="13"/>
        <v>981302.1333333333</v>
      </c>
      <c r="P138" s="10">
        <f>+'A) Base RI'!M138</f>
        <v>1471953.2</v>
      </c>
      <c r="Q138" s="428">
        <f>'A) Base RI'!Z138</f>
        <v>1.5</v>
      </c>
      <c r="R138" s="420">
        <f t="shared" si="14"/>
        <v>13697856.049196757</v>
      </c>
      <c r="S138" s="410">
        <f>+'A) Base RI'!U138</f>
        <v>79</v>
      </c>
      <c r="T138" s="420">
        <f t="shared" si="15"/>
        <v>12385787.665863425</v>
      </c>
      <c r="U138" s="420">
        <f t="shared" si="16"/>
        <v>173390.58290122479</v>
      </c>
      <c r="V138" s="10">
        <f>+'A) Base RI'!P138</f>
        <v>10168.799999999999</v>
      </c>
      <c r="W138" s="10">
        <f>+'A) Base RI'!Q138</f>
        <v>948362.35</v>
      </c>
      <c r="X138" s="10">
        <f>+'A) Base RI'!S138</f>
        <v>88797.2</v>
      </c>
      <c r="Y138" s="420">
        <f t="shared" si="17"/>
        <v>1047328.35</v>
      </c>
      <c r="Z138" s="10">
        <f>+'A) Base RI'!O138</f>
        <v>405212</v>
      </c>
      <c r="AA138" s="10">
        <f>'A) Base RI'!V138</f>
        <v>7741</v>
      </c>
    </row>
    <row r="139" spans="1:27" x14ac:dyDescent="0.25">
      <c r="A139" s="8">
        <f>'A) Base RI'!A139</f>
        <v>5628</v>
      </c>
      <c r="B139" s="32" t="str">
        <f>'A) Base RI'!B139</f>
        <v>Chigny</v>
      </c>
      <c r="C139" s="10">
        <f>'A) Base RI'!C139+'A) Base RI'!D139</f>
        <v>1200000</v>
      </c>
      <c r="D139" s="10">
        <f>'A) Base RI'!W139</f>
        <v>-7210.51</v>
      </c>
      <c r="E139" s="406">
        <f>'A) Base RI'!X139</f>
        <v>0</v>
      </c>
      <c r="F139" s="406">
        <f>'A) Base RI'!Y139</f>
        <v>0</v>
      </c>
      <c r="G139" s="420">
        <f t="shared" si="12"/>
        <v>1192789.49</v>
      </c>
      <c r="H139" s="10">
        <f>+'A) Base RI'!E139</f>
        <v>0</v>
      </c>
      <c r="I139" s="10">
        <f>+'A) Base RI'!F139</f>
        <v>0</v>
      </c>
      <c r="J139" s="10">
        <f>+'A) Base RI'!G139+'A) Base RI'!H139+'A) Base RI'!I139</f>
        <v>2054.1129836548307</v>
      </c>
      <c r="K139" s="10">
        <f>+'A) Base RI'!J139</f>
        <v>0</v>
      </c>
      <c r="L139" s="10">
        <f>+'A) Base RI'!K139</f>
        <v>74034.39</v>
      </c>
      <c r="M139" s="10">
        <f>+'A) Base RI'!L139</f>
        <v>859.5</v>
      </c>
      <c r="N139" s="10">
        <f>+'A) Base RI'!R139</f>
        <v>0</v>
      </c>
      <c r="O139" s="10">
        <f t="shared" si="13"/>
        <v>87712.7</v>
      </c>
      <c r="P139" s="10">
        <f>+'A) Base RI'!M139</f>
        <v>87712.7</v>
      </c>
      <c r="Q139" s="428">
        <f>'A) Base RI'!Z139</f>
        <v>1</v>
      </c>
      <c r="R139" s="420">
        <f t="shared" si="14"/>
        <v>1357450.1929836546</v>
      </c>
      <c r="S139" s="410">
        <f>+'A) Base RI'!U139</f>
        <v>62</v>
      </c>
      <c r="T139" s="420">
        <f t="shared" si="15"/>
        <v>1268877.9929836546</v>
      </c>
      <c r="U139" s="420">
        <f t="shared" si="16"/>
        <v>21894.357951349266</v>
      </c>
      <c r="V139" s="10">
        <f>+'A) Base RI'!P139</f>
        <v>0</v>
      </c>
      <c r="W139" s="10">
        <f>+'A) Base RI'!Q139</f>
        <v>41155.550000000003</v>
      </c>
      <c r="X139" s="10">
        <f>+'A) Base RI'!S139</f>
        <v>20000</v>
      </c>
      <c r="Y139" s="420">
        <f t="shared" si="17"/>
        <v>61155.55</v>
      </c>
      <c r="Z139" s="10">
        <f>+'A) Base RI'!O139</f>
        <v>26499.05</v>
      </c>
      <c r="AA139" s="10">
        <f>'A) Base RI'!V139</f>
        <v>358</v>
      </c>
    </row>
    <row r="140" spans="1:27" x14ac:dyDescent="0.25">
      <c r="A140" s="8">
        <f>'A) Base RI'!A140</f>
        <v>5629</v>
      </c>
      <c r="B140" s="32" t="str">
        <f>'A) Base RI'!B140</f>
        <v>Clarmont</v>
      </c>
      <c r="C140" s="10">
        <f>'A) Base RI'!C140+'A) Base RI'!D140</f>
        <v>470925.8</v>
      </c>
      <c r="D140" s="10">
        <f>'A) Base RI'!W140</f>
        <v>-775.78</v>
      </c>
      <c r="E140" s="406">
        <f>'A) Base RI'!X140</f>
        <v>0</v>
      </c>
      <c r="F140" s="406">
        <f>'A) Base RI'!Y140</f>
        <v>0</v>
      </c>
      <c r="G140" s="420">
        <f t="shared" si="12"/>
        <v>470150.01999999996</v>
      </c>
      <c r="H140" s="10">
        <f>+'A) Base RI'!E140</f>
        <v>0</v>
      </c>
      <c r="I140" s="10">
        <f>+'A) Base RI'!F140</f>
        <v>0</v>
      </c>
      <c r="J140" s="10">
        <f>+'A) Base RI'!G140+'A) Base RI'!H140+'A) Base RI'!I140</f>
        <v>5065.9342201866421</v>
      </c>
      <c r="K140" s="10">
        <f>+'A) Base RI'!J140</f>
        <v>0</v>
      </c>
      <c r="L140" s="10">
        <f>+'A) Base RI'!K140</f>
        <v>12063.23</v>
      </c>
      <c r="M140" s="10">
        <f>+'A) Base RI'!L140</f>
        <v>-3366.95</v>
      </c>
      <c r="N140" s="10">
        <f>+'A) Base RI'!R140</f>
        <v>0</v>
      </c>
      <c r="O140" s="10">
        <f t="shared" si="13"/>
        <v>34805.1</v>
      </c>
      <c r="P140" s="10">
        <f>+'A) Base RI'!M140</f>
        <v>34805.1</v>
      </c>
      <c r="Q140" s="428">
        <f>'A) Base RI'!Z140</f>
        <v>1</v>
      </c>
      <c r="R140" s="420">
        <f t="shared" si="14"/>
        <v>518717.33422018657</v>
      </c>
      <c r="S140" s="410">
        <f>+'A) Base RI'!U140</f>
        <v>75</v>
      </c>
      <c r="T140" s="420">
        <f t="shared" si="15"/>
        <v>487279.18422018661</v>
      </c>
      <c r="U140" s="420">
        <f t="shared" si="16"/>
        <v>6916.2311229358211</v>
      </c>
      <c r="V140" s="10">
        <f>+'A) Base RI'!P140</f>
        <v>0</v>
      </c>
      <c r="W140" s="10">
        <f>+'A) Base RI'!Q140</f>
        <v>48317.5</v>
      </c>
      <c r="X140" s="10">
        <f>+'A) Base RI'!S140</f>
        <v>11646.4</v>
      </c>
      <c r="Y140" s="420">
        <f t="shared" si="17"/>
        <v>59963.9</v>
      </c>
      <c r="Z140" s="10">
        <f>+'A) Base RI'!O140</f>
        <v>0</v>
      </c>
      <c r="AA140" s="10">
        <f>'A) Base RI'!V140</f>
        <v>190</v>
      </c>
    </row>
    <row r="141" spans="1:27" x14ac:dyDescent="0.25">
      <c r="A141" s="8">
        <f>'A) Base RI'!A141</f>
        <v>5631</v>
      </c>
      <c r="B141" s="32" t="str">
        <f>'A) Base RI'!B141</f>
        <v>Denens</v>
      </c>
      <c r="C141" s="10">
        <f>'A) Base RI'!C141+'A) Base RI'!D141</f>
        <v>2775003.93</v>
      </c>
      <c r="D141" s="10">
        <f>'A) Base RI'!W141</f>
        <v>-22390.71</v>
      </c>
      <c r="E141" s="406">
        <f>'A) Base RI'!X141</f>
        <v>0</v>
      </c>
      <c r="F141" s="406">
        <f>'A) Base RI'!Y141</f>
        <v>-6769.18</v>
      </c>
      <c r="G141" s="420">
        <f t="shared" si="12"/>
        <v>2745844.04</v>
      </c>
      <c r="H141" s="10">
        <f>+'A) Base RI'!E141</f>
        <v>0</v>
      </c>
      <c r="I141" s="10">
        <f>+'A) Base RI'!F141</f>
        <v>0</v>
      </c>
      <c r="J141" s="10">
        <f>+'A) Base RI'!G141+'A) Base RI'!H141+'A) Base RI'!I141</f>
        <v>8615.9826824951851</v>
      </c>
      <c r="K141" s="10">
        <f>+'A) Base RI'!J141</f>
        <v>72375.5</v>
      </c>
      <c r="L141" s="10">
        <f>+'A) Base RI'!K141</f>
        <v>33866.53</v>
      </c>
      <c r="M141" s="10">
        <f>+'A) Base RI'!L141</f>
        <v>3627.4</v>
      </c>
      <c r="N141" s="10">
        <f>+'A) Base RI'!R141</f>
        <v>3058.48</v>
      </c>
      <c r="O141" s="10">
        <f t="shared" si="13"/>
        <v>199730.45</v>
      </c>
      <c r="P141" s="10">
        <f>+'A) Base RI'!M141</f>
        <v>199730.45</v>
      </c>
      <c r="Q141" s="428">
        <f>'A) Base RI'!Z141</f>
        <v>1</v>
      </c>
      <c r="R141" s="420">
        <f t="shared" si="14"/>
        <v>3067118.3826824953</v>
      </c>
      <c r="S141" s="410">
        <f>+'A) Base RI'!U141</f>
        <v>70</v>
      </c>
      <c r="T141" s="420">
        <f t="shared" si="15"/>
        <v>2863760.5326824952</v>
      </c>
      <c r="U141" s="420">
        <f t="shared" si="16"/>
        <v>43815.97689546422</v>
      </c>
      <c r="V141" s="10">
        <f>+'A) Base RI'!P141</f>
        <v>109428.9</v>
      </c>
      <c r="W141" s="10">
        <f>+'A) Base RI'!Q141</f>
        <v>110929.5</v>
      </c>
      <c r="X141" s="10">
        <f>+'A) Base RI'!S141</f>
        <v>0</v>
      </c>
      <c r="Y141" s="420">
        <f t="shared" si="17"/>
        <v>220358.39999999999</v>
      </c>
      <c r="Z141" s="10">
        <f>+'A) Base RI'!O141</f>
        <v>0</v>
      </c>
      <c r="AA141" s="10">
        <f>'A) Base RI'!V141</f>
        <v>747</v>
      </c>
    </row>
    <row r="142" spans="1:27" x14ac:dyDescent="0.25">
      <c r="A142" s="8">
        <f>'A) Base RI'!A142</f>
        <v>5632</v>
      </c>
      <c r="B142" s="32" t="str">
        <f>'A) Base RI'!B142</f>
        <v>Denges</v>
      </c>
      <c r="C142" s="10">
        <f>'A) Base RI'!C142+'A) Base RI'!D142</f>
        <v>3619717.42</v>
      </c>
      <c r="D142" s="10">
        <f>'A) Base RI'!W142</f>
        <v>-43827.67</v>
      </c>
      <c r="E142" s="406">
        <f>'A) Base RI'!X142</f>
        <v>0</v>
      </c>
      <c r="F142" s="406">
        <f>'A) Base RI'!Y142</f>
        <v>-326.20999999999998</v>
      </c>
      <c r="G142" s="420">
        <f t="shared" si="12"/>
        <v>3575563.54</v>
      </c>
      <c r="H142" s="10">
        <f>+'A) Base RI'!E142</f>
        <v>0</v>
      </c>
      <c r="I142" s="10">
        <f>+'A) Base RI'!F142</f>
        <v>0</v>
      </c>
      <c r="J142" s="10">
        <f>+'A) Base RI'!G142+'A) Base RI'!H142+'A) Base RI'!I142</f>
        <v>126321.96604094023</v>
      </c>
      <c r="K142" s="10">
        <f>+'A) Base RI'!J142</f>
        <v>0</v>
      </c>
      <c r="L142" s="10">
        <f>+'A) Base RI'!K142</f>
        <v>215618.73</v>
      </c>
      <c r="M142" s="10">
        <f>+'A) Base RI'!L142</f>
        <v>-74047.149999999994</v>
      </c>
      <c r="N142" s="10">
        <f>+'A) Base RI'!R142</f>
        <v>16539.38</v>
      </c>
      <c r="O142" s="10">
        <f t="shared" si="13"/>
        <v>336622.1</v>
      </c>
      <c r="P142" s="10">
        <f>+'A) Base RI'!M142</f>
        <v>336622.1</v>
      </c>
      <c r="Q142" s="428">
        <f>'A) Base RI'!Z142</f>
        <v>1</v>
      </c>
      <c r="R142" s="420">
        <f t="shared" si="14"/>
        <v>4196618.5660409397</v>
      </c>
      <c r="S142" s="410">
        <f>+'A) Base RI'!U142</f>
        <v>62</v>
      </c>
      <c r="T142" s="420">
        <f t="shared" si="15"/>
        <v>3934043.6160409399</v>
      </c>
      <c r="U142" s="420">
        <f t="shared" si="16"/>
        <v>67687.396226466764</v>
      </c>
      <c r="V142" s="10">
        <f>+'A) Base RI'!P142</f>
        <v>-961</v>
      </c>
      <c r="W142" s="10">
        <f>+'A) Base RI'!Q142</f>
        <v>406553.45</v>
      </c>
      <c r="X142" s="10">
        <f>+'A) Base RI'!S142</f>
        <v>63205.3</v>
      </c>
      <c r="Y142" s="420">
        <f t="shared" si="17"/>
        <v>468797.75</v>
      </c>
      <c r="Z142" s="10">
        <f>+'A) Base RI'!O142</f>
        <v>73867.05</v>
      </c>
      <c r="AA142" s="10">
        <f>'A) Base RI'!V142</f>
        <v>1610</v>
      </c>
    </row>
    <row r="143" spans="1:27" x14ac:dyDescent="0.25">
      <c r="A143" s="8">
        <f>'A) Base RI'!A143</f>
        <v>5633</v>
      </c>
      <c r="B143" s="32" t="str">
        <f>'A) Base RI'!B143</f>
        <v>Echandens</v>
      </c>
      <c r="C143" s="10">
        <f>'A) Base RI'!C143+'A) Base RI'!D143</f>
        <v>7225182.8499999996</v>
      </c>
      <c r="D143" s="10">
        <f>'A) Base RI'!W143</f>
        <v>-100590.22</v>
      </c>
      <c r="E143" s="406">
        <f>'A) Base RI'!X143</f>
        <v>0</v>
      </c>
      <c r="F143" s="406">
        <f>'A) Base RI'!Y143</f>
        <v>0</v>
      </c>
      <c r="G143" s="420">
        <f t="shared" si="12"/>
        <v>7124592.6299999999</v>
      </c>
      <c r="H143" s="10">
        <f>+'A) Base RI'!E143</f>
        <v>0</v>
      </c>
      <c r="I143" s="10">
        <f>+'A) Base RI'!F143</f>
        <v>0</v>
      </c>
      <c r="J143" s="10">
        <f>+'A) Base RI'!G143+'A) Base RI'!H143+'A) Base RI'!I143</f>
        <v>541915.97040483472</v>
      </c>
      <c r="K143" s="10">
        <f>+'A) Base RI'!J143</f>
        <v>0</v>
      </c>
      <c r="L143" s="10">
        <f>+'A) Base RI'!K143</f>
        <v>217439.81</v>
      </c>
      <c r="M143" s="10">
        <f>+'A) Base RI'!L143</f>
        <v>23551.35</v>
      </c>
      <c r="N143" s="10">
        <f>+'A) Base RI'!R143</f>
        <v>3139.94</v>
      </c>
      <c r="O143" s="10">
        <f t="shared" si="13"/>
        <v>610573.4</v>
      </c>
      <c r="P143" s="10">
        <f>+'A) Base RI'!M143</f>
        <v>610573.4</v>
      </c>
      <c r="Q143" s="428">
        <f>'A) Base RI'!Z143</f>
        <v>1</v>
      </c>
      <c r="R143" s="420">
        <f t="shared" si="14"/>
        <v>8521213.1004048344</v>
      </c>
      <c r="S143" s="410">
        <f>+'A) Base RI'!U143</f>
        <v>62</v>
      </c>
      <c r="T143" s="420">
        <f t="shared" si="15"/>
        <v>7887088.3504048344</v>
      </c>
      <c r="U143" s="420">
        <f t="shared" si="16"/>
        <v>137438.92097427152</v>
      </c>
      <c r="V143" s="10">
        <f>+'A) Base RI'!P143</f>
        <v>13819.8</v>
      </c>
      <c r="W143" s="10">
        <f>+'A) Base RI'!Q143</f>
        <v>201601.65</v>
      </c>
      <c r="X143" s="10">
        <f>+'A) Base RI'!S143</f>
        <v>50168.74</v>
      </c>
      <c r="Y143" s="420">
        <f t="shared" si="17"/>
        <v>265590.19</v>
      </c>
      <c r="Z143" s="10">
        <f>+'A) Base RI'!O143</f>
        <v>224978.2</v>
      </c>
      <c r="AA143" s="10">
        <f>'A) Base RI'!V143</f>
        <v>2789</v>
      </c>
    </row>
    <row r="144" spans="1:27" x14ac:dyDescent="0.25">
      <c r="A144" s="8">
        <f>'A) Base RI'!A144</f>
        <v>5634</v>
      </c>
      <c r="B144" s="32" t="str">
        <f>'A) Base RI'!B144</f>
        <v>Echichens</v>
      </c>
      <c r="C144" s="10">
        <f>'A) Base RI'!C144+'A) Base RI'!D144</f>
        <v>10846721.02</v>
      </c>
      <c r="D144" s="10">
        <f>'A) Base RI'!W144</f>
        <v>-27148.32</v>
      </c>
      <c r="E144" s="406">
        <f>'A) Base RI'!X144</f>
        <v>0</v>
      </c>
      <c r="F144" s="406">
        <f>'A) Base RI'!Y144</f>
        <v>-1552.98</v>
      </c>
      <c r="G144" s="420">
        <f t="shared" si="12"/>
        <v>10818019.719999999</v>
      </c>
      <c r="H144" s="10">
        <f>+'A) Base RI'!E144</f>
        <v>0</v>
      </c>
      <c r="I144" s="10">
        <f>+'A) Base RI'!F144</f>
        <v>0</v>
      </c>
      <c r="J144" s="10">
        <f>+'A) Base RI'!G144+'A) Base RI'!H144+'A) Base RI'!I144</f>
        <v>72898.631159114942</v>
      </c>
      <c r="K144" s="10">
        <f>+'A) Base RI'!J144</f>
        <v>91478.55</v>
      </c>
      <c r="L144" s="10">
        <f>+'A) Base RI'!K144</f>
        <v>138112.54999999999</v>
      </c>
      <c r="M144" s="10">
        <f>+'A) Base RI'!L144</f>
        <v>19369.55</v>
      </c>
      <c r="N144" s="10">
        <f>+'A) Base RI'!R144</f>
        <v>7614.14</v>
      </c>
      <c r="O144" s="10">
        <f t="shared" si="13"/>
        <v>596610.80000000005</v>
      </c>
      <c r="P144" s="10">
        <f>+'A) Base RI'!M144</f>
        <v>596610.80000000005</v>
      </c>
      <c r="Q144" s="428">
        <f>'A) Base RI'!Z144</f>
        <v>1</v>
      </c>
      <c r="R144" s="420">
        <f t="shared" si="14"/>
        <v>11744103.941159118</v>
      </c>
      <c r="S144" s="410">
        <f>+'A) Base RI'!U144</f>
        <v>68</v>
      </c>
      <c r="T144" s="420">
        <f t="shared" si="15"/>
        <v>11128123.591159116</v>
      </c>
      <c r="U144" s="420">
        <f t="shared" si="16"/>
        <v>172707.41089939879</v>
      </c>
      <c r="V144" s="10">
        <f>+'A) Base RI'!P144</f>
        <v>273399.90000000002</v>
      </c>
      <c r="W144" s="10">
        <f>+'A) Base RI'!Q144</f>
        <v>421631.95</v>
      </c>
      <c r="X144" s="10">
        <f>+'A) Base RI'!S144</f>
        <v>283723.59999999998</v>
      </c>
      <c r="Y144" s="420">
        <f t="shared" si="17"/>
        <v>978755.45000000007</v>
      </c>
      <c r="Z144" s="10">
        <f>+'A) Base RI'!O144</f>
        <v>36676.85</v>
      </c>
      <c r="AA144" s="10">
        <f>'A) Base RI'!V144</f>
        <v>3050</v>
      </c>
    </row>
    <row r="145" spans="1:27" x14ac:dyDescent="0.25">
      <c r="A145" s="8">
        <f>'A) Base RI'!A145</f>
        <v>5635</v>
      </c>
      <c r="B145" s="32" t="str">
        <f>'A) Base RI'!B145</f>
        <v>Ecublens</v>
      </c>
      <c r="C145" s="10">
        <f>'A) Base RI'!C145+'A) Base RI'!D145</f>
        <v>20693246.23</v>
      </c>
      <c r="D145" s="10">
        <f>'A) Base RI'!W145</f>
        <v>-1626401.57</v>
      </c>
      <c r="E145" s="406">
        <f>'A) Base RI'!X145</f>
        <v>0</v>
      </c>
      <c r="F145" s="406">
        <f>'A) Base RI'!Y145</f>
        <v>-14777.81</v>
      </c>
      <c r="G145" s="420">
        <f t="shared" si="12"/>
        <v>19052066.850000001</v>
      </c>
      <c r="H145" s="10">
        <f>+'A) Base RI'!E145</f>
        <v>0</v>
      </c>
      <c r="I145" s="10">
        <f>+'A) Base RI'!F145</f>
        <v>0</v>
      </c>
      <c r="J145" s="10">
        <f>+'A) Base RI'!G145+'A) Base RI'!H145+'A) Base RI'!I145</f>
        <v>3076462.8519812957</v>
      </c>
      <c r="K145" s="10">
        <f>+'A) Base RI'!J145</f>
        <v>0</v>
      </c>
      <c r="L145" s="10">
        <f>+'A) Base RI'!K145</f>
        <v>1713930.23</v>
      </c>
      <c r="M145" s="10">
        <f>+'A) Base RI'!L145</f>
        <v>442102.35</v>
      </c>
      <c r="N145" s="10">
        <f>+'A) Base RI'!R145</f>
        <v>669347.78</v>
      </c>
      <c r="O145" s="10">
        <f t="shared" si="13"/>
        <v>2297569.041666667</v>
      </c>
      <c r="P145" s="10">
        <f>+'A) Base RI'!M145</f>
        <v>2757082.85</v>
      </c>
      <c r="Q145" s="428">
        <f>'A) Base RI'!Z145</f>
        <v>1.2</v>
      </c>
      <c r="R145" s="420">
        <f t="shared" si="14"/>
        <v>27251479.10364797</v>
      </c>
      <c r="S145" s="410">
        <f>+'A) Base RI'!U145</f>
        <v>64</v>
      </c>
      <c r="T145" s="420">
        <f t="shared" si="15"/>
        <v>24511807.7119813</v>
      </c>
      <c r="U145" s="420">
        <f t="shared" si="16"/>
        <v>425804.36099449953</v>
      </c>
      <c r="V145" s="10">
        <f>+'A) Base RI'!P145</f>
        <v>418222.2</v>
      </c>
      <c r="W145" s="10">
        <f>+'A) Base RI'!Q145</f>
        <v>411660.05</v>
      </c>
      <c r="X145" s="10">
        <f>+'A) Base RI'!S145</f>
        <v>402836.25</v>
      </c>
      <c r="Y145" s="420">
        <f t="shared" si="17"/>
        <v>1232718.5</v>
      </c>
      <c r="Z145" s="10">
        <f>+'A) Base RI'!O145</f>
        <v>2525188.4</v>
      </c>
      <c r="AA145" s="10">
        <f>'A) Base RI'!V145</f>
        <v>12939</v>
      </c>
    </row>
    <row r="146" spans="1:27" x14ac:dyDescent="0.25">
      <c r="A146" s="8">
        <f>'A) Base RI'!A146</f>
        <v>5636</v>
      </c>
      <c r="B146" s="32" t="str">
        <f>'A) Base RI'!B146</f>
        <v>Etoy</v>
      </c>
      <c r="C146" s="10">
        <f>'A) Base RI'!C146+'A) Base RI'!D146</f>
        <v>6762526.1200000001</v>
      </c>
      <c r="D146" s="10">
        <f>'A) Base RI'!W146</f>
        <v>-64750.33</v>
      </c>
      <c r="E146" s="406">
        <f>'A) Base RI'!X146</f>
        <v>-37638.5</v>
      </c>
      <c r="F146" s="406">
        <f>'A) Base RI'!Y146</f>
        <v>-968.43</v>
      </c>
      <c r="G146" s="420">
        <f t="shared" si="12"/>
        <v>6659168.8600000003</v>
      </c>
      <c r="H146" s="10">
        <f>+'A) Base RI'!E146</f>
        <v>0</v>
      </c>
      <c r="I146" s="10">
        <f>+'A) Base RI'!F146</f>
        <v>0</v>
      </c>
      <c r="J146" s="10">
        <f>+'A) Base RI'!G146+'A) Base RI'!H146+'A) Base RI'!I146</f>
        <v>1203044.8496593777</v>
      </c>
      <c r="K146" s="10">
        <f>+'A) Base RI'!J146</f>
        <v>-6421.6</v>
      </c>
      <c r="L146" s="10">
        <f>+'A) Base RI'!K146</f>
        <v>610638.53</v>
      </c>
      <c r="M146" s="10">
        <f>+'A) Base RI'!L146</f>
        <v>226954.7</v>
      </c>
      <c r="N146" s="10">
        <f>+'A) Base RI'!R146</f>
        <v>7459.88</v>
      </c>
      <c r="O146" s="10">
        <f t="shared" si="13"/>
        <v>1273147.3500000001</v>
      </c>
      <c r="P146" s="10">
        <f>+'A) Base RI'!M146</f>
        <v>1273147.3500000001</v>
      </c>
      <c r="Q146" s="428">
        <f>'A) Base RI'!Z146</f>
        <v>1</v>
      </c>
      <c r="R146" s="420">
        <f t="shared" si="14"/>
        <v>9973992.5696593784</v>
      </c>
      <c r="S146" s="410">
        <f>+'A) Base RI'!U146</f>
        <v>61</v>
      </c>
      <c r="T146" s="420">
        <f t="shared" si="15"/>
        <v>8473890.5196593795</v>
      </c>
      <c r="U146" s="420">
        <f t="shared" si="16"/>
        <v>163508.07491244882</v>
      </c>
      <c r="V146" s="10">
        <f>+'A) Base RI'!P146</f>
        <v>-181972.6</v>
      </c>
      <c r="W146" s="10">
        <f>+'A) Base RI'!Q146</f>
        <v>1530810.65</v>
      </c>
      <c r="X146" s="10">
        <f>+'A) Base RI'!S146</f>
        <v>414787.15</v>
      </c>
      <c r="Y146" s="420">
        <f t="shared" si="17"/>
        <v>1763625.1999999997</v>
      </c>
      <c r="Z146" s="10">
        <f>+'A) Base RI'!O146</f>
        <v>567263.44999999995</v>
      </c>
      <c r="AA146" s="10">
        <f>'A) Base RI'!V146</f>
        <v>2905</v>
      </c>
    </row>
    <row r="147" spans="1:27" x14ac:dyDescent="0.25">
      <c r="A147" s="8">
        <f>'A) Base RI'!A147</f>
        <v>5637</v>
      </c>
      <c r="B147" s="32" t="str">
        <f>'A) Base RI'!B147</f>
        <v>Lavigny</v>
      </c>
      <c r="C147" s="10">
        <f>'A) Base RI'!C147+'A) Base RI'!D147</f>
        <v>2419487.34</v>
      </c>
      <c r="D147" s="10">
        <f>'A) Base RI'!W147</f>
        <v>-28405.82</v>
      </c>
      <c r="E147" s="406">
        <f>'A) Base RI'!X147</f>
        <v>0</v>
      </c>
      <c r="F147" s="406">
        <f>'A) Base RI'!Y147</f>
        <v>-186.53</v>
      </c>
      <c r="G147" s="420">
        <f t="shared" si="12"/>
        <v>2390894.9900000002</v>
      </c>
      <c r="H147" s="10">
        <f>+'A) Base RI'!E147</f>
        <v>0</v>
      </c>
      <c r="I147" s="10">
        <f>+'A) Base RI'!F147</f>
        <v>0</v>
      </c>
      <c r="J147" s="10">
        <f>+'A) Base RI'!G147+'A) Base RI'!H147+'A) Base RI'!I147</f>
        <v>29567.903974210636</v>
      </c>
      <c r="K147" s="10">
        <f>+'A) Base RI'!J147</f>
        <v>0</v>
      </c>
      <c r="L147" s="10">
        <f>+'A) Base RI'!K147</f>
        <v>32808.68</v>
      </c>
      <c r="M147" s="10">
        <f>+'A) Base RI'!L147</f>
        <v>5470.65</v>
      </c>
      <c r="N147" s="10">
        <f>+'A) Base RI'!R147</f>
        <v>596.30999999999995</v>
      </c>
      <c r="O147" s="10">
        <f t="shared" si="13"/>
        <v>187472.93333333335</v>
      </c>
      <c r="P147" s="10">
        <f>+'A) Base RI'!M147</f>
        <v>281209.40000000002</v>
      </c>
      <c r="Q147" s="428">
        <f>'A) Base RI'!Z147</f>
        <v>1.5</v>
      </c>
      <c r="R147" s="420">
        <f t="shared" si="14"/>
        <v>2646811.4673075443</v>
      </c>
      <c r="S147" s="410">
        <f>+'A) Base RI'!U147</f>
        <v>74.5</v>
      </c>
      <c r="T147" s="420">
        <f t="shared" si="15"/>
        <v>2453867.8839742113</v>
      </c>
      <c r="U147" s="420">
        <f t="shared" si="16"/>
        <v>35527.670702114687</v>
      </c>
      <c r="V147" s="10">
        <f>+'A) Base RI'!P147</f>
        <v>5758.1</v>
      </c>
      <c r="W147" s="10">
        <f>+'A) Base RI'!Q147</f>
        <v>70010.25</v>
      </c>
      <c r="X147" s="10">
        <f>+'A) Base RI'!S147</f>
        <v>62744.55</v>
      </c>
      <c r="Y147" s="420">
        <f t="shared" si="17"/>
        <v>138512.90000000002</v>
      </c>
      <c r="Z147" s="10">
        <f>+'A) Base RI'!O147</f>
        <v>222794.7</v>
      </c>
      <c r="AA147" s="10">
        <f>'A) Base RI'!V147</f>
        <v>999</v>
      </c>
    </row>
    <row r="148" spans="1:27" x14ac:dyDescent="0.25">
      <c r="A148" s="8">
        <f>'A) Base RI'!A148</f>
        <v>5638</v>
      </c>
      <c r="B148" s="32" t="str">
        <f>'A) Base RI'!B148</f>
        <v>Lonay</v>
      </c>
      <c r="C148" s="10">
        <f>'A) Base RI'!C148+'A) Base RI'!D148</f>
        <v>6742714.3399999999</v>
      </c>
      <c r="D148" s="10">
        <f>'A) Base RI'!W148</f>
        <v>-142088.24</v>
      </c>
      <c r="E148" s="406">
        <f>'A) Base RI'!X148</f>
        <v>0</v>
      </c>
      <c r="F148" s="406">
        <f>'A) Base RI'!Y148</f>
        <v>-1258.58</v>
      </c>
      <c r="G148" s="420">
        <f t="shared" si="12"/>
        <v>6599367.5199999996</v>
      </c>
      <c r="H148" s="10">
        <f>+'A) Base RI'!E148</f>
        <v>0</v>
      </c>
      <c r="I148" s="10">
        <f>+'A) Base RI'!F148</f>
        <v>0</v>
      </c>
      <c r="J148" s="10">
        <f>+'A) Base RI'!G148+'A) Base RI'!H148+'A) Base RI'!I148</f>
        <v>962525.54672593309</v>
      </c>
      <c r="K148" s="10">
        <f>+'A) Base RI'!J148</f>
        <v>225384.35</v>
      </c>
      <c r="L148" s="10">
        <f>+'A) Base RI'!K148</f>
        <v>149354.20000000001</v>
      </c>
      <c r="M148" s="10">
        <f>+'A) Base RI'!L148</f>
        <v>36732.400000000001</v>
      </c>
      <c r="N148" s="10">
        <f>+'A) Base RI'!R148</f>
        <v>18911.27</v>
      </c>
      <c r="O148" s="10">
        <f t="shared" si="13"/>
        <v>631786.6</v>
      </c>
      <c r="P148" s="10">
        <f>+'A) Base RI'!M148</f>
        <v>631786.6</v>
      </c>
      <c r="Q148" s="428">
        <f>'A) Base RI'!Z148</f>
        <v>1</v>
      </c>
      <c r="R148" s="420">
        <f t="shared" si="14"/>
        <v>8624061.8867259324</v>
      </c>
      <c r="S148" s="410">
        <f>+'A) Base RI'!U148</f>
        <v>55</v>
      </c>
      <c r="T148" s="420">
        <f t="shared" si="15"/>
        <v>7955542.8867259324</v>
      </c>
      <c r="U148" s="420">
        <f t="shared" si="16"/>
        <v>156801.12521319877</v>
      </c>
      <c r="V148" s="10">
        <f>+'A) Base RI'!P148</f>
        <v>1560571.3</v>
      </c>
      <c r="W148" s="10">
        <f>+'A) Base RI'!Q148</f>
        <v>500825.9</v>
      </c>
      <c r="X148" s="10">
        <f>+'A) Base RI'!S148</f>
        <v>300446.09999999998</v>
      </c>
      <c r="Y148" s="420">
        <f t="shared" si="17"/>
        <v>2361843.3000000003</v>
      </c>
      <c r="Z148" s="10">
        <f>+'A) Base RI'!O148</f>
        <v>215283.05</v>
      </c>
      <c r="AA148" s="10">
        <f>'A) Base RI'!V148</f>
        <v>2593</v>
      </c>
    </row>
    <row r="149" spans="1:27" x14ac:dyDescent="0.25">
      <c r="A149" s="8">
        <f>'A) Base RI'!A149</f>
        <v>5639</v>
      </c>
      <c r="B149" s="32" t="str">
        <f>'A) Base RI'!B149</f>
        <v>Lully</v>
      </c>
      <c r="C149" s="10">
        <f>'A) Base RI'!C149+'A) Base RI'!D149</f>
        <v>2382750.33</v>
      </c>
      <c r="D149" s="10">
        <f>'A) Base RI'!W149</f>
        <v>-13263.69</v>
      </c>
      <c r="E149" s="406">
        <f>'A) Base RI'!X149</f>
        <v>0</v>
      </c>
      <c r="F149" s="406">
        <f>'A) Base RI'!Y149</f>
        <v>0</v>
      </c>
      <c r="G149" s="420">
        <f t="shared" si="12"/>
        <v>2369486.64</v>
      </c>
      <c r="H149" s="10">
        <f>+'A) Base RI'!E149</f>
        <v>0</v>
      </c>
      <c r="I149" s="10">
        <f>+'A) Base RI'!F149</f>
        <v>0</v>
      </c>
      <c r="J149" s="10">
        <f>+'A) Base RI'!G149+'A) Base RI'!H149+'A) Base RI'!I149</f>
        <v>151676.93818543787</v>
      </c>
      <c r="K149" s="10">
        <f>+'A) Base RI'!J149</f>
        <v>0</v>
      </c>
      <c r="L149" s="10">
        <f>+'A) Base RI'!K149</f>
        <v>7882.32</v>
      </c>
      <c r="M149" s="10">
        <f>+'A) Base RI'!L149</f>
        <v>5943.85</v>
      </c>
      <c r="N149" s="10">
        <f>+'A) Base RI'!R149</f>
        <v>0</v>
      </c>
      <c r="O149" s="10">
        <f t="shared" si="13"/>
        <v>193762.91999999998</v>
      </c>
      <c r="P149" s="10">
        <f>+'A) Base RI'!M149</f>
        <v>242203.65</v>
      </c>
      <c r="Q149" s="428">
        <f>'A) Base RI'!Z149</f>
        <v>1.25</v>
      </c>
      <c r="R149" s="420">
        <f t="shared" si="14"/>
        <v>2728752.668185438</v>
      </c>
      <c r="S149" s="410">
        <f>+'A) Base RI'!U149</f>
        <v>61</v>
      </c>
      <c r="T149" s="420">
        <f t="shared" si="15"/>
        <v>2529045.898185438</v>
      </c>
      <c r="U149" s="420">
        <f t="shared" si="16"/>
        <v>44733.650298121938</v>
      </c>
      <c r="V149" s="10">
        <f>+'A) Base RI'!P149</f>
        <v>7603.1</v>
      </c>
      <c r="W149" s="10">
        <f>+'A) Base RI'!Q149</f>
        <v>90302.25</v>
      </c>
      <c r="X149" s="10">
        <f>+'A) Base RI'!S149</f>
        <v>100765.6</v>
      </c>
      <c r="Y149" s="420">
        <f t="shared" si="17"/>
        <v>198670.95</v>
      </c>
      <c r="Z149" s="10">
        <f>+'A) Base RI'!O149</f>
        <v>12986.35</v>
      </c>
      <c r="AA149" s="10">
        <f>'A) Base RI'!V149</f>
        <v>790</v>
      </c>
    </row>
    <row r="150" spans="1:27" x14ac:dyDescent="0.25">
      <c r="A150" s="8">
        <f>'A) Base RI'!A150</f>
        <v>5640</v>
      </c>
      <c r="B150" s="32" t="str">
        <f>'A) Base RI'!B150</f>
        <v>Lussy-sur-Morges</v>
      </c>
      <c r="C150" s="10">
        <f>'A) Base RI'!C150+'A) Base RI'!D150</f>
        <v>3203496.55</v>
      </c>
      <c r="D150" s="10">
        <f>'A) Base RI'!W150</f>
        <v>-4864.45</v>
      </c>
      <c r="E150" s="406">
        <f>'A) Base RI'!X150</f>
        <v>0</v>
      </c>
      <c r="F150" s="406">
        <f>'A) Base RI'!Y150</f>
        <v>-3127.93</v>
      </c>
      <c r="G150" s="420">
        <f t="shared" si="12"/>
        <v>3195504.1699999995</v>
      </c>
      <c r="H150" s="10">
        <f>+'A) Base RI'!E150</f>
        <v>0</v>
      </c>
      <c r="I150" s="10">
        <f>+'A) Base RI'!F150</f>
        <v>0</v>
      </c>
      <c r="J150" s="10">
        <f>+'A) Base RI'!G150+'A) Base RI'!H150+'A) Base RI'!I150</f>
        <v>-1350.9178690874669</v>
      </c>
      <c r="K150" s="10">
        <f>+'A) Base RI'!J150</f>
        <v>113236.15</v>
      </c>
      <c r="L150" s="10">
        <f>+'A) Base RI'!K150</f>
        <v>11138.93</v>
      </c>
      <c r="M150" s="10">
        <f>+'A) Base RI'!L150</f>
        <v>4735.55</v>
      </c>
      <c r="N150" s="10">
        <f>+'A) Base RI'!R150</f>
        <v>0</v>
      </c>
      <c r="O150" s="10">
        <f t="shared" si="13"/>
        <v>188872.65</v>
      </c>
      <c r="P150" s="10">
        <f>+'A) Base RI'!M150</f>
        <v>188872.65</v>
      </c>
      <c r="Q150" s="428">
        <f>'A) Base RI'!Z150</f>
        <v>1</v>
      </c>
      <c r="R150" s="420">
        <f t="shared" si="14"/>
        <v>3512136.5321309119</v>
      </c>
      <c r="S150" s="410">
        <f>+'A) Base RI'!U150</f>
        <v>66</v>
      </c>
      <c r="T150" s="420">
        <f t="shared" si="15"/>
        <v>3318528.3321309122</v>
      </c>
      <c r="U150" s="420">
        <f t="shared" si="16"/>
        <v>53214.189880771395</v>
      </c>
      <c r="V150" s="10">
        <f>+'A) Base RI'!P150</f>
        <v>133563.5</v>
      </c>
      <c r="W150" s="10">
        <f>+'A) Base RI'!Q150</f>
        <v>125353.1</v>
      </c>
      <c r="X150" s="10">
        <f>+'A) Base RI'!S150</f>
        <v>66303.149999999994</v>
      </c>
      <c r="Y150" s="420">
        <f t="shared" si="17"/>
        <v>325219.75</v>
      </c>
      <c r="Z150" s="10">
        <f>+'A) Base RI'!O150</f>
        <v>18606.95</v>
      </c>
      <c r="AA150" s="10">
        <f>'A) Base RI'!V150</f>
        <v>687</v>
      </c>
    </row>
    <row r="151" spans="1:27" x14ac:dyDescent="0.25">
      <c r="A151" s="8">
        <f>'A) Base RI'!A151</f>
        <v>5642</v>
      </c>
      <c r="B151" s="32" t="str">
        <f>'A) Base RI'!B151</f>
        <v>Morges</v>
      </c>
      <c r="C151" s="10">
        <f>'A) Base RI'!C151+'A) Base RI'!D151</f>
        <v>41250093.57</v>
      </c>
      <c r="D151" s="10">
        <f>'A) Base RI'!W151</f>
        <v>-540768.64</v>
      </c>
      <c r="E151" s="406">
        <f>'A) Base RI'!X151</f>
        <v>0</v>
      </c>
      <c r="F151" s="406">
        <f>'A) Base RI'!Y151</f>
        <v>-18138.919999999998</v>
      </c>
      <c r="G151" s="420">
        <f t="shared" si="12"/>
        <v>40691186.009999998</v>
      </c>
      <c r="H151" s="10">
        <f>+'A) Base RI'!E151</f>
        <v>0</v>
      </c>
      <c r="I151" s="10">
        <f>+'A) Base RI'!F151</f>
        <v>0</v>
      </c>
      <c r="J151" s="10">
        <f>+'A) Base RI'!G151+'A) Base RI'!H151+'A) Base RI'!I151</f>
        <v>3545582.4238217738</v>
      </c>
      <c r="K151" s="10">
        <f>+'A) Base RI'!J151</f>
        <v>604468.26</v>
      </c>
      <c r="L151" s="10">
        <f>+'A) Base RI'!K151</f>
        <v>1431185.21</v>
      </c>
      <c r="M151" s="10">
        <f>+'A) Base RI'!L151</f>
        <v>468773.55</v>
      </c>
      <c r="N151" s="10">
        <f>+'A) Base RI'!R151</f>
        <v>82660.7</v>
      </c>
      <c r="O151" s="10">
        <f t="shared" si="13"/>
        <v>3132574.3</v>
      </c>
      <c r="P151" s="10">
        <f>+'A) Base RI'!M151</f>
        <v>3132574.3</v>
      </c>
      <c r="Q151" s="428">
        <f>'A) Base RI'!Z151</f>
        <v>1</v>
      </c>
      <c r="R151" s="420">
        <f t="shared" si="14"/>
        <v>49956430.453821771</v>
      </c>
      <c r="S151" s="410">
        <f>+'A) Base RI'!U151</f>
        <v>68.5</v>
      </c>
      <c r="T151" s="420">
        <f t="shared" si="15"/>
        <v>46355082.603821777</v>
      </c>
      <c r="U151" s="420">
        <f t="shared" si="16"/>
        <v>729290.95553024486</v>
      </c>
      <c r="V151" s="10">
        <f>+'A) Base RI'!P151</f>
        <v>2366669.2999999998</v>
      </c>
      <c r="W151" s="10">
        <f>+'A) Base RI'!Q151</f>
        <v>1795662.85</v>
      </c>
      <c r="X151" s="10">
        <f>+'A) Base RI'!S151</f>
        <v>2406947.0499999998</v>
      </c>
      <c r="Y151" s="420">
        <f t="shared" si="17"/>
        <v>6569279.1999999993</v>
      </c>
      <c r="Z151" s="10">
        <f>+'A) Base RI'!O151</f>
        <v>1405238.4</v>
      </c>
      <c r="AA151" s="10">
        <f>'A) Base RI'!V151</f>
        <v>15725</v>
      </c>
    </row>
    <row r="152" spans="1:27" x14ac:dyDescent="0.25">
      <c r="A152" s="8">
        <f>'A) Base RI'!A152</f>
        <v>5643</v>
      </c>
      <c r="B152" s="32" t="str">
        <f>'A) Base RI'!B152</f>
        <v>Préverenges</v>
      </c>
      <c r="C152" s="10">
        <f>'A) Base RI'!C152+'A) Base RI'!D152</f>
        <v>14241381.630000001</v>
      </c>
      <c r="D152" s="10">
        <f>'A) Base RI'!W152</f>
        <v>-162802.89000000001</v>
      </c>
      <c r="E152" s="406">
        <f>'A) Base RI'!X152</f>
        <v>0</v>
      </c>
      <c r="F152" s="406">
        <f>'A) Base RI'!Y152</f>
        <v>-5165.0200000000004</v>
      </c>
      <c r="G152" s="420">
        <f t="shared" si="12"/>
        <v>14073413.720000001</v>
      </c>
      <c r="H152" s="10">
        <f>+'A) Base RI'!E152</f>
        <v>0</v>
      </c>
      <c r="I152" s="10">
        <f>+'A) Base RI'!F152</f>
        <v>0</v>
      </c>
      <c r="J152" s="10">
        <f>+'A) Base RI'!G152+'A) Base RI'!H152+'A) Base RI'!I152</f>
        <v>372993.14031459665</v>
      </c>
      <c r="K152" s="10">
        <f>+'A) Base RI'!J152</f>
        <v>351745.75</v>
      </c>
      <c r="L152" s="10">
        <f>+'A) Base RI'!K152</f>
        <v>399868.24</v>
      </c>
      <c r="M152" s="10">
        <f>+'A) Base RI'!L152</f>
        <v>117739.75</v>
      </c>
      <c r="N152" s="10">
        <f>+'A) Base RI'!R152</f>
        <v>17812.11</v>
      </c>
      <c r="O152" s="10">
        <f t="shared" si="13"/>
        <v>1096286.05</v>
      </c>
      <c r="P152" s="10">
        <f>+'A) Base RI'!M152</f>
        <v>1096286.05</v>
      </c>
      <c r="Q152" s="428">
        <f>'A) Base RI'!Z152</f>
        <v>1</v>
      </c>
      <c r="R152" s="420">
        <f t="shared" si="14"/>
        <v>16429858.760314597</v>
      </c>
      <c r="S152" s="410">
        <f>+'A) Base RI'!U152</f>
        <v>64</v>
      </c>
      <c r="T152" s="420">
        <f t="shared" si="15"/>
        <v>15215832.960314596</v>
      </c>
      <c r="U152" s="420">
        <f t="shared" si="16"/>
        <v>256716.54312991558</v>
      </c>
      <c r="V152" s="10">
        <f>+'A) Base RI'!P152</f>
        <v>22241.9</v>
      </c>
      <c r="W152" s="10">
        <f>+'A) Base RI'!Q152</f>
        <v>286824.65000000002</v>
      </c>
      <c r="X152" s="10">
        <f>+'A) Base RI'!S152</f>
        <v>121437.6</v>
      </c>
      <c r="Y152" s="420">
        <f t="shared" si="17"/>
        <v>430504.15</v>
      </c>
      <c r="Z152" s="10">
        <f>+'A) Base RI'!O152</f>
        <v>178198.39999999999</v>
      </c>
      <c r="AA152" s="10">
        <f>'A) Base RI'!V152</f>
        <v>5298</v>
      </c>
    </row>
    <row r="153" spans="1:27" x14ac:dyDescent="0.25">
      <c r="A153" s="8">
        <f>'A) Base RI'!A153</f>
        <v>5644</v>
      </c>
      <c r="B153" s="32" t="str">
        <f>'A) Base RI'!B153</f>
        <v>Reverolle</v>
      </c>
      <c r="C153" s="10">
        <f>'A) Base RI'!C153+'A) Base RI'!D153</f>
        <v>929273.3</v>
      </c>
      <c r="D153" s="10">
        <f>'A) Base RI'!W153</f>
        <v>-23121.09</v>
      </c>
      <c r="E153" s="406">
        <f>'A) Base RI'!X153</f>
        <v>0</v>
      </c>
      <c r="F153" s="406">
        <f>'A) Base RI'!Y153</f>
        <v>-75.83</v>
      </c>
      <c r="G153" s="420">
        <f t="shared" si="12"/>
        <v>906076.38000000012</v>
      </c>
      <c r="H153" s="10">
        <f>+'A) Base RI'!E153</f>
        <v>0</v>
      </c>
      <c r="I153" s="10">
        <f>+'A) Base RI'!F153</f>
        <v>0</v>
      </c>
      <c r="J153" s="10">
        <f>+'A) Base RI'!G153+'A) Base RI'!H153+'A) Base RI'!I153</f>
        <v>-3527.0022964509371</v>
      </c>
      <c r="K153" s="10">
        <f>+'A) Base RI'!J153</f>
        <v>0</v>
      </c>
      <c r="L153" s="10">
        <f>+'A) Base RI'!K153</f>
        <v>20184.61</v>
      </c>
      <c r="M153" s="10">
        <f>+'A) Base RI'!L153</f>
        <v>0</v>
      </c>
      <c r="N153" s="10">
        <f>+'A) Base RI'!R153</f>
        <v>20681.240000000002</v>
      </c>
      <c r="O153" s="10">
        <f t="shared" si="13"/>
        <v>76902.45</v>
      </c>
      <c r="P153" s="10">
        <f>+'A) Base RI'!M153</f>
        <v>76902.45</v>
      </c>
      <c r="Q153" s="428">
        <f>'A) Base RI'!Z153</f>
        <v>1</v>
      </c>
      <c r="R153" s="420">
        <f t="shared" si="14"/>
        <v>1020317.6777035492</v>
      </c>
      <c r="S153" s="410">
        <f>+'A) Base RI'!U153</f>
        <v>76</v>
      </c>
      <c r="T153" s="420">
        <f t="shared" si="15"/>
        <v>943415.2277035492</v>
      </c>
      <c r="U153" s="420">
        <f t="shared" si="16"/>
        <v>13425.23260136249</v>
      </c>
      <c r="V153" s="10">
        <f>+'A) Base RI'!P153</f>
        <v>0</v>
      </c>
      <c r="W153" s="10">
        <f>+'A) Base RI'!Q153</f>
        <v>46387</v>
      </c>
      <c r="X153" s="10">
        <f>+'A) Base RI'!S153</f>
        <v>37549.15</v>
      </c>
      <c r="Y153" s="420">
        <f t="shared" si="17"/>
        <v>83936.15</v>
      </c>
      <c r="Z153" s="10">
        <f>+'A) Base RI'!O153</f>
        <v>4010.65</v>
      </c>
      <c r="AA153" s="10">
        <f>'A) Base RI'!V153</f>
        <v>399</v>
      </c>
    </row>
    <row r="154" spans="1:27" x14ac:dyDescent="0.25">
      <c r="A154" s="8">
        <f>'A) Base RI'!A154</f>
        <v>5645</v>
      </c>
      <c r="B154" s="32" t="str">
        <f>'A) Base RI'!B154</f>
        <v>Romanel-sur-Morges</v>
      </c>
      <c r="C154" s="10">
        <f>'A) Base RI'!C154+'A) Base RI'!D154</f>
        <v>1216739.1800000002</v>
      </c>
      <c r="D154" s="10">
        <f>'A) Base RI'!W154</f>
        <v>-19000.88</v>
      </c>
      <c r="E154" s="406">
        <f>'A) Base RI'!X154</f>
        <v>0</v>
      </c>
      <c r="F154" s="406">
        <f>'A) Base RI'!Y154</f>
        <v>-127.16</v>
      </c>
      <c r="G154" s="420">
        <f t="shared" si="12"/>
        <v>1197611.1400000004</v>
      </c>
      <c r="H154" s="10">
        <f>+'A) Base RI'!E154</f>
        <v>0</v>
      </c>
      <c r="I154" s="10">
        <f>+'A) Base RI'!F154</f>
        <v>0</v>
      </c>
      <c r="J154" s="10">
        <f>+'A) Base RI'!G154+'A) Base RI'!H154+'A) Base RI'!I154</f>
        <v>-52820.315472859511</v>
      </c>
      <c r="K154" s="10">
        <f>+'A) Base RI'!J154</f>
        <v>0</v>
      </c>
      <c r="L154" s="10">
        <f>+'A) Base RI'!K154</f>
        <v>44967.199999999997</v>
      </c>
      <c r="M154" s="10">
        <f>+'A) Base RI'!L154</f>
        <v>21819.599999999999</v>
      </c>
      <c r="N154" s="10">
        <f>+'A) Base RI'!R154</f>
        <v>0</v>
      </c>
      <c r="O154" s="10">
        <f t="shared" si="13"/>
        <v>145294.125</v>
      </c>
      <c r="P154" s="10">
        <f>+'A) Base RI'!M154</f>
        <v>116235.3</v>
      </c>
      <c r="Q154" s="428">
        <f>'A) Base RI'!Z154</f>
        <v>0.8</v>
      </c>
      <c r="R154" s="420">
        <f t="shared" si="14"/>
        <v>1356871.749527141</v>
      </c>
      <c r="S154" s="410">
        <f>+'A) Base RI'!U154</f>
        <v>56</v>
      </c>
      <c r="T154" s="420">
        <f t="shared" si="15"/>
        <v>1189758.0245271409</v>
      </c>
      <c r="U154" s="420">
        <f t="shared" si="16"/>
        <v>24229.852670127519</v>
      </c>
      <c r="V154" s="10">
        <f>+'A) Base RI'!P154</f>
        <v>27329</v>
      </c>
      <c r="W154" s="10">
        <f>+'A) Base RI'!Q154</f>
        <v>44370.8</v>
      </c>
      <c r="X154" s="10">
        <f>+'A) Base RI'!S154</f>
        <v>46970.5</v>
      </c>
      <c r="Y154" s="420">
        <f t="shared" si="17"/>
        <v>118670.3</v>
      </c>
      <c r="Z154" s="10">
        <f>+'A) Base RI'!O154</f>
        <v>48717.45</v>
      </c>
      <c r="AA154" s="10">
        <f>'A) Base RI'!V154</f>
        <v>458</v>
      </c>
    </row>
    <row r="155" spans="1:27" x14ac:dyDescent="0.25">
      <c r="A155" s="8">
        <f>'A) Base RI'!A155</f>
        <v>5646</v>
      </c>
      <c r="B155" s="32" t="str">
        <f>'A) Base RI'!B155</f>
        <v>Saint-Prex</v>
      </c>
      <c r="C155" s="10">
        <f>'A) Base RI'!C155+'A) Base RI'!D155</f>
        <v>14944412.869999999</v>
      </c>
      <c r="D155" s="10">
        <f>'A) Base RI'!W155</f>
        <v>-216268.95</v>
      </c>
      <c r="E155" s="406">
        <f>'A) Base RI'!X155</f>
        <v>0</v>
      </c>
      <c r="F155" s="406">
        <f>'A) Base RI'!Y155</f>
        <v>-10697.82</v>
      </c>
      <c r="G155" s="420">
        <f t="shared" si="12"/>
        <v>14717446.1</v>
      </c>
      <c r="H155" s="10">
        <f>+'A) Base RI'!E155</f>
        <v>0</v>
      </c>
      <c r="I155" s="10">
        <f>+'A) Base RI'!F155</f>
        <v>0</v>
      </c>
      <c r="J155" s="10">
        <f>+'A) Base RI'!G155+'A) Base RI'!H155+'A) Base RI'!I155</f>
        <v>7481807.631134579</v>
      </c>
      <c r="K155" s="10">
        <f>+'A) Base RI'!J155</f>
        <v>903162.14</v>
      </c>
      <c r="L155" s="10">
        <f>+'A) Base RI'!K155</f>
        <v>546212.4</v>
      </c>
      <c r="M155" s="10">
        <f>+'A) Base RI'!L155</f>
        <v>156565.54999999999</v>
      </c>
      <c r="N155" s="10">
        <f>+'A) Base RI'!R155</f>
        <v>18240.03</v>
      </c>
      <c r="O155" s="10">
        <f t="shared" si="13"/>
        <v>1569202.3</v>
      </c>
      <c r="P155" s="10">
        <f>+'A) Base RI'!M155</f>
        <v>1569202.3</v>
      </c>
      <c r="Q155" s="428">
        <f>'A) Base RI'!Z155</f>
        <v>1</v>
      </c>
      <c r="R155" s="420">
        <f t="shared" si="14"/>
        <v>25392636.15113458</v>
      </c>
      <c r="S155" s="410">
        <f>+'A) Base RI'!U155</f>
        <v>55</v>
      </c>
      <c r="T155" s="420">
        <f t="shared" si="15"/>
        <v>23666868.301134579</v>
      </c>
      <c r="U155" s="420">
        <f t="shared" si="16"/>
        <v>461684.29365699238</v>
      </c>
      <c r="V155" s="10">
        <f>+'A) Base RI'!P155</f>
        <v>317865.90000000002</v>
      </c>
      <c r="W155" s="10">
        <f>+'A) Base RI'!Q155</f>
        <v>799728.8</v>
      </c>
      <c r="X155" s="10">
        <f>+'A) Base RI'!S155</f>
        <v>223156.6</v>
      </c>
      <c r="Y155" s="420">
        <f t="shared" si="17"/>
        <v>1340751.3000000003</v>
      </c>
      <c r="Z155" s="10">
        <f>+'A) Base RI'!O155</f>
        <v>621335.85</v>
      </c>
      <c r="AA155" s="10">
        <f>'A) Base RI'!V155</f>
        <v>5684</v>
      </c>
    </row>
    <row r="156" spans="1:27" x14ac:dyDescent="0.25">
      <c r="A156" s="8">
        <f>'A) Base RI'!A156</f>
        <v>5648</v>
      </c>
      <c r="B156" s="32" t="str">
        <f>'A) Base RI'!B156</f>
        <v>Saint-Sulpice</v>
      </c>
      <c r="C156" s="10">
        <f>'A) Base RI'!C156+'A) Base RI'!D156</f>
        <v>16700000</v>
      </c>
      <c r="D156" s="10">
        <f>'A) Base RI'!W156</f>
        <v>-70000</v>
      </c>
      <c r="E156" s="406">
        <f>'A) Base RI'!X156</f>
        <v>0</v>
      </c>
      <c r="F156" s="406">
        <f>'A) Base RI'!Y156</f>
        <v>0</v>
      </c>
      <c r="G156" s="420">
        <f t="shared" si="12"/>
        <v>16630000</v>
      </c>
      <c r="H156" s="10">
        <f>+'A) Base RI'!E156</f>
        <v>0</v>
      </c>
      <c r="I156" s="10">
        <f>+'A) Base RI'!F156</f>
        <v>0</v>
      </c>
      <c r="J156" s="10">
        <f>+'A) Base RI'!G156+'A) Base RI'!H156+'A) Base RI'!I156</f>
        <v>664120.86829711439</v>
      </c>
      <c r="K156" s="10">
        <f>+'A) Base RI'!J156</f>
        <v>450000</v>
      </c>
      <c r="L156" s="10">
        <f>+'A) Base RI'!K156</f>
        <v>600000</v>
      </c>
      <c r="M156" s="10">
        <f>+'A) Base RI'!L156</f>
        <v>80000</v>
      </c>
      <c r="N156" s="10">
        <f>+'A) Base RI'!R156</f>
        <v>0</v>
      </c>
      <c r="O156" s="10">
        <f t="shared" si="13"/>
        <v>1375000</v>
      </c>
      <c r="P156" s="10">
        <f>+'A) Base RI'!M156</f>
        <v>1100000</v>
      </c>
      <c r="Q156" s="428">
        <f>'A) Base RI'!Z156</f>
        <v>0.8</v>
      </c>
      <c r="R156" s="420">
        <f t="shared" si="14"/>
        <v>19799120.868297115</v>
      </c>
      <c r="S156" s="410">
        <f>+'A) Base RI'!U156</f>
        <v>55</v>
      </c>
      <c r="T156" s="420">
        <f t="shared" si="15"/>
        <v>18344120.868297115</v>
      </c>
      <c r="U156" s="420">
        <f t="shared" si="16"/>
        <v>359984.01578722027</v>
      </c>
      <c r="V156" s="10">
        <f>+'A) Base RI'!P156</f>
        <v>600000</v>
      </c>
      <c r="W156" s="10">
        <f>+'A) Base RI'!Q156</f>
        <v>1200000</v>
      </c>
      <c r="X156" s="10">
        <f>+'A) Base RI'!S156</f>
        <v>700000</v>
      </c>
      <c r="Y156" s="420">
        <f t="shared" si="17"/>
        <v>2500000</v>
      </c>
      <c r="Z156" s="10">
        <f>+'A) Base RI'!O156</f>
        <v>60000</v>
      </c>
      <c r="AA156" s="10">
        <f>'A) Base RI'!V156</f>
        <v>4669</v>
      </c>
    </row>
    <row r="157" spans="1:27" x14ac:dyDescent="0.25">
      <c r="A157" s="8">
        <f>'A) Base RI'!A157</f>
        <v>5649</v>
      </c>
      <c r="B157" s="32" t="str">
        <f>'A) Base RI'!B157</f>
        <v>Tolochenaz</v>
      </c>
      <c r="C157" s="10">
        <f>'A) Base RI'!C157+'A) Base RI'!D157</f>
        <v>4200937.1399999997</v>
      </c>
      <c r="D157" s="10">
        <f>'A) Base RI'!W157</f>
        <v>-71064.91</v>
      </c>
      <c r="E157" s="406">
        <f>'A) Base RI'!X157</f>
        <v>0</v>
      </c>
      <c r="F157" s="406">
        <f>'A) Base RI'!Y157</f>
        <v>-1186.93</v>
      </c>
      <c r="G157" s="420">
        <f t="shared" si="12"/>
        <v>4128685.2999999993</v>
      </c>
      <c r="H157" s="10">
        <f>+'A) Base RI'!E157</f>
        <v>0</v>
      </c>
      <c r="I157" s="10">
        <f>+'A) Base RI'!F157</f>
        <v>0</v>
      </c>
      <c r="J157" s="10">
        <f>+'A) Base RI'!G157+'A) Base RI'!H157+'A) Base RI'!I157</f>
        <v>2056747.2141161535</v>
      </c>
      <c r="K157" s="10">
        <f>+'A) Base RI'!J157</f>
        <v>116030.65</v>
      </c>
      <c r="L157" s="10">
        <f>+'A) Base RI'!K157</f>
        <v>495024.2</v>
      </c>
      <c r="M157" s="10">
        <f>+'A) Base RI'!L157</f>
        <v>56402.1</v>
      </c>
      <c r="N157" s="10">
        <f>+'A) Base RI'!R157</f>
        <v>11994.64</v>
      </c>
      <c r="O157" s="10">
        <f t="shared" si="13"/>
        <v>545028.69999999995</v>
      </c>
      <c r="P157" s="10">
        <f>+'A) Base RI'!M157</f>
        <v>545028.69999999995</v>
      </c>
      <c r="Q157" s="428">
        <f>'A) Base RI'!Z157</f>
        <v>1</v>
      </c>
      <c r="R157" s="420">
        <f t="shared" si="14"/>
        <v>7409912.8041161532</v>
      </c>
      <c r="S157" s="410">
        <f>+'A) Base RI'!U157</f>
        <v>65</v>
      </c>
      <c r="T157" s="420">
        <f t="shared" si="15"/>
        <v>6808482.0041161533</v>
      </c>
      <c r="U157" s="420">
        <f t="shared" si="16"/>
        <v>113998.65852486389</v>
      </c>
      <c r="V157" s="10">
        <f>+'A) Base RI'!P157</f>
        <v>26312.1</v>
      </c>
      <c r="W157" s="10">
        <f>+'A) Base RI'!Q157</f>
        <v>52481</v>
      </c>
      <c r="X157" s="10">
        <f>+'A) Base RI'!S157</f>
        <v>59017.55</v>
      </c>
      <c r="Y157" s="420">
        <f t="shared" si="17"/>
        <v>137810.65000000002</v>
      </c>
      <c r="Z157" s="10">
        <f>+'A) Base RI'!O157</f>
        <v>294828.34999999998</v>
      </c>
      <c r="AA157" s="10">
        <f>'A) Base RI'!V157</f>
        <v>1933</v>
      </c>
    </row>
    <row r="158" spans="1:27" x14ac:dyDescent="0.25">
      <c r="A158" s="8">
        <f>'A) Base RI'!A158</f>
        <v>5650</v>
      </c>
      <c r="B158" s="32" t="str">
        <f>'A) Base RI'!B158</f>
        <v>Vaux-sur-Morges</v>
      </c>
      <c r="C158" s="10">
        <f>'A) Base RI'!C158+'A) Base RI'!D158</f>
        <v>10322884.359999999</v>
      </c>
      <c r="D158" s="10">
        <f>'A) Base RI'!W158</f>
        <v>-8.42</v>
      </c>
      <c r="E158" s="406">
        <f>'A) Base RI'!X158</f>
        <v>0</v>
      </c>
      <c r="F158" s="406">
        <f>'A) Base RI'!Y158</f>
        <v>0</v>
      </c>
      <c r="G158" s="420">
        <f t="shared" si="12"/>
        <v>10322875.939999999</v>
      </c>
      <c r="H158" s="10">
        <f>+'A) Base RI'!E158</f>
        <v>0</v>
      </c>
      <c r="I158" s="10">
        <f>+'A) Base RI'!F158</f>
        <v>0</v>
      </c>
      <c r="J158" s="10">
        <f>+'A) Base RI'!G158+'A) Base RI'!H158+'A) Base RI'!I158</f>
        <v>629.01481627035321</v>
      </c>
      <c r="K158" s="10">
        <f>+'A) Base RI'!J158</f>
        <v>0</v>
      </c>
      <c r="L158" s="10">
        <f>+'A) Base RI'!K158</f>
        <v>-1889.68</v>
      </c>
      <c r="M158" s="10">
        <f>+'A) Base RI'!L158</f>
        <v>0</v>
      </c>
      <c r="N158" s="10">
        <f>+'A) Base RI'!R158</f>
        <v>0</v>
      </c>
      <c r="O158" s="10">
        <f t="shared" si="13"/>
        <v>44226.96</v>
      </c>
      <c r="P158" s="10">
        <f>+'A) Base RI'!M158</f>
        <v>55283.7</v>
      </c>
      <c r="Q158" s="428">
        <f>'A) Base RI'!Z158</f>
        <v>1.25</v>
      </c>
      <c r="R158" s="420">
        <f t="shared" si="14"/>
        <v>10365842.234816272</v>
      </c>
      <c r="S158" s="410">
        <f>+'A) Base RI'!U158</f>
        <v>56</v>
      </c>
      <c r="T158" s="420">
        <f t="shared" si="15"/>
        <v>10321615.274816271</v>
      </c>
      <c r="U158" s="420">
        <f t="shared" si="16"/>
        <v>185104.32562171915</v>
      </c>
      <c r="V158" s="10">
        <f>+'A) Base RI'!P158</f>
        <v>0</v>
      </c>
      <c r="W158" s="10">
        <f>+'A) Base RI'!Q158</f>
        <v>0</v>
      </c>
      <c r="X158" s="10">
        <f>+'A) Base RI'!S158</f>
        <v>0</v>
      </c>
      <c r="Y158" s="420">
        <f t="shared" si="17"/>
        <v>0</v>
      </c>
      <c r="Z158" s="10">
        <f>+'A) Base RI'!O158</f>
        <v>0</v>
      </c>
      <c r="AA158" s="10">
        <f>'A) Base RI'!V158</f>
        <v>184</v>
      </c>
    </row>
    <row r="159" spans="1:27" x14ac:dyDescent="0.25">
      <c r="A159" s="8">
        <f>'A) Base RI'!A159</f>
        <v>5651</v>
      </c>
      <c r="B159" s="32" t="str">
        <f>'A) Base RI'!B159</f>
        <v>Villars-Sainte-Croix</v>
      </c>
      <c r="C159" s="10">
        <f>'A) Base RI'!C159+'A) Base RI'!D159</f>
        <v>2114561.88</v>
      </c>
      <c r="D159" s="10">
        <f>'A) Base RI'!W159</f>
        <v>-10667.7</v>
      </c>
      <c r="E159" s="406">
        <f>'A) Base RI'!X159</f>
        <v>0</v>
      </c>
      <c r="F159" s="406">
        <f>'A) Base RI'!Y159</f>
        <v>-16582.86</v>
      </c>
      <c r="G159" s="420">
        <f t="shared" si="12"/>
        <v>2087311.3199999996</v>
      </c>
      <c r="H159" s="10">
        <f>+'A) Base RI'!E159</f>
        <v>0</v>
      </c>
      <c r="I159" s="10">
        <f>+'A) Base RI'!F159</f>
        <v>0</v>
      </c>
      <c r="J159" s="10">
        <f>+'A) Base RI'!G159+'A) Base RI'!H159+'A) Base RI'!I159</f>
        <v>500731.06643558503</v>
      </c>
      <c r="K159" s="10">
        <f>+'A) Base RI'!J159</f>
        <v>0</v>
      </c>
      <c r="L159" s="10">
        <f>+'A) Base RI'!K159</f>
        <v>27034.76</v>
      </c>
      <c r="M159" s="10">
        <f>+'A) Base RI'!L159</f>
        <v>29874.55</v>
      </c>
      <c r="N159" s="10">
        <f>+'A) Base RI'!R159</f>
        <v>4337.47</v>
      </c>
      <c r="O159" s="10">
        <f t="shared" si="13"/>
        <v>320004.59999999998</v>
      </c>
      <c r="P159" s="10">
        <f>+'A) Base RI'!M159</f>
        <v>320004.59999999998</v>
      </c>
      <c r="Q159" s="428">
        <f>'A) Base RI'!Z159</f>
        <v>1</v>
      </c>
      <c r="R159" s="420">
        <f t="shared" si="14"/>
        <v>2969293.7664355845</v>
      </c>
      <c r="S159" s="410">
        <f>+'A) Base RI'!U159</f>
        <v>59</v>
      </c>
      <c r="T159" s="420">
        <f t="shared" si="15"/>
        <v>2619414.6164355846</v>
      </c>
      <c r="U159" s="420">
        <f t="shared" si="16"/>
        <v>50327.012990433635</v>
      </c>
      <c r="V159" s="10">
        <f>+'A) Base RI'!P159</f>
        <v>0</v>
      </c>
      <c r="W159" s="10">
        <f>+'A) Base RI'!Q159</f>
        <v>142166.79999999999</v>
      </c>
      <c r="X159" s="10">
        <f>+'A) Base RI'!S159</f>
        <v>17121.8</v>
      </c>
      <c r="Y159" s="420">
        <f t="shared" si="17"/>
        <v>159288.59999999998</v>
      </c>
      <c r="Z159" s="10">
        <f>+'A) Base RI'!O159</f>
        <v>167054.35</v>
      </c>
      <c r="AA159" s="10">
        <f>'A) Base RI'!V159</f>
        <v>963</v>
      </c>
    </row>
    <row r="160" spans="1:27" x14ac:dyDescent="0.25">
      <c r="A160" s="8">
        <f>'A) Base RI'!A160</f>
        <v>5652</v>
      </c>
      <c r="B160" s="32" t="str">
        <f>'A) Base RI'!B160</f>
        <v>Villars-sous-Yens</v>
      </c>
      <c r="C160" s="10">
        <f>'A) Base RI'!C160+'A) Base RI'!D160</f>
        <v>2134251.1399999997</v>
      </c>
      <c r="D160" s="10">
        <f>'A) Base RI'!W160</f>
        <v>-68099.990000000005</v>
      </c>
      <c r="E160" s="406">
        <f>'A) Base RI'!X160</f>
        <v>0</v>
      </c>
      <c r="F160" s="406">
        <f>'A) Base RI'!Y160</f>
        <v>-39.74</v>
      </c>
      <c r="G160" s="420">
        <f t="shared" si="12"/>
        <v>2066111.4099999997</v>
      </c>
      <c r="H160" s="10">
        <f>+'A) Base RI'!E160</f>
        <v>0</v>
      </c>
      <c r="I160" s="10">
        <f>+'A) Base RI'!F160</f>
        <v>0</v>
      </c>
      <c r="J160" s="10">
        <f>+'A) Base RI'!G160+'A) Base RI'!H160+'A) Base RI'!I160</f>
        <v>12469.715422665875</v>
      </c>
      <c r="K160" s="10">
        <f>+'A) Base RI'!J160</f>
        <v>0</v>
      </c>
      <c r="L160" s="10">
        <f>+'A) Base RI'!K160</f>
        <v>66078.8</v>
      </c>
      <c r="M160" s="10">
        <f>+'A) Base RI'!L160</f>
        <v>868.15</v>
      </c>
      <c r="N160" s="10">
        <f>+'A) Base RI'!R160</f>
        <v>60.87</v>
      </c>
      <c r="O160" s="10">
        <f t="shared" si="13"/>
        <v>108977.45833333333</v>
      </c>
      <c r="P160" s="10">
        <f>+'A) Base RI'!M160</f>
        <v>130772.95</v>
      </c>
      <c r="Q160" s="428">
        <f>'A) Base RI'!Z160</f>
        <v>1.2</v>
      </c>
      <c r="R160" s="420">
        <f t="shared" si="14"/>
        <v>2254566.4037559992</v>
      </c>
      <c r="S160" s="410">
        <f>+'A) Base RI'!U160</f>
        <v>76</v>
      </c>
      <c r="T160" s="420">
        <f t="shared" si="15"/>
        <v>2144720.7954226658</v>
      </c>
      <c r="U160" s="420">
        <f t="shared" si="16"/>
        <v>29665.347417842095</v>
      </c>
      <c r="V160" s="10">
        <f>+'A) Base RI'!P160</f>
        <v>816.2</v>
      </c>
      <c r="W160" s="10">
        <f>+'A) Base RI'!Q160</f>
        <v>24764.3</v>
      </c>
      <c r="X160" s="10">
        <f>+'A) Base RI'!S160</f>
        <v>32742.95</v>
      </c>
      <c r="Y160" s="420">
        <f t="shared" si="17"/>
        <v>58323.45</v>
      </c>
      <c r="Z160" s="10">
        <f>+'A) Base RI'!O160</f>
        <v>8597.2999999999993</v>
      </c>
      <c r="AA160" s="10">
        <f>'A) Base RI'!V160</f>
        <v>608</v>
      </c>
    </row>
    <row r="161" spans="1:27" x14ac:dyDescent="0.25">
      <c r="A161" s="8">
        <f>'A) Base RI'!A161</f>
        <v>5653</v>
      </c>
      <c r="B161" s="32" t="str">
        <f>'A) Base RI'!B161</f>
        <v>Vufflens-le-Château</v>
      </c>
      <c r="C161" s="10">
        <f>'A) Base RI'!C161+'A) Base RI'!D161</f>
        <v>2950245.31</v>
      </c>
      <c r="D161" s="10">
        <f>'A) Base RI'!W161</f>
        <v>-10025.14</v>
      </c>
      <c r="E161" s="406">
        <f>'A) Base RI'!X161</f>
        <v>0</v>
      </c>
      <c r="F161" s="406">
        <f>'A) Base RI'!Y161</f>
        <v>-2946.12</v>
      </c>
      <c r="G161" s="420">
        <f t="shared" si="12"/>
        <v>2937274.05</v>
      </c>
      <c r="H161" s="10">
        <f>+'A) Base RI'!E161</f>
        <v>0</v>
      </c>
      <c r="I161" s="10">
        <f>+'A) Base RI'!F161</f>
        <v>0</v>
      </c>
      <c r="J161" s="10">
        <f>+'A) Base RI'!G161+'A) Base RI'!H161+'A) Base RI'!I161</f>
        <v>24212.162602404918</v>
      </c>
      <c r="K161" s="10">
        <f>+'A) Base RI'!J161</f>
        <v>103767.35</v>
      </c>
      <c r="L161" s="10">
        <f>+'A) Base RI'!K161</f>
        <v>77296.36</v>
      </c>
      <c r="M161" s="10">
        <f>+'A) Base RI'!L161</f>
        <v>2768.5</v>
      </c>
      <c r="N161" s="10">
        <f>+'A) Base RI'!R161</f>
        <v>0</v>
      </c>
      <c r="O161" s="10">
        <f t="shared" si="13"/>
        <v>244262</v>
      </c>
      <c r="P161" s="10">
        <f>+'A) Base RI'!M161</f>
        <v>195409.6</v>
      </c>
      <c r="Q161" s="428">
        <f>'A) Base RI'!Z161</f>
        <v>0.8</v>
      </c>
      <c r="R161" s="420">
        <f t="shared" si="14"/>
        <v>3389580.4226024048</v>
      </c>
      <c r="S161" s="410">
        <f>+'A) Base RI'!U161</f>
        <v>55</v>
      </c>
      <c r="T161" s="420">
        <f t="shared" si="15"/>
        <v>3142549.9226024048</v>
      </c>
      <c r="U161" s="420">
        <f t="shared" si="16"/>
        <v>61628.734956407359</v>
      </c>
      <c r="V161" s="10">
        <f>+'A) Base RI'!P161</f>
        <v>0</v>
      </c>
      <c r="W161" s="10">
        <f>+'A) Base RI'!Q161</f>
        <v>144280.29999999999</v>
      </c>
      <c r="X161" s="10">
        <f>+'A) Base RI'!S161</f>
        <v>121925.7</v>
      </c>
      <c r="Y161" s="420">
        <f t="shared" si="17"/>
        <v>266206</v>
      </c>
      <c r="Z161" s="10">
        <f>+'A) Base RI'!O161</f>
        <v>2139.1999999999998</v>
      </c>
      <c r="AA161" s="10">
        <f>'A) Base RI'!V161</f>
        <v>886</v>
      </c>
    </row>
    <row r="162" spans="1:27" x14ac:dyDescent="0.25">
      <c r="A162" s="8">
        <f>'A) Base RI'!A162</f>
        <v>5654</v>
      </c>
      <c r="B162" s="32" t="str">
        <f>'A) Base RI'!B162</f>
        <v>Vullierens</v>
      </c>
      <c r="C162" s="10">
        <f>'A) Base RI'!C162+'A) Base RI'!D162</f>
        <v>1345632.38</v>
      </c>
      <c r="D162" s="10">
        <f>'A) Base RI'!W162</f>
        <v>-37676.75</v>
      </c>
      <c r="E162" s="406">
        <f>'A) Base RI'!X162</f>
        <v>0</v>
      </c>
      <c r="F162" s="406">
        <f>'A) Base RI'!Y162</f>
        <v>-589.20000000000005</v>
      </c>
      <c r="G162" s="420">
        <f t="shared" si="12"/>
        <v>1307366.43</v>
      </c>
      <c r="H162" s="10">
        <f>+'A) Base RI'!E162</f>
        <v>0</v>
      </c>
      <c r="I162" s="10">
        <f>+'A) Base RI'!F162</f>
        <v>0</v>
      </c>
      <c r="J162" s="10">
        <f>+'A) Base RI'!G162+'A) Base RI'!H162+'A) Base RI'!I162</f>
        <v>14305.422172870734</v>
      </c>
      <c r="K162" s="10">
        <f>+'A) Base RI'!J162</f>
        <v>0</v>
      </c>
      <c r="L162" s="10">
        <f>+'A) Base RI'!K162</f>
        <v>36411.07</v>
      </c>
      <c r="M162" s="10">
        <f>+'A) Base RI'!L162</f>
        <v>1512.45</v>
      </c>
      <c r="N162" s="10">
        <f>+'A) Base RI'!R162</f>
        <v>738</v>
      </c>
      <c r="O162" s="10">
        <f t="shared" si="13"/>
        <v>94882.35</v>
      </c>
      <c r="P162" s="10">
        <f>+'A) Base RI'!M162</f>
        <v>94882.35</v>
      </c>
      <c r="Q162" s="428">
        <f>'A) Base RI'!Z162</f>
        <v>1</v>
      </c>
      <c r="R162" s="420">
        <f t="shared" si="14"/>
        <v>1455215.7221728708</v>
      </c>
      <c r="S162" s="410">
        <f>+'A) Base RI'!U162</f>
        <v>76</v>
      </c>
      <c r="T162" s="420">
        <f t="shared" si="15"/>
        <v>1358820.9221728707</v>
      </c>
      <c r="U162" s="420">
        <f t="shared" si="16"/>
        <v>19147.575291748301</v>
      </c>
      <c r="V162" s="10">
        <f>+'A) Base RI'!P162</f>
        <v>0</v>
      </c>
      <c r="W162" s="10">
        <f>+'A) Base RI'!Q162</f>
        <v>65928.7</v>
      </c>
      <c r="X162" s="10">
        <f>+'A) Base RI'!S162</f>
        <v>44768.5</v>
      </c>
      <c r="Y162" s="420">
        <f t="shared" si="17"/>
        <v>110697.2</v>
      </c>
      <c r="Z162" s="10">
        <f>+'A) Base RI'!O162</f>
        <v>5126</v>
      </c>
      <c r="AA162" s="10">
        <f>'A) Base RI'!V162</f>
        <v>507</v>
      </c>
    </row>
    <row r="163" spans="1:27" x14ac:dyDescent="0.25">
      <c r="A163" s="8">
        <f>'A) Base RI'!A163</f>
        <v>5655</v>
      </c>
      <c r="B163" s="32" t="str">
        <f>'A) Base RI'!B163</f>
        <v>Yens</v>
      </c>
      <c r="C163" s="10">
        <f>'A) Base RI'!C163+'A) Base RI'!D163</f>
        <v>5431532.8799999999</v>
      </c>
      <c r="D163" s="10">
        <f>'A) Base RI'!W163</f>
        <v>-31610.5</v>
      </c>
      <c r="E163" s="406">
        <f>'A) Base RI'!X163</f>
        <v>0</v>
      </c>
      <c r="F163" s="406">
        <f>'A) Base RI'!Y163</f>
        <v>-1093.7</v>
      </c>
      <c r="G163" s="420">
        <f t="shared" si="12"/>
        <v>5398828.6799999997</v>
      </c>
      <c r="H163" s="10">
        <f>+'A) Base RI'!E163</f>
        <v>0</v>
      </c>
      <c r="I163" s="10">
        <f>+'A) Base RI'!F163</f>
        <v>0</v>
      </c>
      <c r="J163" s="10">
        <f>+'A) Base RI'!G163+'A) Base RI'!H163+'A) Base RI'!I163</f>
        <v>103797.5401357251</v>
      </c>
      <c r="K163" s="10">
        <f>+'A) Base RI'!J163</f>
        <v>208884.39</v>
      </c>
      <c r="L163" s="10">
        <f>+'A) Base RI'!K163</f>
        <v>157764.98000000001</v>
      </c>
      <c r="M163" s="10">
        <f>+'A) Base RI'!L163</f>
        <v>7769.55</v>
      </c>
      <c r="N163" s="10">
        <f>+'A) Base RI'!R163</f>
        <v>0</v>
      </c>
      <c r="O163" s="10">
        <f t="shared" si="13"/>
        <v>408069.3</v>
      </c>
      <c r="P163" s="10">
        <f>+'A) Base RI'!M163</f>
        <v>408069.3</v>
      </c>
      <c r="Q163" s="428">
        <f>'A) Base RI'!Z163</f>
        <v>1</v>
      </c>
      <c r="R163" s="420">
        <f t="shared" si="14"/>
        <v>6285114.4401357248</v>
      </c>
      <c r="S163" s="410">
        <f>+'A) Base RI'!U163</f>
        <v>73</v>
      </c>
      <c r="T163" s="420">
        <f t="shared" si="15"/>
        <v>5869275.5901357252</v>
      </c>
      <c r="U163" s="420">
        <f t="shared" si="16"/>
        <v>86097.458084051032</v>
      </c>
      <c r="V163" s="10">
        <f>+'A) Base RI'!P163</f>
        <v>1993.1</v>
      </c>
      <c r="W163" s="10">
        <f>+'A) Base RI'!Q163</f>
        <v>224493.25</v>
      </c>
      <c r="X163" s="10">
        <f>+'A) Base RI'!S163</f>
        <v>25253.25</v>
      </c>
      <c r="Y163" s="420">
        <f t="shared" si="17"/>
        <v>251739.6</v>
      </c>
      <c r="Z163" s="10">
        <f>+'A) Base RI'!O163</f>
        <v>70006.649999999994</v>
      </c>
      <c r="AA163" s="10">
        <f>'A) Base RI'!V163</f>
        <v>1429</v>
      </c>
    </row>
    <row r="164" spans="1:27" x14ac:dyDescent="0.25">
      <c r="A164" s="8">
        <f>'A) Base RI'!A164</f>
        <v>5661</v>
      </c>
      <c r="B164" s="32" t="str">
        <f>'A) Base RI'!B164</f>
        <v>Boulens</v>
      </c>
      <c r="C164" s="10">
        <f>'A) Base RI'!C164+'A) Base RI'!D164</f>
        <v>740615.81</v>
      </c>
      <c r="D164" s="10">
        <f>'A) Base RI'!W164</f>
        <v>-12.77</v>
      </c>
      <c r="E164" s="406">
        <f>'A) Base RI'!X164</f>
        <v>0</v>
      </c>
      <c r="F164" s="406">
        <f>'A) Base RI'!Y164</f>
        <v>0</v>
      </c>
      <c r="G164" s="420">
        <f t="shared" si="12"/>
        <v>740603.04</v>
      </c>
      <c r="H164" s="10">
        <f>+'A) Base RI'!E164</f>
        <v>0</v>
      </c>
      <c r="I164" s="10">
        <f>+'A) Base RI'!F164</f>
        <v>1620</v>
      </c>
      <c r="J164" s="10">
        <f>+'A) Base RI'!G164+'A) Base RI'!H164+'A) Base RI'!I164</f>
        <v>9218.0148064738696</v>
      </c>
      <c r="K164" s="10">
        <f>+'A) Base RI'!J164</f>
        <v>0</v>
      </c>
      <c r="L164" s="10">
        <f>+'A) Base RI'!K164</f>
        <v>7790.62</v>
      </c>
      <c r="M164" s="10">
        <f>+'A) Base RI'!L164</f>
        <v>425</v>
      </c>
      <c r="N164" s="10">
        <f>+'A) Base RI'!R164</f>
        <v>0</v>
      </c>
      <c r="O164" s="10">
        <f t="shared" si="13"/>
        <v>49469</v>
      </c>
      <c r="P164" s="10">
        <f>+'A) Base RI'!M164</f>
        <v>49469</v>
      </c>
      <c r="Q164" s="428">
        <f>'A) Base RI'!Z164</f>
        <v>1</v>
      </c>
      <c r="R164" s="420">
        <f t="shared" si="14"/>
        <v>809125.67480647389</v>
      </c>
      <c r="S164" s="410">
        <f>+'A) Base RI'!U164</f>
        <v>79</v>
      </c>
      <c r="T164" s="420">
        <f t="shared" si="15"/>
        <v>757611.67480647389</v>
      </c>
      <c r="U164" s="420">
        <f t="shared" si="16"/>
        <v>10242.097149449037</v>
      </c>
      <c r="V164" s="10">
        <f>+'A) Base RI'!P164</f>
        <v>429</v>
      </c>
      <c r="W164" s="10">
        <f>+'A) Base RI'!Q164</f>
        <v>10428</v>
      </c>
      <c r="X164" s="10">
        <f>+'A) Base RI'!S164</f>
        <v>7558.2</v>
      </c>
      <c r="Y164" s="420">
        <f t="shared" si="17"/>
        <v>18415.2</v>
      </c>
      <c r="Z164" s="10">
        <f>+'A) Base RI'!O164</f>
        <v>18523.2</v>
      </c>
      <c r="AA164" s="10">
        <f>'A) Base RI'!V164</f>
        <v>384</v>
      </c>
    </row>
    <row r="165" spans="1:27" x14ac:dyDescent="0.25">
      <c r="A165" s="8">
        <f>'A) Base RI'!A165</f>
        <v>5663</v>
      </c>
      <c r="B165" s="32" t="str">
        <f>'A) Base RI'!B165</f>
        <v>Bussy-sur-Moudon</v>
      </c>
      <c r="C165" s="10">
        <f>'A) Base RI'!C165+'A) Base RI'!D165</f>
        <v>395197.22000000003</v>
      </c>
      <c r="D165" s="10">
        <f>'A) Base RI'!W165</f>
        <v>-14636.42</v>
      </c>
      <c r="E165" s="406">
        <f>'A) Base RI'!X165</f>
        <v>0</v>
      </c>
      <c r="F165" s="406">
        <f>'A) Base RI'!Y165</f>
        <v>0</v>
      </c>
      <c r="G165" s="420">
        <f t="shared" si="12"/>
        <v>380560.80000000005</v>
      </c>
      <c r="H165" s="10">
        <f>+'A) Base RI'!E165</f>
        <v>0</v>
      </c>
      <c r="I165" s="10">
        <f>+'A) Base RI'!F165</f>
        <v>1300</v>
      </c>
      <c r="J165" s="10">
        <f>+'A) Base RI'!G165+'A) Base RI'!H165+'A) Base RI'!I165</f>
        <v>3331.0315100529274</v>
      </c>
      <c r="K165" s="10">
        <f>+'A) Base RI'!J165</f>
        <v>0</v>
      </c>
      <c r="L165" s="10">
        <f>+'A) Base RI'!K165</f>
        <v>1127.6400000000001</v>
      </c>
      <c r="M165" s="10">
        <f>+'A) Base RI'!L165</f>
        <v>-973.85</v>
      </c>
      <c r="N165" s="10">
        <f>+'A) Base RI'!R165</f>
        <v>6270.7</v>
      </c>
      <c r="O165" s="10">
        <f t="shared" si="13"/>
        <v>30432.3</v>
      </c>
      <c r="P165" s="10">
        <f>+'A) Base RI'!M165</f>
        <v>30432.3</v>
      </c>
      <c r="Q165" s="428">
        <f>'A) Base RI'!Z165</f>
        <v>1</v>
      </c>
      <c r="R165" s="420">
        <f t="shared" si="14"/>
        <v>422048.621510053</v>
      </c>
      <c r="S165" s="410">
        <f>+'A) Base RI'!U165</f>
        <v>80</v>
      </c>
      <c r="T165" s="420">
        <f t="shared" si="15"/>
        <v>391290.17151005298</v>
      </c>
      <c r="U165" s="420">
        <f t="shared" si="16"/>
        <v>5275.6077688756623</v>
      </c>
      <c r="V165" s="10">
        <f>+'A) Base RI'!P165</f>
        <v>0</v>
      </c>
      <c r="W165" s="10">
        <f>+'A) Base RI'!Q165</f>
        <v>10483</v>
      </c>
      <c r="X165" s="10">
        <f>+'A) Base RI'!S165</f>
        <v>4025</v>
      </c>
      <c r="Y165" s="420">
        <f t="shared" si="17"/>
        <v>14508</v>
      </c>
      <c r="Z165" s="10">
        <f>+'A) Base RI'!O165</f>
        <v>0</v>
      </c>
      <c r="AA165" s="10">
        <f>'A) Base RI'!V165</f>
        <v>214</v>
      </c>
    </row>
    <row r="166" spans="1:27" x14ac:dyDescent="0.25">
      <c r="A166" s="8">
        <f>'A) Base RI'!A166</f>
        <v>5665</v>
      </c>
      <c r="B166" s="32" t="str">
        <f>'A) Base RI'!B166</f>
        <v>Chavannes-sur-Moudon</v>
      </c>
      <c r="C166" s="10">
        <f>'A) Base RI'!C166+'A) Base RI'!D166</f>
        <v>310609.13</v>
      </c>
      <c r="D166" s="10">
        <f>'A) Base RI'!W166</f>
        <v>-1254.1099999999999</v>
      </c>
      <c r="E166" s="406">
        <f>'A) Base RI'!X166</f>
        <v>0</v>
      </c>
      <c r="F166" s="406">
        <f>'A) Base RI'!Y166</f>
        <v>0</v>
      </c>
      <c r="G166" s="420">
        <f t="shared" si="12"/>
        <v>309355.02</v>
      </c>
      <c r="H166" s="10">
        <f>+'A) Base RI'!E166</f>
        <v>0</v>
      </c>
      <c r="I166" s="10">
        <f>+'A) Base RI'!F166</f>
        <v>0</v>
      </c>
      <c r="J166" s="10">
        <f>+'A) Base RI'!G166+'A) Base RI'!H166+'A) Base RI'!I166</f>
        <v>1003.9378963960833</v>
      </c>
      <c r="K166" s="10">
        <f>+'A) Base RI'!J166</f>
        <v>0</v>
      </c>
      <c r="L166" s="10">
        <f>+'A) Base RI'!K166</f>
        <v>1692.47</v>
      </c>
      <c r="M166" s="10">
        <f>+'A) Base RI'!L166</f>
        <v>4.5</v>
      </c>
      <c r="N166" s="10">
        <f>+'A) Base RI'!R166</f>
        <v>0</v>
      </c>
      <c r="O166" s="10">
        <f t="shared" si="13"/>
        <v>24273.8</v>
      </c>
      <c r="P166" s="10">
        <f>+'A) Base RI'!M166</f>
        <v>24273.8</v>
      </c>
      <c r="Q166" s="428">
        <f>'A) Base RI'!Z166</f>
        <v>1</v>
      </c>
      <c r="R166" s="420">
        <f t="shared" si="14"/>
        <v>336329.72789639607</v>
      </c>
      <c r="S166" s="410">
        <f>+'A) Base RI'!U166</f>
        <v>73</v>
      </c>
      <c r="T166" s="420">
        <f t="shared" si="15"/>
        <v>312051.42789639608</v>
      </c>
      <c r="U166" s="420">
        <f t="shared" si="16"/>
        <v>4607.2565465259731</v>
      </c>
      <c r="V166" s="10">
        <f>+'A) Base RI'!P166</f>
        <v>0</v>
      </c>
      <c r="W166" s="10">
        <f>+'A) Base RI'!Q166</f>
        <v>6221.35</v>
      </c>
      <c r="X166" s="10">
        <f>+'A) Base RI'!S166</f>
        <v>13002.65</v>
      </c>
      <c r="Y166" s="420">
        <f t="shared" si="17"/>
        <v>19224</v>
      </c>
      <c r="Z166" s="10">
        <f>+'A) Base RI'!O166</f>
        <v>0</v>
      </c>
      <c r="AA166" s="10">
        <f>'A) Base RI'!V166</f>
        <v>216</v>
      </c>
    </row>
    <row r="167" spans="1:27" x14ac:dyDescent="0.25">
      <c r="A167" s="8">
        <f>'A) Base RI'!A167</f>
        <v>5669</v>
      </c>
      <c r="B167" s="32" t="str">
        <f>'A) Base RI'!B167</f>
        <v>Curtilles</v>
      </c>
      <c r="C167" s="10">
        <f>'A) Base RI'!C167+'A) Base RI'!D167</f>
        <v>577625.77</v>
      </c>
      <c r="D167" s="10">
        <f>'A) Base RI'!W167</f>
        <v>-59676.66</v>
      </c>
      <c r="E167" s="406">
        <f>'A) Base RI'!X167</f>
        <v>0</v>
      </c>
      <c r="F167" s="406">
        <f>'A) Base RI'!Y167</f>
        <v>-105.71</v>
      </c>
      <c r="G167" s="420">
        <f t="shared" si="12"/>
        <v>517843.39999999997</v>
      </c>
      <c r="H167" s="10">
        <f>+'A) Base RI'!E167</f>
        <v>0</v>
      </c>
      <c r="I167" s="10">
        <f>+'A) Base RI'!F167</f>
        <v>0</v>
      </c>
      <c r="J167" s="10">
        <f>+'A) Base RI'!G167+'A) Base RI'!H167+'A) Base RI'!I167</f>
        <v>6375.359302668604</v>
      </c>
      <c r="K167" s="10">
        <f>+'A) Base RI'!J167</f>
        <v>0</v>
      </c>
      <c r="L167" s="10">
        <f>+'A) Base RI'!K167</f>
        <v>8592.17</v>
      </c>
      <c r="M167" s="10">
        <f>+'A) Base RI'!L167</f>
        <v>356.7</v>
      </c>
      <c r="N167" s="10">
        <f>+'A) Base RI'!R167</f>
        <v>0</v>
      </c>
      <c r="O167" s="10">
        <f t="shared" si="13"/>
        <v>46619.7</v>
      </c>
      <c r="P167" s="10">
        <f>+'A) Base RI'!M167</f>
        <v>23309.85</v>
      </c>
      <c r="Q167" s="428">
        <f>'A) Base RI'!Z167</f>
        <v>0.5</v>
      </c>
      <c r="R167" s="420">
        <f t="shared" si="14"/>
        <v>579787.32930266846</v>
      </c>
      <c r="S167" s="410">
        <f>+'A) Base RI'!U167</f>
        <v>75</v>
      </c>
      <c r="T167" s="420">
        <f t="shared" si="15"/>
        <v>532810.92930266855</v>
      </c>
      <c r="U167" s="420">
        <f t="shared" si="16"/>
        <v>7730.4977240355793</v>
      </c>
      <c r="V167" s="10">
        <f>+'A) Base RI'!P167</f>
        <v>378.65</v>
      </c>
      <c r="W167" s="10">
        <f>+'A) Base RI'!Q167</f>
        <v>9425.35</v>
      </c>
      <c r="X167" s="10">
        <f>+'A) Base RI'!S167</f>
        <v>12428.25</v>
      </c>
      <c r="Y167" s="420">
        <f t="shared" si="17"/>
        <v>22232.25</v>
      </c>
      <c r="Z167" s="10">
        <f>+'A) Base RI'!O167</f>
        <v>0</v>
      </c>
      <c r="AA167" s="10">
        <f>'A) Base RI'!V167</f>
        <v>313</v>
      </c>
    </row>
    <row r="168" spans="1:27" x14ac:dyDescent="0.25">
      <c r="A168" s="8">
        <f>'A) Base RI'!A168</f>
        <v>5671</v>
      </c>
      <c r="B168" s="32" t="str">
        <f>'A) Base RI'!B168</f>
        <v>Dompierre</v>
      </c>
      <c r="C168" s="10">
        <f>'A) Base RI'!C168+'A) Base RI'!D168</f>
        <v>469133.01</v>
      </c>
      <c r="D168" s="10">
        <f>'A) Base RI'!W168</f>
        <v>-13256.45</v>
      </c>
      <c r="E168" s="406">
        <f>'A) Base RI'!X168</f>
        <v>0</v>
      </c>
      <c r="F168" s="406">
        <f>'A) Base RI'!Y168</f>
        <v>-6.07</v>
      </c>
      <c r="G168" s="420">
        <f t="shared" si="12"/>
        <v>455870.49</v>
      </c>
      <c r="H168" s="10">
        <f>+'A) Base RI'!E168</f>
        <v>0</v>
      </c>
      <c r="I168" s="10">
        <f>+'A) Base RI'!F168</f>
        <v>0</v>
      </c>
      <c r="J168" s="10">
        <f>+'A) Base RI'!G168+'A) Base RI'!H168+'A) Base RI'!I168</f>
        <v>5241.5106560420236</v>
      </c>
      <c r="K168" s="10">
        <f>+'A) Base RI'!J168</f>
        <v>0</v>
      </c>
      <c r="L168" s="10">
        <f>+'A) Base RI'!K168</f>
        <v>-5366.18</v>
      </c>
      <c r="M168" s="10">
        <f>+'A) Base RI'!L168</f>
        <v>223.5</v>
      </c>
      <c r="N168" s="10">
        <f>+'A) Base RI'!R168</f>
        <v>0</v>
      </c>
      <c r="O168" s="10">
        <f t="shared" si="13"/>
        <v>32625.200000000001</v>
      </c>
      <c r="P168" s="10">
        <f>+'A) Base RI'!M168</f>
        <v>32625.200000000001</v>
      </c>
      <c r="Q168" s="428">
        <f>'A) Base RI'!Z168</f>
        <v>1</v>
      </c>
      <c r="R168" s="420">
        <f t="shared" si="14"/>
        <v>488594.52065604203</v>
      </c>
      <c r="S168" s="410">
        <f>+'A) Base RI'!U168</f>
        <v>80</v>
      </c>
      <c r="T168" s="420">
        <f t="shared" si="15"/>
        <v>455745.82065604202</v>
      </c>
      <c r="U168" s="420">
        <f t="shared" si="16"/>
        <v>6107.4315082005251</v>
      </c>
      <c r="V168" s="10">
        <f>+'A) Base RI'!P168</f>
        <v>0</v>
      </c>
      <c r="W168" s="10">
        <f>+'A) Base RI'!Q168</f>
        <v>18040</v>
      </c>
      <c r="X168" s="10">
        <f>+'A) Base RI'!S168</f>
        <v>16447.75</v>
      </c>
      <c r="Y168" s="420">
        <f t="shared" si="17"/>
        <v>34487.75</v>
      </c>
      <c r="Z168" s="10">
        <f>+'A) Base RI'!O168</f>
        <v>0</v>
      </c>
      <c r="AA168" s="10">
        <f>'A) Base RI'!V168</f>
        <v>239</v>
      </c>
    </row>
    <row r="169" spans="1:27" x14ac:dyDescent="0.25">
      <c r="A169" s="8">
        <f>'A) Base RI'!A169</f>
        <v>5673</v>
      </c>
      <c r="B169" s="32" t="str">
        <f>'A) Base RI'!B169</f>
        <v>Hermenches</v>
      </c>
      <c r="C169" s="10">
        <f>'A) Base RI'!C169+'A) Base RI'!D169</f>
        <v>656627.96</v>
      </c>
      <c r="D169" s="10">
        <f>'A) Base RI'!W169</f>
        <v>-16807.82</v>
      </c>
      <c r="E169" s="406">
        <f>'A) Base RI'!X169</f>
        <v>0</v>
      </c>
      <c r="F169" s="406">
        <f>'A) Base RI'!Y169</f>
        <v>-15.14</v>
      </c>
      <c r="G169" s="420">
        <f t="shared" si="12"/>
        <v>639805</v>
      </c>
      <c r="H169" s="10">
        <f>+'A) Base RI'!E169</f>
        <v>0</v>
      </c>
      <c r="I169" s="10">
        <f>+'A) Base RI'!F169</f>
        <v>1970</v>
      </c>
      <c r="J169" s="10">
        <f>+'A) Base RI'!G169+'A) Base RI'!H169+'A) Base RI'!I169</f>
        <v>2413.3639199513036</v>
      </c>
      <c r="K169" s="10">
        <f>+'A) Base RI'!J169</f>
        <v>0</v>
      </c>
      <c r="L169" s="10">
        <f>+'A) Base RI'!K169</f>
        <v>6627.11</v>
      </c>
      <c r="M169" s="10">
        <f>+'A) Base RI'!L169</f>
        <v>7.5</v>
      </c>
      <c r="N169" s="10">
        <f>+'A) Base RI'!R169</f>
        <v>-15.97</v>
      </c>
      <c r="O169" s="10">
        <f t="shared" si="13"/>
        <v>44859.000000000007</v>
      </c>
      <c r="P169" s="10">
        <f>+'A) Base RI'!M169</f>
        <v>26915.4</v>
      </c>
      <c r="Q169" s="428">
        <f>'A) Base RI'!Z169</f>
        <v>0.6</v>
      </c>
      <c r="R169" s="420">
        <f t="shared" si="14"/>
        <v>695666.00391995127</v>
      </c>
      <c r="S169" s="410">
        <f>+'A) Base RI'!U169</f>
        <v>75</v>
      </c>
      <c r="T169" s="420">
        <f t="shared" si="15"/>
        <v>648829.50391995127</v>
      </c>
      <c r="U169" s="420">
        <f t="shared" si="16"/>
        <v>9275.5467189326828</v>
      </c>
      <c r="V169" s="10">
        <f>+'A) Base RI'!P169</f>
        <v>0</v>
      </c>
      <c r="W169" s="10">
        <f>+'A) Base RI'!Q169</f>
        <v>6141.7</v>
      </c>
      <c r="X169" s="10">
        <f>+'A) Base RI'!S169</f>
        <v>10295.200000000001</v>
      </c>
      <c r="Y169" s="420">
        <f t="shared" si="17"/>
        <v>16436.900000000001</v>
      </c>
      <c r="Z169" s="10">
        <f>+'A) Base RI'!O169</f>
        <v>15579.35</v>
      </c>
      <c r="AA169" s="10">
        <f>'A) Base RI'!V169</f>
        <v>364</v>
      </c>
    </row>
    <row r="170" spans="1:27" x14ac:dyDescent="0.25">
      <c r="A170" s="8">
        <f>'A) Base RI'!A170</f>
        <v>5674</v>
      </c>
      <c r="B170" s="32" t="str">
        <f>'A) Base RI'!B170</f>
        <v>Lovatens</v>
      </c>
      <c r="C170" s="10">
        <f>'A) Base RI'!C170+'A) Base RI'!D170</f>
        <v>223138.66</v>
      </c>
      <c r="D170" s="10">
        <f>'A) Base RI'!W170</f>
        <v>0</v>
      </c>
      <c r="E170" s="406">
        <f>'A) Base RI'!X170</f>
        <v>0</v>
      </c>
      <c r="F170" s="406">
        <f>'A) Base RI'!Y170</f>
        <v>0</v>
      </c>
      <c r="G170" s="420">
        <f t="shared" si="12"/>
        <v>223138.66</v>
      </c>
      <c r="H170" s="10">
        <f>+'A) Base RI'!E170</f>
        <v>0</v>
      </c>
      <c r="I170" s="10">
        <f>+'A) Base RI'!F170</f>
        <v>0</v>
      </c>
      <c r="J170" s="10">
        <f>+'A) Base RI'!G170+'A) Base RI'!H170+'A) Base RI'!I170</f>
        <v>417.31680190232498</v>
      </c>
      <c r="K170" s="10">
        <f>+'A) Base RI'!J170</f>
        <v>0</v>
      </c>
      <c r="L170" s="10">
        <f>+'A) Base RI'!K170</f>
        <v>3781.64</v>
      </c>
      <c r="M170" s="10">
        <f>+'A) Base RI'!L170</f>
        <v>0</v>
      </c>
      <c r="N170" s="10">
        <f>+'A) Base RI'!R170</f>
        <v>0</v>
      </c>
      <c r="O170" s="10">
        <f t="shared" si="13"/>
        <v>18061.857142857141</v>
      </c>
      <c r="P170" s="10">
        <f>+'A) Base RI'!M170</f>
        <v>12643.3</v>
      </c>
      <c r="Q170" s="428">
        <f>'A) Base RI'!Z170</f>
        <v>0.7</v>
      </c>
      <c r="R170" s="420">
        <f t="shared" si="14"/>
        <v>245399.47394475946</v>
      </c>
      <c r="S170" s="410">
        <f>+'A) Base RI'!U170</f>
        <v>75</v>
      </c>
      <c r="T170" s="420">
        <f t="shared" si="15"/>
        <v>227337.61680190233</v>
      </c>
      <c r="U170" s="420">
        <f t="shared" si="16"/>
        <v>3271.992985930126</v>
      </c>
      <c r="V170" s="10">
        <f>+'A) Base RI'!P170</f>
        <v>0</v>
      </c>
      <c r="W170" s="10">
        <f>+'A) Base RI'!Q170</f>
        <v>4563.5</v>
      </c>
      <c r="X170" s="10">
        <f>+'A) Base RI'!S170</f>
        <v>22561.200000000001</v>
      </c>
      <c r="Y170" s="420">
        <f t="shared" si="17"/>
        <v>27124.7</v>
      </c>
      <c r="Z170" s="10">
        <f>+'A) Base RI'!O170</f>
        <v>0</v>
      </c>
      <c r="AA170" s="10">
        <f>'A) Base RI'!V170</f>
        <v>146</v>
      </c>
    </row>
    <row r="171" spans="1:27" x14ac:dyDescent="0.25">
      <c r="A171" s="8">
        <f>'A) Base RI'!A171</f>
        <v>5675</v>
      </c>
      <c r="B171" s="32" t="str">
        <f>'A) Base RI'!B171</f>
        <v>Lucens</v>
      </c>
      <c r="C171" s="10">
        <f>'A) Base RI'!C171+'A) Base RI'!D171</f>
        <v>5215914.21</v>
      </c>
      <c r="D171" s="10">
        <f>'A) Base RI'!W171</f>
        <v>-224730.28</v>
      </c>
      <c r="E171" s="406">
        <f>'A) Base RI'!X171</f>
        <v>0</v>
      </c>
      <c r="F171" s="406">
        <f>'A) Base RI'!Y171</f>
        <v>-255.21</v>
      </c>
      <c r="G171" s="420">
        <f t="shared" si="12"/>
        <v>4990928.72</v>
      </c>
      <c r="H171" s="10">
        <f>+'A) Base RI'!E171</f>
        <v>0</v>
      </c>
      <c r="I171" s="10">
        <f>+'A) Base RI'!F171</f>
        <v>0</v>
      </c>
      <c r="J171" s="10">
        <f>+'A) Base RI'!G171+'A) Base RI'!H171+'A) Base RI'!I171</f>
        <v>228214.81811017229</v>
      </c>
      <c r="K171" s="10">
        <f>+'A) Base RI'!J171</f>
        <v>0</v>
      </c>
      <c r="L171" s="10">
        <f>+'A) Base RI'!K171</f>
        <v>249906.03</v>
      </c>
      <c r="M171" s="10">
        <f>+'A) Base RI'!L171</f>
        <v>91788</v>
      </c>
      <c r="N171" s="10">
        <f>+'A) Base RI'!R171</f>
        <v>71392.05</v>
      </c>
      <c r="O171" s="10">
        <f t="shared" si="13"/>
        <v>587640.27272727271</v>
      </c>
      <c r="P171" s="10">
        <f>+'A) Base RI'!M171</f>
        <v>646404.30000000005</v>
      </c>
      <c r="Q171" s="428">
        <f>'A) Base RI'!Z171</f>
        <v>1.1000000000000001</v>
      </c>
      <c r="R171" s="420">
        <f t="shared" si="14"/>
        <v>6219869.8908374449</v>
      </c>
      <c r="S171" s="410">
        <f>+'A) Base RI'!U171</f>
        <v>69</v>
      </c>
      <c r="T171" s="420">
        <f t="shared" si="15"/>
        <v>5540441.6181101725</v>
      </c>
      <c r="U171" s="420">
        <f t="shared" si="16"/>
        <v>90143.04189619486</v>
      </c>
      <c r="V171" s="10">
        <f>+'A) Base RI'!P171</f>
        <v>95151</v>
      </c>
      <c r="W171" s="10">
        <f>+'A) Base RI'!Q171</f>
        <v>381022</v>
      </c>
      <c r="X171" s="10">
        <f>+'A) Base RI'!S171</f>
        <v>185937.2</v>
      </c>
      <c r="Y171" s="420">
        <f t="shared" si="17"/>
        <v>662110.19999999995</v>
      </c>
      <c r="Z171" s="10">
        <f>+'A) Base RI'!O171</f>
        <v>47041.05</v>
      </c>
      <c r="AA171" s="10">
        <f>'A) Base RI'!V171</f>
        <v>4199</v>
      </c>
    </row>
    <row r="172" spans="1:27" x14ac:dyDescent="0.25">
      <c r="A172" s="8">
        <f>'A) Base RI'!A172</f>
        <v>5678</v>
      </c>
      <c r="B172" s="32" t="str">
        <f>'A) Base RI'!B172</f>
        <v>Moudon</v>
      </c>
      <c r="C172" s="10">
        <f>'A) Base RI'!C172+'A) Base RI'!D172</f>
        <v>7429646.3899999997</v>
      </c>
      <c r="D172" s="10">
        <f>'A) Base RI'!W172</f>
        <v>-546494.26</v>
      </c>
      <c r="E172" s="406">
        <f>'A) Base RI'!X172</f>
        <v>0</v>
      </c>
      <c r="F172" s="406">
        <f>'A) Base RI'!Y172</f>
        <v>-9668.69</v>
      </c>
      <c r="G172" s="420">
        <f t="shared" si="12"/>
        <v>6873483.4399999995</v>
      </c>
      <c r="H172" s="10">
        <f>+'A) Base RI'!E172</f>
        <v>0</v>
      </c>
      <c r="I172" s="10">
        <f>+'A) Base RI'!F172</f>
        <v>34700</v>
      </c>
      <c r="J172" s="10">
        <f>+'A) Base RI'!G172+'A) Base RI'!H172+'A) Base RI'!I172</f>
        <v>392115.20221044967</v>
      </c>
      <c r="K172" s="10">
        <f>+'A) Base RI'!J172</f>
        <v>0</v>
      </c>
      <c r="L172" s="10">
        <f>+'A) Base RI'!K172</f>
        <v>466488.24</v>
      </c>
      <c r="M172" s="10">
        <f>+'A) Base RI'!L172</f>
        <v>85163.35</v>
      </c>
      <c r="N172" s="10">
        <f>+'A) Base RI'!R172</f>
        <v>49376.74</v>
      </c>
      <c r="O172" s="10">
        <f t="shared" si="13"/>
        <v>780092.75</v>
      </c>
      <c r="P172" s="10">
        <f>+'A) Base RI'!M172</f>
        <v>780092.75</v>
      </c>
      <c r="Q172" s="428">
        <f>'A) Base RI'!Z172</f>
        <v>1</v>
      </c>
      <c r="R172" s="420">
        <f t="shared" si="14"/>
        <v>8681419.7222104482</v>
      </c>
      <c r="S172" s="410">
        <f>+'A) Base RI'!U172</f>
        <v>75</v>
      </c>
      <c r="T172" s="420">
        <f t="shared" si="15"/>
        <v>7781463.6222104495</v>
      </c>
      <c r="U172" s="420">
        <f t="shared" si="16"/>
        <v>115752.26296280598</v>
      </c>
      <c r="V172" s="10">
        <f>+'A) Base RI'!P172</f>
        <v>96300.1</v>
      </c>
      <c r="W172" s="10">
        <f>+'A) Base RI'!Q172</f>
        <v>318163.75</v>
      </c>
      <c r="X172" s="10">
        <f>+'A) Base RI'!S172</f>
        <v>288839.34999999998</v>
      </c>
      <c r="Y172" s="420">
        <f t="shared" si="17"/>
        <v>703303.2</v>
      </c>
      <c r="Z172" s="10">
        <f>+'A) Base RI'!O172</f>
        <v>212792.05</v>
      </c>
      <c r="AA172" s="10">
        <f>'A) Base RI'!V172</f>
        <v>6135</v>
      </c>
    </row>
    <row r="173" spans="1:27" x14ac:dyDescent="0.25">
      <c r="A173" s="8">
        <f>'A) Base RI'!A173</f>
        <v>5680</v>
      </c>
      <c r="B173" s="32" t="str">
        <f>'A) Base RI'!B173</f>
        <v>Ogens</v>
      </c>
      <c r="C173" s="10">
        <f>'A) Base RI'!C173+'A) Base RI'!D173</f>
        <v>456270.77</v>
      </c>
      <c r="D173" s="10">
        <f>'A) Base RI'!W173</f>
        <v>-13661.23</v>
      </c>
      <c r="E173" s="406">
        <f>'A) Base RI'!X173</f>
        <v>0</v>
      </c>
      <c r="F173" s="406">
        <f>'A) Base RI'!Y173</f>
        <v>-2.71</v>
      </c>
      <c r="G173" s="420">
        <f t="shared" si="12"/>
        <v>442606.83</v>
      </c>
      <c r="H173" s="10">
        <f>+'A) Base RI'!E173</f>
        <v>0</v>
      </c>
      <c r="I173" s="10">
        <f>+'A) Base RI'!F173</f>
        <v>0</v>
      </c>
      <c r="J173" s="10">
        <f>+'A) Base RI'!G173+'A) Base RI'!H173+'A) Base RI'!I173</f>
        <v>2214.5848684431676</v>
      </c>
      <c r="K173" s="10">
        <f>+'A) Base RI'!J173</f>
        <v>0</v>
      </c>
      <c r="L173" s="10">
        <f>+'A) Base RI'!K173</f>
        <v>6420.51</v>
      </c>
      <c r="M173" s="10">
        <f>+'A) Base RI'!L173</f>
        <v>55</v>
      </c>
      <c r="N173" s="10">
        <f>+'A) Base RI'!R173</f>
        <v>5522.84</v>
      </c>
      <c r="O173" s="10">
        <f t="shared" si="13"/>
        <v>44337.833333333336</v>
      </c>
      <c r="P173" s="10">
        <f>+'A) Base RI'!M173</f>
        <v>66506.75</v>
      </c>
      <c r="Q173" s="428">
        <f>'A) Base RI'!Z173</f>
        <v>1.5</v>
      </c>
      <c r="R173" s="420">
        <f t="shared" si="14"/>
        <v>501157.59820177651</v>
      </c>
      <c r="S173" s="410">
        <f>+'A) Base RI'!U173</f>
        <v>78</v>
      </c>
      <c r="T173" s="420">
        <f t="shared" si="15"/>
        <v>456764.76486844319</v>
      </c>
      <c r="U173" s="420">
        <f t="shared" si="16"/>
        <v>6425.0974128432881</v>
      </c>
      <c r="V173" s="10">
        <f>+'A) Base RI'!P173</f>
        <v>4795.1000000000004</v>
      </c>
      <c r="W173" s="10">
        <f>+'A) Base RI'!Q173</f>
        <v>30442.5</v>
      </c>
      <c r="X173" s="10">
        <f>+'A) Base RI'!S173</f>
        <v>22609.3</v>
      </c>
      <c r="Y173" s="420">
        <f t="shared" si="17"/>
        <v>57846.899999999994</v>
      </c>
      <c r="Z173" s="10">
        <f>+'A) Base RI'!O173</f>
        <v>0</v>
      </c>
      <c r="AA173" s="10">
        <f>'A) Base RI'!V173</f>
        <v>299</v>
      </c>
    </row>
    <row r="174" spans="1:27" x14ac:dyDescent="0.25">
      <c r="A174" s="8">
        <f>'A) Base RI'!A174</f>
        <v>5683</v>
      </c>
      <c r="B174" s="32" t="str">
        <f>'A) Base RI'!B174</f>
        <v>Prévonloup</v>
      </c>
      <c r="C174" s="10">
        <f>'A) Base RI'!C174+'A) Base RI'!D174</f>
        <v>272723.40000000002</v>
      </c>
      <c r="D174" s="10">
        <f>'A) Base RI'!W174</f>
        <v>-25473.58</v>
      </c>
      <c r="E174" s="406">
        <f>'A) Base RI'!X174</f>
        <v>0</v>
      </c>
      <c r="F174" s="406">
        <f>'A) Base RI'!Y174</f>
        <v>0</v>
      </c>
      <c r="G174" s="420">
        <f t="shared" si="12"/>
        <v>247249.82</v>
      </c>
      <c r="H174" s="10">
        <f>+'A) Base RI'!E174</f>
        <v>0</v>
      </c>
      <c r="I174" s="10">
        <f>+'A) Base RI'!F174</f>
        <v>0</v>
      </c>
      <c r="J174" s="10">
        <f>+'A) Base RI'!G174+'A) Base RI'!H174+'A) Base RI'!I174</f>
        <v>-196.19284796573891</v>
      </c>
      <c r="K174" s="10">
        <f>+'A) Base RI'!J174</f>
        <v>0</v>
      </c>
      <c r="L174" s="10">
        <f>+'A) Base RI'!K174</f>
        <v>3018.02</v>
      </c>
      <c r="M174" s="10">
        <f>+'A) Base RI'!L174</f>
        <v>-19</v>
      </c>
      <c r="N174" s="10">
        <f>+'A) Base RI'!R174</f>
        <v>4035.54</v>
      </c>
      <c r="O174" s="10">
        <f t="shared" si="13"/>
        <v>22654</v>
      </c>
      <c r="P174" s="10">
        <f>+'A) Base RI'!M174</f>
        <v>22654</v>
      </c>
      <c r="Q174" s="428">
        <f>'A) Base RI'!Z174</f>
        <v>1</v>
      </c>
      <c r="R174" s="420">
        <f t="shared" si="14"/>
        <v>276742.18715203425</v>
      </c>
      <c r="S174" s="410">
        <f>+'A) Base RI'!U174</f>
        <v>74</v>
      </c>
      <c r="T174" s="420">
        <f t="shared" si="15"/>
        <v>254107.18715203425</v>
      </c>
      <c r="U174" s="420">
        <f t="shared" si="16"/>
        <v>3739.7592858383009</v>
      </c>
      <c r="V174" s="10">
        <f>+'A) Base RI'!P174</f>
        <v>0</v>
      </c>
      <c r="W174" s="10">
        <f>+'A) Base RI'!Q174</f>
        <v>7700</v>
      </c>
      <c r="X174" s="10">
        <f>+'A) Base RI'!S174</f>
        <v>20711.5</v>
      </c>
      <c r="Y174" s="420">
        <f t="shared" si="17"/>
        <v>28411.5</v>
      </c>
      <c r="Z174" s="10">
        <f>+'A) Base RI'!O174</f>
        <v>0</v>
      </c>
      <c r="AA174" s="10">
        <f>'A) Base RI'!V174</f>
        <v>184</v>
      </c>
    </row>
    <row r="175" spans="1:27" x14ac:dyDescent="0.25">
      <c r="A175" s="8">
        <f>'A) Base RI'!A175</f>
        <v>5684</v>
      </c>
      <c r="B175" s="32" t="str">
        <f>'A) Base RI'!B175</f>
        <v>Rossenges</v>
      </c>
      <c r="C175" s="10">
        <f>'A) Base RI'!C175+'A) Base RI'!D175</f>
        <v>138085.63</v>
      </c>
      <c r="D175" s="10">
        <f>'A) Base RI'!W175</f>
        <v>-10.210000000000001</v>
      </c>
      <c r="E175" s="406">
        <f>'A) Base RI'!X175</f>
        <v>0</v>
      </c>
      <c r="F175" s="406">
        <f>'A) Base RI'!Y175</f>
        <v>-5.67</v>
      </c>
      <c r="G175" s="420">
        <f t="shared" si="12"/>
        <v>138069.75</v>
      </c>
      <c r="H175" s="10">
        <f>+'A) Base RI'!E175</f>
        <v>0</v>
      </c>
      <c r="I175" s="10">
        <f>+'A) Base RI'!F175</f>
        <v>0</v>
      </c>
      <c r="J175" s="10">
        <f>+'A) Base RI'!G175+'A) Base RI'!H175+'A) Base RI'!I175</f>
        <v>565.28368492525328</v>
      </c>
      <c r="K175" s="10">
        <f>+'A) Base RI'!J175</f>
        <v>0</v>
      </c>
      <c r="L175" s="10">
        <f>+'A) Base RI'!K175</f>
        <v>288</v>
      </c>
      <c r="M175" s="10">
        <f>+'A) Base RI'!L175</f>
        <v>0</v>
      </c>
      <c r="N175" s="10">
        <f>+'A) Base RI'!R175</f>
        <v>0</v>
      </c>
      <c r="O175" s="10">
        <f t="shared" si="13"/>
        <v>8077.3749999999991</v>
      </c>
      <c r="P175" s="10">
        <f>+'A) Base RI'!M175</f>
        <v>6461.9</v>
      </c>
      <c r="Q175" s="428">
        <f>'A) Base RI'!Z175</f>
        <v>0.8</v>
      </c>
      <c r="R175" s="420">
        <f t="shared" si="14"/>
        <v>147000.40868492526</v>
      </c>
      <c r="S175" s="410">
        <f>+'A) Base RI'!U175</f>
        <v>75</v>
      </c>
      <c r="T175" s="420">
        <f t="shared" si="15"/>
        <v>138923.03368492526</v>
      </c>
      <c r="U175" s="420">
        <f t="shared" si="16"/>
        <v>1960.0054491323369</v>
      </c>
      <c r="V175" s="10">
        <f>+'A) Base RI'!P175</f>
        <v>0</v>
      </c>
      <c r="W175" s="10">
        <f>+'A) Base RI'!Q175</f>
        <v>0</v>
      </c>
      <c r="X175" s="10">
        <f>+'A) Base RI'!S175</f>
        <v>11921.8</v>
      </c>
      <c r="Y175" s="420">
        <f t="shared" si="17"/>
        <v>11921.8</v>
      </c>
      <c r="Z175" s="10">
        <f>+'A) Base RI'!O175</f>
        <v>0</v>
      </c>
      <c r="AA175" s="10">
        <f>'A) Base RI'!V175</f>
        <v>65</v>
      </c>
    </row>
    <row r="176" spans="1:27" x14ac:dyDescent="0.25">
      <c r="A176" s="8">
        <f>'A) Base RI'!A176</f>
        <v>5688</v>
      </c>
      <c r="B176" s="32" t="str">
        <f>'A) Base RI'!B176</f>
        <v>Syens</v>
      </c>
      <c r="C176" s="10">
        <f>'A) Base RI'!C176+'A) Base RI'!D176</f>
        <v>239960.16</v>
      </c>
      <c r="D176" s="10">
        <f>'A) Base RI'!W176</f>
        <v>-17.32</v>
      </c>
      <c r="E176" s="406">
        <f>'A) Base RI'!X176</f>
        <v>0</v>
      </c>
      <c r="F176" s="406">
        <f>'A) Base RI'!Y176</f>
        <v>0</v>
      </c>
      <c r="G176" s="420">
        <f t="shared" si="12"/>
        <v>239942.84</v>
      </c>
      <c r="H176" s="10">
        <f>+'A) Base RI'!E176</f>
        <v>0</v>
      </c>
      <c r="I176" s="10">
        <f>+'A) Base RI'!F176</f>
        <v>0</v>
      </c>
      <c r="J176" s="10">
        <f>+'A) Base RI'!G176+'A) Base RI'!H176+'A) Base RI'!I176</f>
        <v>17814.490488895157</v>
      </c>
      <c r="K176" s="10">
        <f>+'A) Base RI'!J176</f>
        <v>0</v>
      </c>
      <c r="L176" s="10">
        <f>+'A) Base RI'!K176</f>
        <v>3045.88</v>
      </c>
      <c r="M176" s="10">
        <f>+'A) Base RI'!L176</f>
        <v>105</v>
      </c>
      <c r="N176" s="10">
        <f>+'A) Base RI'!R176</f>
        <v>0</v>
      </c>
      <c r="O176" s="10">
        <f t="shared" si="13"/>
        <v>23844.5</v>
      </c>
      <c r="P176" s="10">
        <f>+'A) Base RI'!M176</f>
        <v>23844.5</v>
      </c>
      <c r="Q176" s="428">
        <f>'A) Base RI'!Z176</f>
        <v>1</v>
      </c>
      <c r="R176" s="420">
        <f t="shared" si="14"/>
        <v>284752.71048889519</v>
      </c>
      <c r="S176" s="410">
        <f>+'A) Base RI'!U176</f>
        <v>75.599999999999994</v>
      </c>
      <c r="T176" s="420">
        <f t="shared" si="15"/>
        <v>260803.21048889516</v>
      </c>
      <c r="U176" s="420">
        <f t="shared" si="16"/>
        <v>3766.5702445621059</v>
      </c>
      <c r="V176" s="10">
        <f>+'A) Base RI'!P176</f>
        <v>0</v>
      </c>
      <c r="W176" s="10">
        <f>+'A) Base RI'!Q176</f>
        <v>20325.55</v>
      </c>
      <c r="X176" s="10">
        <f>+'A) Base RI'!S176</f>
        <v>15067.2</v>
      </c>
      <c r="Y176" s="420">
        <f t="shared" si="17"/>
        <v>35392.75</v>
      </c>
      <c r="Z176" s="10">
        <f>+'A) Base RI'!O176</f>
        <v>0</v>
      </c>
      <c r="AA176" s="10">
        <f>'A) Base RI'!V176</f>
        <v>159</v>
      </c>
    </row>
    <row r="177" spans="1:27" x14ac:dyDescent="0.25">
      <c r="A177" s="8">
        <f>'A) Base RI'!A177</f>
        <v>5690</v>
      </c>
      <c r="B177" s="32" t="str">
        <f>'A) Base RI'!B177</f>
        <v>Villars-le-Comte</v>
      </c>
      <c r="C177" s="10">
        <f>'A) Base RI'!C177+'A) Base RI'!D177</f>
        <v>262762.33</v>
      </c>
      <c r="D177" s="10">
        <f>'A) Base RI'!W177</f>
        <v>-167.45</v>
      </c>
      <c r="E177" s="406">
        <f>'A) Base RI'!X177</f>
        <v>0</v>
      </c>
      <c r="F177" s="406">
        <f>'A) Base RI'!Y177</f>
        <v>0</v>
      </c>
      <c r="G177" s="420">
        <f t="shared" si="12"/>
        <v>262594.88</v>
      </c>
      <c r="H177" s="10">
        <f>+'A) Base RI'!E177</f>
        <v>0</v>
      </c>
      <c r="I177" s="10">
        <f>+'A) Base RI'!F177</f>
        <v>890</v>
      </c>
      <c r="J177" s="10">
        <f>+'A) Base RI'!G177+'A) Base RI'!H177+'A) Base RI'!I177</f>
        <v>993.26234231581122</v>
      </c>
      <c r="K177" s="10">
        <f>+'A) Base RI'!J177</f>
        <v>0</v>
      </c>
      <c r="L177" s="10">
        <f>+'A) Base RI'!K177</f>
        <v>1.57</v>
      </c>
      <c r="M177" s="10">
        <f>+'A) Base RI'!L177</f>
        <v>184.1</v>
      </c>
      <c r="N177" s="10">
        <f>+'A) Base RI'!R177</f>
        <v>0</v>
      </c>
      <c r="O177" s="10">
        <f t="shared" si="13"/>
        <v>20017.291666666668</v>
      </c>
      <c r="P177" s="10">
        <f>+'A) Base RI'!M177</f>
        <v>24020.75</v>
      </c>
      <c r="Q177" s="428">
        <f>'A) Base RI'!Z177</f>
        <v>1.2</v>
      </c>
      <c r="R177" s="420">
        <f t="shared" si="14"/>
        <v>284681.10400898248</v>
      </c>
      <c r="S177" s="410">
        <f>+'A) Base RI'!U177</f>
        <v>70</v>
      </c>
      <c r="T177" s="420">
        <f t="shared" si="15"/>
        <v>263589.71234231582</v>
      </c>
      <c r="U177" s="420">
        <f t="shared" si="16"/>
        <v>4066.8729144140357</v>
      </c>
      <c r="V177" s="10">
        <f>+'A) Base RI'!P177</f>
        <v>0</v>
      </c>
      <c r="W177" s="10">
        <f>+'A) Base RI'!Q177</f>
        <v>7412.25</v>
      </c>
      <c r="X177" s="10">
        <f>+'A) Base RI'!S177</f>
        <v>2814.6</v>
      </c>
      <c r="Y177" s="420">
        <f t="shared" si="17"/>
        <v>10226.85</v>
      </c>
      <c r="Z177" s="10">
        <f>+'A) Base RI'!O177</f>
        <v>0</v>
      </c>
      <c r="AA177" s="10">
        <f>'A) Base RI'!V177</f>
        <v>132</v>
      </c>
    </row>
    <row r="178" spans="1:27" x14ac:dyDescent="0.25">
      <c r="A178" s="8">
        <f>'A) Base RI'!A178</f>
        <v>5692</v>
      </c>
      <c r="B178" s="32" t="str">
        <f>'A) Base RI'!B178</f>
        <v>Vucherens</v>
      </c>
      <c r="C178" s="10">
        <f>'A) Base RI'!C178+'A) Base RI'!D178</f>
        <v>1219809.8</v>
      </c>
      <c r="D178" s="10">
        <f>'A) Base RI'!W178</f>
        <v>-72399.69</v>
      </c>
      <c r="E178" s="406">
        <f>'A) Base RI'!X178</f>
        <v>0</v>
      </c>
      <c r="F178" s="406">
        <f>'A) Base RI'!Y178</f>
        <v>-11.03</v>
      </c>
      <c r="G178" s="420">
        <f t="shared" si="12"/>
        <v>1147399.08</v>
      </c>
      <c r="H178" s="10">
        <f>+'A) Base RI'!E178</f>
        <v>0</v>
      </c>
      <c r="I178" s="10">
        <f>+'A) Base RI'!F178</f>
        <v>0</v>
      </c>
      <c r="J178" s="10">
        <f>+'A) Base RI'!G178+'A) Base RI'!H178+'A) Base RI'!I178</f>
        <v>3894.9349320925867</v>
      </c>
      <c r="K178" s="10">
        <f>+'A) Base RI'!J178</f>
        <v>0</v>
      </c>
      <c r="L178" s="10">
        <f>+'A) Base RI'!K178</f>
        <v>19888.599999999999</v>
      </c>
      <c r="M178" s="10">
        <f>+'A) Base RI'!L178</f>
        <v>427.65</v>
      </c>
      <c r="N178" s="10">
        <f>+'A) Base RI'!R178</f>
        <v>16710.759999999998</v>
      </c>
      <c r="O178" s="10">
        <f t="shared" si="13"/>
        <v>90054</v>
      </c>
      <c r="P178" s="10">
        <f>+'A) Base RI'!M178</f>
        <v>90054</v>
      </c>
      <c r="Q178" s="428">
        <f>'A) Base RI'!Z178</f>
        <v>1</v>
      </c>
      <c r="R178" s="420">
        <f t="shared" si="14"/>
        <v>1278375.0249320928</v>
      </c>
      <c r="S178" s="410">
        <f>+'A) Base RI'!U178</f>
        <v>79</v>
      </c>
      <c r="T178" s="420">
        <f t="shared" si="15"/>
        <v>1187893.3749320928</v>
      </c>
      <c r="U178" s="420">
        <f t="shared" si="16"/>
        <v>16181.962340912567</v>
      </c>
      <c r="V178" s="10">
        <f>+'A) Base RI'!P178</f>
        <v>0</v>
      </c>
      <c r="W178" s="10">
        <f>+'A) Base RI'!Q178</f>
        <v>59910.75</v>
      </c>
      <c r="X178" s="10">
        <f>+'A) Base RI'!S178</f>
        <v>89092</v>
      </c>
      <c r="Y178" s="420">
        <f t="shared" si="17"/>
        <v>149002.75</v>
      </c>
      <c r="Z178" s="10">
        <f>+'A) Base RI'!O178</f>
        <v>14555.75</v>
      </c>
      <c r="AA178" s="10">
        <f>'A) Base RI'!V178</f>
        <v>577</v>
      </c>
    </row>
    <row r="179" spans="1:27" x14ac:dyDescent="0.25">
      <c r="A179" s="8">
        <f>'A) Base RI'!A179</f>
        <v>5693</v>
      </c>
      <c r="B179" s="32" t="str">
        <f>'A) Base RI'!B179</f>
        <v>Montanaire</v>
      </c>
      <c r="C179" s="10">
        <f>'A) Base RI'!C179+'A) Base RI'!D179</f>
        <v>4524953.07</v>
      </c>
      <c r="D179" s="10">
        <f>'A) Base RI'!W179</f>
        <v>-74573.210000000006</v>
      </c>
      <c r="E179" s="406">
        <f>'A) Base RI'!X179</f>
        <v>0</v>
      </c>
      <c r="F179" s="406">
        <f>'A) Base RI'!Y179</f>
        <v>-33.36</v>
      </c>
      <c r="G179" s="420">
        <f t="shared" si="12"/>
        <v>4450346.5</v>
      </c>
      <c r="H179" s="10">
        <f>+'A) Base RI'!E179</f>
        <v>0</v>
      </c>
      <c r="I179" s="10">
        <f>+'A) Base RI'!F179</f>
        <v>0</v>
      </c>
      <c r="J179" s="10">
        <f>+'A) Base RI'!G179+'A) Base RI'!H179+'A) Base RI'!I179</f>
        <v>67016.984256008844</v>
      </c>
      <c r="K179" s="10">
        <f>+'A) Base RI'!J179</f>
        <v>0</v>
      </c>
      <c r="L179" s="10">
        <f>+'A) Base RI'!K179</f>
        <v>58959.23</v>
      </c>
      <c r="M179" s="10">
        <f>+'A) Base RI'!L179</f>
        <v>5044.8</v>
      </c>
      <c r="N179" s="10">
        <f>+'A) Base RI'!R179</f>
        <v>26974.77</v>
      </c>
      <c r="O179" s="10">
        <f t="shared" si="13"/>
        <v>373325.5</v>
      </c>
      <c r="P179" s="10">
        <f>+'A) Base RI'!M179</f>
        <v>373325.5</v>
      </c>
      <c r="Q179" s="428">
        <f>'A) Base RI'!Z179</f>
        <v>1</v>
      </c>
      <c r="R179" s="420">
        <f t="shared" si="14"/>
        <v>4981667.7842560085</v>
      </c>
      <c r="S179" s="410">
        <f>+'A) Base RI'!U179</f>
        <v>72</v>
      </c>
      <c r="T179" s="420">
        <f t="shared" si="15"/>
        <v>4603297.4842560086</v>
      </c>
      <c r="U179" s="420">
        <f t="shared" si="16"/>
        <v>69189.830336889005</v>
      </c>
      <c r="V179" s="10">
        <f>+'A) Base RI'!P179</f>
        <v>7264.5</v>
      </c>
      <c r="W179" s="10">
        <f>+'A) Base RI'!Q179</f>
        <v>172004.1</v>
      </c>
      <c r="X179" s="10">
        <f>+'A) Base RI'!S179</f>
        <v>137428.95000000001</v>
      </c>
      <c r="Y179" s="420">
        <f t="shared" si="17"/>
        <v>316697.55000000005</v>
      </c>
      <c r="Z179" s="10">
        <f>+'A) Base RI'!O179</f>
        <v>38276.35</v>
      </c>
      <c r="AA179" s="10">
        <f>'A) Base RI'!V179</f>
        <v>2685</v>
      </c>
    </row>
    <row r="180" spans="1:27" x14ac:dyDescent="0.25">
      <c r="A180" s="8">
        <f>'A) Base RI'!A180</f>
        <v>5701</v>
      </c>
      <c r="B180" s="32" t="str">
        <f>'A) Base RI'!B180</f>
        <v>Arnex-sur-Nyon</v>
      </c>
      <c r="C180" s="10">
        <f>'A) Base RI'!C180+'A) Base RI'!D180</f>
        <v>814103.46</v>
      </c>
      <c r="D180" s="10">
        <f>'A) Base RI'!W180</f>
        <v>-6752.27</v>
      </c>
      <c r="E180" s="406">
        <f>'A) Base RI'!X180</f>
        <v>0</v>
      </c>
      <c r="F180" s="406">
        <f>'A) Base RI'!Y180</f>
        <v>-126.92</v>
      </c>
      <c r="G180" s="420">
        <f t="shared" si="12"/>
        <v>807224.2699999999</v>
      </c>
      <c r="H180" s="10">
        <f>+'A) Base RI'!E180</f>
        <v>0</v>
      </c>
      <c r="I180" s="10">
        <f>+'A) Base RI'!F180</f>
        <v>0</v>
      </c>
      <c r="J180" s="10">
        <f>+'A) Base RI'!G180+'A) Base RI'!H180+'A) Base RI'!I180</f>
        <v>8104.2939616273352</v>
      </c>
      <c r="K180" s="10">
        <f>+'A) Base RI'!J180</f>
        <v>51008</v>
      </c>
      <c r="L180" s="10">
        <f>+'A) Base RI'!K180</f>
        <v>7767.55</v>
      </c>
      <c r="M180" s="10">
        <f>+'A) Base RI'!L180</f>
        <v>317.5</v>
      </c>
      <c r="N180" s="10">
        <f>+'A) Base RI'!R180</f>
        <v>0</v>
      </c>
      <c r="O180" s="10">
        <f t="shared" si="13"/>
        <v>70169</v>
      </c>
      <c r="P180" s="10">
        <f>+'A) Base RI'!M180</f>
        <v>70169</v>
      </c>
      <c r="Q180" s="428">
        <f>'A) Base RI'!Z180</f>
        <v>1</v>
      </c>
      <c r="R180" s="420">
        <f t="shared" si="14"/>
        <v>944590.61396162724</v>
      </c>
      <c r="S180" s="410">
        <f>+'A) Base RI'!U180</f>
        <v>70</v>
      </c>
      <c r="T180" s="420">
        <f t="shared" si="15"/>
        <v>874104.11396162724</v>
      </c>
      <c r="U180" s="420">
        <f t="shared" si="16"/>
        <v>13494.151628023246</v>
      </c>
      <c r="V180" s="10">
        <f>+'A) Base RI'!P180</f>
        <v>9398.2000000000007</v>
      </c>
      <c r="W180" s="10">
        <f>+'A) Base RI'!Q180</f>
        <v>72568.800000000003</v>
      </c>
      <c r="X180" s="10">
        <f>+'A) Base RI'!S180</f>
        <v>67704.899999999994</v>
      </c>
      <c r="Y180" s="420">
        <f t="shared" si="17"/>
        <v>149671.9</v>
      </c>
      <c r="Z180" s="10">
        <f>+'A) Base RI'!O180</f>
        <v>0</v>
      </c>
      <c r="AA180" s="10">
        <f>'A) Base RI'!V180</f>
        <v>235</v>
      </c>
    </row>
    <row r="181" spans="1:27" x14ac:dyDescent="0.25">
      <c r="A181" s="8">
        <f>'A) Base RI'!A181</f>
        <v>5702</v>
      </c>
      <c r="B181" s="32" t="str">
        <f>'A) Base RI'!B181</f>
        <v>Arzier-Le Muids</v>
      </c>
      <c r="C181" s="10">
        <f>'A) Base RI'!C181+'A) Base RI'!D181</f>
        <v>9935942.9600000009</v>
      </c>
      <c r="D181" s="10">
        <f>'A) Base RI'!W181</f>
        <v>-31383.75</v>
      </c>
      <c r="E181" s="406">
        <f>'A) Base RI'!X181</f>
        <v>0</v>
      </c>
      <c r="F181" s="406">
        <f>'A) Base RI'!Y181</f>
        <v>-11858.01</v>
      </c>
      <c r="G181" s="420">
        <f t="shared" si="12"/>
        <v>9892701.2000000011</v>
      </c>
      <c r="H181" s="10">
        <f>+'A) Base RI'!E181</f>
        <v>0</v>
      </c>
      <c r="I181" s="10">
        <f>+'A) Base RI'!F181</f>
        <v>0</v>
      </c>
      <c r="J181" s="10">
        <f>+'A) Base RI'!G181+'A) Base RI'!H181+'A) Base RI'!I181</f>
        <v>17967.500012072604</v>
      </c>
      <c r="K181" s="10">
        <f>+'A) Base RI'!J181</f>
        <v>439409</v>
      </c>
      <c r="L181" s="10">
        <f>+'A) Base RI'!K181</f>
        <v>145421.81</v>
      </c>
      <c r="M181" s="10">
        <f>+'A) Base RI'!L181</f>
        <v>12669.95</v>
      </c>
      <c r="N181" s="10">
        <f>+'A) Base RI'!R181</f>
        <v>5512.05</v>
      </c>
      <c r="O181" s="10">
        <f t="shared" si="13"/>
        <v>762308.83333333337</v>
      </c>
      <c r="P181" s="10">
        <f>+'A) Base RI'!M181</f>
        <v>1143463.25</v>
      </c>
      <c r="Q181" s="428">
        <f>'A) Base RI'!Z181</f>
        <v>1.5</v>
      </c>
      <c r="R181" s="420">
        <f t="shared" si="14"/>
        <v>11275990.343345407</v>
      </c>
      <c r="S181" s="410">
        <f>+'A) Base RI'!U181</f>
        <v>64</v>
      </c>
      <c r="T181" s="420">
        <f t="shared" si="15"/>
        <v>10501011.560012074</v>
      </c>
      <c r="U181" s="420">
        <f t="shared" si="16"/>
        <v>176187.34911477199</v>
      </c>
      <c r="V181" s="10">
        <f>+'A) Base RI'!P181</f>
        <v>331.8</v>
      </c>
      <c r="W181" s="10">
        <f>+'A) Base RI'!Q181</f>
        <v>853481.65</v>
      </c>
      <c r="X181" s="10">
        <f>+'A) Base RI'!S181</f>
        <v>455841.45</v>
      </c>
      <c r="Y181" s="420">
        <f t="shared" si="17"/>
        <v>1309654.9000000001</v>
      </c>
      <c r="Z181" s="10">
        <f>+'A) Base RI'!O181</f>
        <v>66724</v>
      </c>
      <c r="AA181" s="10">
        <f>'A) Base RI'!V181</f>
        <v>2697</v>
      </c>
    </row>
    <row r="182" spans="1:27" x14ac:dyDescent="0.25">
      <c r="A182" s="8">
        <f>'A) Base RI'!A182</f>
        <v>5703</v>
      </c>
      <c r="B182" s="32" t="str">
        <f>'A) Base RI'!B182</f>
        <v>Bassins</v>
      </c>
      <c r="C182" s="10">
        <f>'A) Base RI'!C182+'A) Base RI'!D182</f>
        <v>3734586.37</v>
      </c>
      <c r="D182" s="10">
        <f>'A) Base RI'!W182</f>
        <v>-37679.410000000003</v>
      </c>
      <c r="E182" s="406">
        <f>'A) Base RI'!X182</f>
        <v>0</v>
      </c>
      <c r="F182" s="406">
        <f>'A) Base RI'!Y182</f>
        <v>-360.24</v>
      </c>
      <c r="G182" s="420">
        <f t="shared" si="12"/>
        <v>3696546.7199999997</v>
      </c>
      <c r="H182" s="10">
        <f>+'A) Base RI'!E182</f>
        <v>0</v>
      </c>
      <c r="I182" s="10">
        <f>+'A) Base RI'!F182</f>
        <v>0</v>
      </c>
      <c r="J182" s="10">
        <f>+'A) Base RI'!G182+'A) Base RI'!H182+'A) Base RI'!I182</f>
        <v>-1507.3485224839415</v>
      </c>
      <c r="K182" s="10">
        <f>+'A) Base RI'!J182</f>
        <v>32655.599999999999</v>
      </c>
      <c r="L182" s="10">
        <f>+'A) Base RI'!K182</f>
        <v>56313.73</v>
      </c>
      <c r="M182" s="10">
        <f>+'A) Base RI'!L182</f>
        <v>809.05</v>
      </c>
      <c r="N182" s="10">
        <f>+'A) Base RI'!R182</f>
        <v>480.08</v>
      </c>
      <c r="O182" s="10">
        <f t="shared" si="13"/>
        <v>306949.42857142858</v>
      </c>
      <c r="P182" s="10">
        <f>+'A) Base RI'!M182</f>
        <v>429729.2</v>
      </c>
      <c r="Q182" s="428">
        <f>'A) Base RI'!Z182</f>
        <v>1.4</v>
      </c>
      <c r="R182" s="420">
        <f t="shared" si="14"/>
        <v>4092247.2600489445</v>
      </c>
      <c r="S182" s="410">
        <f>+'A) Base RI'!U182</f>
        <v>74</v>
      </c>
      <c r="T182" s="420">
        <f t="shared" si="15"/>
        <v>3784488.7814775161</v>
      </c>
      <c r="U182" s="420">
        <f t="shared" si="16"/>
        <v>55300.638649310058</v>
      </c>
      <c r="V182" s="10">
        <f>+'A) Base RI'!P182</f>
        <v>92760.4</v>
      </c>
      <c r="W182" s="10">
        <f>+'A) Base RI'!Q182</f>
        <v>163031.54999999999</v>
      </c>
      <c r="X182" s="10">
        <f>+'A) Base RI'!S182</f>
        <v>122432.1</v>
      </c>
      <c r="Y182" s="420">
        <f t="shared" si="17"/>
        <v>378224.05</v>
      </c>
      <c r="Z182" s="10">
        <f>+'A) Base RI'!O182</f>
        <v>26060.7</v>
      </c>
      <c r="AA182" s="10">
        <f>'A) Base RI'!V182</f>
        <v>1347</v>
      </c>
    </row>
    <row r="183" spans="1:27" x14ac:dyDescent="0.25">
      <c r="A183" s="8">
        <f>'A) Base RI'!A183</f>
        <v>5704</v>
      </c>
      <c r="B183" s="32" t="str">
        <f>'A) Base RI'!B183</f>
        <v>Begnins</v>
      </c>
      <c r="C183" s="10">
        <f>'A) Base RI'!C183+'A) Base RI'!D183</f>
        <v>6705020.7599999998</v>
      </c>
      <c r="D183" s="10">
        <f>'A) Base RI'!W183</f>
        <v>-119191.06</v>
      </c>
      <c r="E183" s="406">
        <f>'A) Base RI'!X183</f>
        <v>0</v>
      </c>
      <c r="F183" s="406">
        <f>'A) Base RI'!Y183</f>
        <v>-6048.49</v>
      </c>
      <c r="G183" s="420">
        <f t="shared" si="12"/>
        <v>6579781.21</v>
      </c>
      <c r="H183" s="10">
        <f>+'A) Base RI'!E183</f>
        <v>0</v>
      </c>
      <c r="I183" s="10">
        <f>+'A) Base RI'!F183</f>
        <v>0</v>
      </c>
      <c r="J183" s="10">
        <f>+'A) Base RI'!G183+'A) Base RI'!H183+'A) Base RI'!I183</f>
        <v>121189.77540371392</v>
      </c>
      <c r="K183" s="10">
        <f>+'A) Base RI'!J183</f>
        <v>337456.3</v>
      </c>
      <c r="L183" s="10">
        <f>+'A) Base RI'!K183</f>
        <v>210135.65</v>
      </c>
      <c r="M183" s="10">
        <f>+'A) Base RI'!L183</f>
        <v>15474.5</v>
      </c>
      <c r="N183" s="10">
        <f>+'A) Base RI'!R183</f>
        <v>70451</v>
      </c>
      <c r="O183" s="10">
        <f t="shared" si="13"/>
        <v>501379.6333333333</v>
      </c>
      <c r="P183" s="10">
        <f>+'A) Base RI'!M183</f>
        <v>752069.45</v>
      </c>
      <c r="Q183" s="428">
        <f>'A) Base RI'!Z183</f>
        <v>1.5</v>
      </c>
      <c r="R183" s="420">
        <f t="shared" si="14"/>
        <v>7835868.0687370468</v>
      </c>
      <c r="S183" s="410">
        <f>+'A) Base RI'!U183</f>
        <v>64</v>
      </c>
      <c r="T183" s="420">
        <f t="shared" si="15"/>
        <v>7319013.935403714</v>
      </c>
      <c r="U183" s="420">
        <f t="shared" si="16"/>
        <v>122435.43857401636</v>
      </c>
      <c r="V183" s="10">
        <f>+'A) Base RI'!P183</f>
        <v>275968</v>
      </c>
      <c r="W183" s="10">
        <f>+'A) Base RI'!Q183</f>
        <v>279123.8</v>
      </c>
      <c r="X183" s="10">
        <f>+'A) Base RI'!S183</f>
        <v>649814</v>
      </c>
      <c r="Y183" s="420">
        <f t="shared" si="17"/>
        <v>1204905.8</v>
      </c>
      <c r="Z183" s="10">
        <f>+'A) Base RI'!O183</f>
        <v>54589</v>
      </c>
      <c r="AA183" s="10">
        <f>'A) Base RI'!V183</f>
        <v>1952</v>
      </c>
    </row>
    <row r="184" spans="1:27" x14ac:dyDescent="0.25">
      <c r="A184" s="8">
        <f>'A) Base RI'!A184</f>
        <v>5705</v>
      </c>
      <c r="B184" s="32" t="str">
        <f>'A) Base RI'!B184</f>
        <v>Bogis-Bossey</v>
      </c>
      <c r="C184" s="10">
        <f>'A) Base RI'!C184+'A) Base RI'!D184</f>
        <v>3252355.8899999997</v>
      </c>
      <c r="D184" s="10">
        <f>'A) Base RI'!W184</f>
        <v>-2199.0500000000002</v>
      </c>
      <c r="E184" s="406">
        <f>'A) Base RI'!X184</f>
        <v>0</v>
      </c>
      <c r="F184" s="406">
        <f>'A) Base RI'!Y184</f>
        <v>-3385.74</v>
      </c>
      <c r="G184" s="420">
        <f t="shared" si="12"/>
        <v>3246771.0999999996</v>
      </c>
      <c r="H184" s="10">
        <f>+'A) Base RI'!E184</f>
        <v>0</v>
      </c>
      <c r="I184" s="10">
        <f>+'A) Base RI'!F184</f>
        <v>0</v>
      </c>
      <c r="J184" s="10">
        <f>+'A) Base RI'!G184+'A) Base RI'!H184+'A) Base RI'!I184</f>
        <v>6836.4862511236679</v>
      </c>
      <c r="K184" s="10">
        <f>+'A) Base RI'!J184</f>
        <v>28892.25</v>
      </c>
      <c r="L184" s="10">
        <f>+'A) Base RI'!K184</f>
        <v>-53624.73</v>
      </c>
      <c r="M184" s="10">
        <f>+'A) Base RI'!L184</f>
        <v>7025.25</v>
      </c>
      <c r="N184" s="10">
        <f>+'A) Base RI'!R184</f>
        <v>0</v>
      </c>
      <c r="O184" s="10">
        <f t="shared" si="13"/>
        <v>219093.65</v>
      </c>
      <c r="P184" s="10">
        <f>+'A) Base RI'!M184</f>
        <v>219093.65</v>
      </c>
      <c r="Q184" s="428">
        <f>'A) Base RI'!Z184</f>
        <v>1</v>
      </c>
      <c r="R184" s="420">
        <f t="shared" si="14"/>
        <v>3454994.0062511233</v>
      </c>
      <c r="S184" s="410">
        <f>+'A) Base RI'!U184</f>
        <v>70</v>
      </c>
      <c r="T184" s="420">
        <f t="shared" si="15"/>
        <v>3228875.1062511234</v>
      </c>
      <c r="U184" s="420">
        <f t="shared" si="16"/>
        <v>49357.057232158906</v>
      </c>
      <c r="V184" s="10">
        <f>+'A) Base RI'!P184</f>
        <v>10503.3</v>
      </c>
      <c r="W184" s="10">
        <f>+'A) Base RI'!Q184</f>
        <v>187796.2</v>
      </c>
      <c r="X184" s="10">
        <f>+'A) Base RI'!S184</f>
        <v>135719.29999999999</v>
      </c>
      <c r="Y184" s="420">
        <f t="shared" si="17"/>
        <v>334018.8</v>
      </c>
      <c r="Z184" s="10">
        <f>+'A) Base RI'!O184</f>
        <v>29452.400000000001</v>
      </c>
      <c r="AA184" s="10">
        <f>'A) Base RI'!V184</f>
        <v>867</v>
      </c>
    </row>
    <row r="185" spans="1:27" x14ac:dyDescent="0.25">
      <c r="A185" s="8">
        <f>'A) Base RI'!A185</f>
        <v>5706</v>
      </c>
      <c r="B185" s="32" t="str">
        <f>'A) Base RI'!B185</f>
        <v>Borex</v>
      </c>
      <c r="C185" s="10">
        <f>'A) Base RI'!C185+'A) Base RI'!D185</f>
        <v>3793861.11</v>
      </c>
      <c r="D185" s="10">
        <f>'A) Base RI'!W185</f>
        <v>-9397.85</v>
      </c>
      <c r="E185" s="406">
        <f>'A) Base RI'!X185</f>
        <v>0</v>
      </c>
      <c r="F185" s="406">
        <f>'A) Base RI'!Y185</f>
        <v>-2105.15</v>
      </c>
      <c r="G185" s="420">
        <f t="shared" si="12"/>
        <v>3782358.11</v>
      </c>
      <c r="H185" s="10">
        <f>+'A) Base RI'!E185</f>
        <v>0</v>
      </c>
      <c r="I185" s="10">
        <f>+'A) Base RI'!F185</f>
        <v>0</v>
      </c>
      <c r="J185" s="10">
        <f>+'A) Base RI'!G185+'A) Base RI'!H185+'A) Base RI'!I185</f>
        <v>10885.888391877954</v>
      </c>
      <c r="K185" s="10">
        <f>+'A) Base RI'!J185</f>
        <v>4648.2</v>
      </c>
      <c r="L185" s="10">
        <f>+'A) Base RI'!K185</f>
        <v>45392.639999999999</v>
      </c>
      <c r="M185" s="10">
        <f>+'A) Base RI'!L185</f>
        <v>3045.8</v>
      </c>
      <c r="N185" s="10">
        <f>+'A) Base RI'!R185</f>
        <v>4438.34</v>
      </c>
      <c r="O185" s="10">
        <f t="shared" si="13"/>
        <v>256488.96666666667</v>
      </c>
      <c r="P185" s="10">
        <f>+'A) Base RI'!M185</f>
        <v>384733.45</v>
      </c>
      <c r="Q185" s="428">
        <f>'A) Base RI'!Z185</f>
        <v>1.5</v>
      </c>
      <c r="R185" s="420">
        <f t="shared" si="14"/>
        <v>4107257.9450585446</v>
      </c>
      <c r="S185" s="410">
        <f>+'A) Base RI'!U185</f>
        <v>58</v>
      </c>
      <c r="T185" s="420">
        <f t="shared" si="15"/>
        <v>3847723.178391878</v>
      </c>
      <c r="U185" s="420">
        <f t="shared" si="16"/>
        <v>70814.792156181808</v>
      </c>
      <c r="V185" s="10">
        <f>+'A) Base RI'!P185</f>
        <v>0</v>
      </c>
      <c r="W185" s="10">
        <f>+'A) Base RI'!Q185</f>
        <v>125385.4</v>
      </c>
      <c r="X185" s="10">
        <f>+'A) Base RI'!S185</f>
        <v>142766.79999999999</v>
      </c>
      <c r="Y185" s="420">
        <f t="shared" si="17"/>
        <v>268152.19999999995</v>
      </c>
      <c r="Z185" s="10">
        <f>+'A) Base RI'!O185</f>
        <v>11748.1</v>
      </c>
      <c r="AA185" s="10">
        <f>'A) Base RI'!V185</f>
        <v>1140</v>
      </c>
    </row>
    <row r="186" spans="1:27" x14ac:dyDescent="0.25">
      <c r="A186" s="8">
        <f>'A) Base RI'!A186</f>
        <v>5707</v>
      </c>
      <c r="B186" s="32" t="str">
        <f>'A) Base RI'!B186</f>
        <v>Chavannes-de-Bogis</v>
      </c>
      <c r="C186" s="10">
        <f>'A) Base RI'!C186+'A) Base RI'!D186</f>
        <v>3564792.22</v>
      </c>
      <c r="D186" s="10">
        <f>'A) Base RI'!W186</f>
        <v>-12271.63</v>
      </c>
      <c r="E186" s="406">
        <f>'A) Base RI'!X186</f>
        <v>0</v>
      </c>
      <c r="F186" s="406">
        <f>'A) Base RI'!Y186</f>
        <v>-869.31</v>
      </c>
      <c r="G186" s="420">
        <f t="shared" si="12"/>
        <v>3551651.2800000003</v>
      </c>
      <c r="H186" s="10">
        <f>+'A) Base RI'!E186</f>
        <v>0</v>
      </c>
      <c r="I186" s="10">
        <f>+'A) Base RI'!F186</f>
        <v>0</v>
      </c>
      <c r="J186" s="10">
        <f>+'A) Base RI'!G186+'A) Base RI'!H186+'A) Base RI'!I186</f>
        <v>220316.84708385877</v>
      </c>
      <c r="K186" s="10">
        <f>+'A) Base RI'!J186</f>
        <v>77243.149999999994</v>
      </c>
      <c r="L186" s="10">
        <f>+'A) Base RI'!K186</f>
        <v>45640.66</v>
      </c>
      <c r="M186" s="10">
        <f>+'A) Base RI'!L186</f>
        <v>58171.199999999997</v>
      </c>
      <c r="N186" s="10">
        <f>+'A) Base RI'!R186</f>
        <v>6532.38</v>
      </c>
      <c r="O186" s="10">
        <f t="shared" si="13"/>
        <v>464133.06666666665</v>
      </c>
      <c r="P186" s="10">
        <f>+'A) Base RI'!M186</f>
        <v>696199.6</v>
      </c>
      <c r="Q186" s="428">
        <f>'A) Base RI'!Z186</f>
        <v>1.5</v>
      </c>
      <c r="R186" s="420">
        <f t="shared" si="14"/>
        <v>4423688.5837505255</v>
      </c>
      <c r="S186" s="410">
        <f>+'A) Base RI'!U186</f>
        <v>59</v>
      </c>
      <c r="T186" s="420">
        <f t="shared" si="15"/>
        <v>3901384.3170838589</v>
      </c>
      <c r="U186" s="420">
        <f t="shared" si="16"/>
        <v>74977.772605941107</v>
      </c>
      <c r="V186" s="10">
        <f>+'A) Base RI'!P186</f>
        <v>0</v>
      </c>
      <c r="W186" s="10">
        <f>+'A) Base RI'!Q186</f>
        <v>266950.3</v>
      </c>
      <c r="X186" s="10">
        <f>+'A) Base RI'!S186</f>
        <v>186449.3</v>
      </c>
      <c r="Y186" s="420">
        <f t="shared" si="17"/>
        <v>453399.6</v>
      </c>
      <c r="Z186" s="10">
        <f>+'A) Base RI'!O186</f>
        <v>711866.65</v>
      </c>
      <c r="AA186" s="10">
        <f>'A) Base RI'!V186</f>
        <v>1281</v>
      </c>
    </row>
    <row r="187" spans="1:27" x14ac:dyDescent="0.25">
      <c r="A187" s="8">
        <f>'A) Base RI'!A187</f>
        <v>5708</v>
      </c>
      <c r="B187" s="32" t="str">
        <f>'A) Base RI'!B187</f>
        <v>Chavannes-des-Bois</v>
      </c>
      <c r="C187" s="10">
        <f>'A) Base RI'!C187+'A) Base RI'!D187</f>
        <v>3041755.7800000003</v>
      </c>
      <c r="D187" s="10">
        <f>'A) Base RI'!W187</f>
        <v>-8448.23</v>
      </c>
      <c r="E187" s="406">
        <f>'A) Base RI'!X187</f>
        <v>0</v>
      </c>
      <c r="F187" s="406">
        <f>'A) Base RI'!Y187</f>
        <v>-1209.3800000000001</v>
      </c>
      <c r="G187" s="420">
        <f t="shared" si="12"/>
        <v>3032098.1700000004</v>
      </c>
      <c r="H187" s="10">
        <f>+'A) Base RI'!E187</f>
        <v>0</v>
      </c>
      <c r="I187" s="10">
        <f>+'A) Base RI'!F187</f>
        <v>0</v>
      </c>
      <c r="J187" s="10">
        <f>+'A) Base RI'!G187+'A) Base RI'!H187+'A) Base RI'!I187</f>
        <v>22187.853649259945</v>
      </c>
      <c r="K187" s="10">
        <f>+'A) Base RI'!J187</f>
        <v>86758.2</v>
      </c>
      <c r="L187" s="10">
        <f>+'A) Base RI'!K187</f>
        <v>175055.86</v>
      </c>
      <c r="M187" s="10">
        <f>+'A) Base RI'!L187</f>
        <v>14284.65</v>
      </c>
      <c r="N187" s="10">
        <f>+'A) Base RI'!R187</f>
        <v>0</v>
      </c>
      <c r="O187" s="10">
        <f t="shared" si="13"/>
        <v>263384.76666666666</v>
      </c>
      <c r="P187" s="10">
        <f>+'A) Base RI'!M187</f>
        <v>395077.15</v>
      </c>
      <c r="Q187" s="428">
        <f>'A) Base RI'!Z187</f>
        <v>1.5</v>
      </c>
      <c r="R187" s="420">
        <f t="shared" si="14"/>
        <v>3593769.500315927</v>
      </c>
      <c r="S187" s="410">
        <f>+'A) Base RI'!U187</f>
        <v>63</v>
      </c>
      <c r="T187" s="420">
        <f t="shared" si="15"/>
        <v>3316100.0836492605</v>
      </c>
      <c r="U187" s="420">
        <f t="shared" si="16"/>
        <v>57043.960322475032</v>
      </c>
      <c r="V187" s="10">
        <f>+'A) Base RI'!P187</f>
        <v>0</v>
      </c>
      <c r="W187" s="10">
        <f>+'A) Base RI'!Q187</f>
        <v>226630.85</v>
      </c>
      <c r="X187" s="10">
        <f>+'A) Base RI'!S187</f>
        <v>115434.65</v>
      </c>
      <c r="Y187" s="420">
        <f t="shared" si="17"/>
        <v>342065.5</v>
      </c>
      <c r="Z187" s="10">
        <f>+'A) Base RI'!O187</f>
        <v>1605.75</v>
      </c>
      <c r="AA187" s="10">
        <f>'A) Base RI'!V187</f>
        <v>964</v>
      </c>
    </row>
    <row r="188" spans="1:27" x14ac:dyDescent="0.25">
      <c r="A188" s="8">
        <f>'A) Base RI'!A188</f>
        <v>5709</v>
      </c>
      <c r="B188" s="32" t="str">
        <f>'A) Base RI'!B188</f>
        <v>Chéserex</v>
      </c>
      <c r="C188" s="10">
        <f>'A) Base RI'!C188+'A) Base RI'!D188</f>
        <v>4947278.74</v>
      </c>
      <c r="D188" s="10">
        <f>'A) Base RI'!W188</f>
        <v>-94721.98</v>
      </c>
      <c r="E188" s="406">
        <f>'A) Base RI'!X188</f>
        <v>0</v>
      </c>
      <c r="F188" s="406">
        <f>'A) Base RI'!Y188</f>
        <v>-1095.52</v>
      </c>
      <c r="G188" s="420">
        <f t="shared" si="12"/>
        <v>4851461.24</v>
      </c>
      <c r="H188" s="10">
        <f>+'A) Base RI'!E188</f>
        <v>0</v>
      </c>
      <c r="I188" s="10">
        <f>+'A) Base RI'!F188</f>
        <v>0</v>
      </c>
      <c r="J188" s="10">
        <f>+'A) Base RI'!G188+'A) Base RI'!H188+'A) Base RI'!I188</f>
        <v>189216.71751446431</v>
      </c>
      <c r="K188" s="10">
        <f>+'A) Base RI'!J188</f>
        <v>505157.95</v>
      </c>
      <c r="L188" s="10">
        <f>+'A) Base RI'!K188</f>
        <v>110333.97</v>
      </c>
      <c r="M188" s="10">
        <f>+'A) Base RI'!L188</f>
        <v>3009.2</v>
      </c>
      <c r="N188" s="10">
        <f>+'A) Base RI'!R188</f>
        <v>49327.51</v>
      </c>
      <c r="O188" s="10">
        <f t="shared" si="13"/>
        <v>340100.1</v>
      </c>
      <c r="P188" s="10">
        <f>+'A) Base RI'!M188</f>
        <v>340100.1</v>
      </c>
      <c r="Q188" s="428">
        <f>'A) Base RI'!Z188</f>
        <v>1</v>
      </c>
      <c r="R188" s="420">
        <f t="shared" si="14"/>
        <v>6048606.6875144644</v>
      </c>
      <c r="S188" s="410">
        <f>+'A) Base RI'!U188</f>
        <v>57</v>
      </c>
      <c r="T188" s="420">
        <f t="shared" si="15"/>
        <v>5705497.3875144646</v>
      </c>
      <c r="U188" s="420">
        <f t="shared" si="16"/>
        <v>106115.90679849937</v>
      </c>
      <c r="V188" s="10">
        <f>+'A) Base RI'!P188</f>
        <v>0</v>
      </c>
      <c r="W188" s="10">
        <f>+'A) Base RI'!Q188</f>
        <v>115247</v>
      </c>
      <c r="X188" s="10">
        <f>+'A) Base RI'!S188</f>
        <v>238286.9</v>
      </c>
      <c r="Y188" s="420">
        <f t="shared" si="17"/>
        <v>353533.9</v>
      </c>
      <c r="Z188" s="10">
        <f>+'A) Base RI'!O188</f>
        <v>51557.85</v>
      </c>
      <c r="AA188" s="10">
        <f>'A) Base RI'!V188</f>
        <v>1227</v>
      </c>
    </row>
    <row r="189" spans="1:27" x14ac:dyDescent="0.25">
      <c r="A189" s="8">
        <f>'A) Base RI'!A189</f>
        <v>5710</v>
      </c>
      <c r="B189" s="32" t="str">
        <f>'A) Base RI'!B189</f>
        <v>Coinsins</v>
      </c>
      <c r="C189" s="10">
        <f>'A) Base RI'!C189+'A) Base RI'!D189</f>
        <v>2509596.6100000003</v>
      </c>
      <c r="D189" s="10">
        <f>'A) Base RI'!W189</f>
        <v>-6577.4</v>
      </c>
      <c r="E189" s="406">
        <f>'A) Base RI'!X189</f>
        <v>0</v>
      </c>
      <c r="F189" s="406">
        <f>'A) Base RI'!Y189</f>
        <v>-2026.88</v>
      </c>
      <c r="G189" s="420">
        <f t="shared" si="12"/>
        <v>2500992.3300000005</v>
      </c>
      <c r="H189" s="10">
        <f>+'A) Base RI'!E189</f>
        <v>0</v>
      </c>
      <c r="I189" s="10">
        <f>+'A) Base RI'!F189</f>
        <v>0</v>
      </c>
      <c r="J189" s="10">
        <f>+'A) Base RI'!G189+'A) Base RI'!H189+'A) Base RI'!I189</f>
        <v>4140067.1540842145</v>
      </c>
      <c r="K189" s="10">
        <f>+'A) Base RI'!J189</f>
        <v>110957.8</v>
      </c>
      <c r="L189" s="10">
        <f>+'A) Base RI'!K189</f>
        <v>50415.31</v>
      </c>
      <c r="M189" s="10">
        <f>+'A) Base RI'!L189</f>
        <v>8857.0499999999993</v>
      </c>
      <c r="N189" s="10">
        <f>+'A) Base RI'!R189</f>
        <v>2685.93</v>
      </c>
      <c r="O189" s="10">
        <f t="shared" si="13"/>
        <v>127659.6</v>
      </c>
      <c r="P189" s="10">
        <f>+'A) Base RI'!M189</f>
        <v>127659.6</v>
      </c>
      <c r="Q189" s="428">
        <f>'A) Base RI'!Z189</f>
        <v>1</v>
      </c>
      <c r="R189" s="420">
        <f t="shared" si="14"/>
        <v>6941635.1740842136</v>
      </c>
      <c r="S189" s="410">
        <f>+'A) Base RI'!U189</f>
        <v>51</v>
      </c>
      <c r="T189" s="420">
        <f t="shared" si="15"/>
        <v>6805118.5240842141</v>
      </c>
      <c r="U189" s="420">
        <f t="shared" si="16"/>
        <v>136110.49360949438</v>
      </c>
      <c r="V189" s="10">
        <f>+'A) Base RI'!P189</f>
        <v>53318.400000000001</v>
      </c>
      <c r="W189" s="10">
        <f>+'A) Base RI'!Q189</f>
        <v>14684.75</v>
      </c>
      <c r="X189" s="10">
        <f>+'A) Base RI'!S189</f>
        <v>0</v>
      </c>
      <c r="Y189" s="420">
        <f t="shared" si="17"/>
        <v>68003.149999999994</v>
      </c>
      <c r="Z189" s="10">
        <f>+'A) Base RI'!O189</f>
        <v>87982.2</v>
      </c>
      <c r="AA189" s="10">
        <f>'A) Base RI'!V189</f>
        <v>499</v>
      </c>
    </row>
    <row r="190" spans="1:27" x14ac:dyDescent="0.25">
      <c r="A190" s="8">
        <f>'A) Base RI'!A190</f>
        <v>5711</v>
      </c>
      <c r="B190" s="32" t="str">
        <f>'A) Base RI'!B190</f>
        <v>Commugny</v>
      </c>
      <c r="C190" s="10">
        <f>'A) Base RI'!C190+'A) Base RI'!D190</f>
        <v>14500916.939999999</v>
      </c>
      <c r="D190" s="10">
        <f>'A) Base RI'!W190</f>
        <v>-44573.37</v>
      </c>
      <c r="E190" s="406">
        <f>'A) Base RI'!X190</f>
        <v>0</v>
      </c>
      <c r="F190" s="406">
        <f>'A) Base RI'!Y190</f>
        <v>-6033.73</v>
      </c>
      <c r="G190" s="420">
        <f t="shared" si="12"/>
        <v>14450309.84</v>
      </c>
      <c r="H190" s="10">
        <f>+'A) Base RI'!E190</f>
        <v>0</v>
      </c>
      <c r="I190" s="10">
        <f>+'A) Base RI'!F190</f>
        <v>0</v>
      </c>
      <c r="J190" s="10">
        <f>+'A) Base RI'!G190+'A) Base RI'!H190+'A) Base RI'!I190</f>
        <v>67869.514524842336</v>
      </c>
      <c r="K190" s="10">
        <f>+'A) Base RI'!J190</f>
        <v>221369.65</v>
      </c>
      <c r="L190" s="10">
        <f>+'A) Base RI'!K190</f>
        <v>211220.59</v>
      </c>
      <c r="M190" s="10">
        <f>+'A) Base RI'!L190</f>
        <v>16027.15</v>
      </c>
      <c r="N190" s="10">
        <f>+'A) Base RI'!R190</f>
        <v>-7742.29</v>
      </c>
      <c r="O190" s="10">
        <f t="shared" si="13"/>
        <v>870354.57692307688</v>
      </c>
      <c r="P190" s="10">
        <f>+'A) Base RI'!M190</f>
        <v>1131460.95</v>
      </c>
      <c r="Q190" s="428">
        <f>'A) Base RI'!Z190</f>
        <v>1.3</v>
      </c>
      <c r="R190" s="420">
        <f t="shared" si="14"/>
        <v>15829409.031447919</v>
      </c>
      <c r="S190" s="410">
        <f>+'A) Base RI'!U190</f>
        <v>57</v>
      </c>
      <c r="T190" s="420">
        <f t="shared" si="15"/>
        <v>14943027.304524843</v>
      </c>
      <c r="U190" s="420">
        <f t="shared" si="16"/>
        <v>277708.93037627928</v>
      </c>
      <c r="V190" s="10">
        <f>+'A) Base RI'!P190</f>
        <v>247013.4</v>
      </c>
      <c r="W190" s="10">
        <f>+'A) Base RI'!Q190</f>
        <v>571311.75</v>
      </c>
      <c r="X190" s="10">
        <f>+'A) Base RI'!S190</f>
        <v>498530.35</v>
      </c>
      <c r="Y190" s="420">
        <f t="shared" si="17"/>
        <v>1316855.5</v>
      </c>
      <c r="Z190" s="10">
        <f>+'A) Base RI'!O190</f>
        <v>38875.550000000003</v>
      </c>
      <c r="AA190" s="10">
        <f>'A) Base RI'!V190</f>
        <v>2877</v>
      </c>
    </row>
    <row r="191" spans="1:27" x14ac:dyDescent="0.25">
      <c r="A191" s="8">
        <f>'A) Base RI'!A191</f>
        <v>5712</v>
      </c>
      <c r="B191" s="32" t="str">
        <f>'A) Base RI'!B191</f>
        <v>Coppet</v>
      </c>
      <c r="C191" s="10">
        <f>'A) Base RI'!C191+'A) Base RI'!D191</f>
        <v>15452663.73</v>
      </c>
      <c r="D191" s="10">
        <f>'A) Base RI'!W191</f>
        <v>-83484.960000000006</v>
      </c>
      <c r="E191" s="406">
        <f>'A) Base RI'!X191</f>
        <v>0</v>
      </c>
      <c r="F191" s="406">
        <f>'A) Base RI'!Y191</f>
        <v>-22733.16</v>
      </c>
      <c r="G191" s="420">
        <f t="shared" si="12"/>
        <v>15346445.609999999</v>
      </c>
      <c r="H191" s="10">
        <f>+'A) Base RI'!E191</f>
        <v>0</v>
      </c>
      <c r="I191" s="10">
        <f>+'A) Base RI'!F191</f>
        <v>0</v>
      </c>
      <c r="J191" s="10">
        <f>+'A) Base RI'!G191+'A) Base RI'!H191+'A) Base RI'!I191</f>
        <v>180173.63885910952</v>
      </c>
      <c r="K191" s="10">
        <f>+'A) Base RI'!J191</f>
        <v>1104233.68</v>
      </c>
      <c r="L191" s="10">
        <f>+'A) Base RI'!K191</f>
        <v>89537.61</v>
      </c>
      <c r="M191" s="10">
        <f>+'A) Base RI'!L191</f>
        <v>32342.7</v>
      </c>
      <c r="N191" s="10">
        <f>+'A) Base RI'!R191</f>
        <v>5805.66</v>
      </c>
      <c r="O191" s="10">
        <f t="shared" si="13"/>
        <v>1130799.8</v>
      </c>
      <c r="P191" s="10">
        <f>+'A) Base RI'!M191</f>
        <v>1696199.7</v>
      </c>
      <c r="Q191" s="428">
        <f>'A) Base RI'!Z191</f>
        <v>1.5</v>
      </c>
      <c r="R191" s="420">
        <f t="shared" si="14"/>
        <v>17889338.698859107</v>
      </c>
      <c r="S191" s="410">
        <f>+'A) Base RI'!U191</f>
        <v>53</v>
      </c>
      <c r="T191" s="420">
        <f t="shared" si="15"/>
        <v>16726196.198859109</v>
      </c>
      <c r="U191" s="420">
        <f t="shared" si="16"/>
        <v>337534.69243130391</v>
      </c>
      <c r="V191" s="10">
        <f>+'A) Base RI'!P191</f>
        <v>2468250</v>
      </c>
      <c r="W191" s="10">
        <f>+'A) Base RI'!Q191</f>
        <v>858477.1</v>
      </c>
      <c r="X191" s="10">
        <f>+'A) Base RI'!S191</f>
        <v>493091.6</v>
      </c>
      <c r="Y191" s="420">
        <f t="shared" si="17"/>
        <v>3819818.7</v>
      </c>
      <c r="Z191" s="10">
        <f>+'A) Base RI'!O191</f>
        <v>185740.55</v>
      </c>
      <c r="AA191" s="10">
        <f>'A) Base RI'!V191</f>
        <v>3126</v>
      </c>
    </row>
    <row r="192" spans="1:27" x14ac:dyDescent="0.25">
      <c r="A192" s="8">
        <f>'A) Base RI'!A192</f>
        <v>5713</v>
      </c>
      <c r="B192" s="32" t="str">
        <f>'A) Base RI'!B192</f>
        <v>Crans-près-Céligny</v>
      </c>
      <c r="C192" s="10">
        <f>'A) Base RI'!C192+'A) Base RI'!D192</f>
        <v>12315088.369999999</v>
      </c>
      <c r="D192" s="10">
        <f>'A) Base RI'!W192</f>
        <v>-132729.20000000001</v>
      </c>
      <c r="E192" s="406">
        <f>'A) Base RI'!X192</f>
        <v>0</v>
      </c>
      <c r="F192" s="406">
        <f>'A) Base RI'!Y192</f>
        <v>-5206.8500000000004</v>
      </c>
      <c r="G192" s="420">
        <f t="shared" si="12"/>
        <v>12177152.32</v>
      </c>
      <c r="H192" s="10">
        <f>+'A) Base RI'!E192</f>
        <v>0</v>
      </c>
      <c r="I192" s="10">
        <f>+'A) Base RI'!F192</f>
        <v>0</v>
      </c>
      <c r="J192" s="10">
        <f>+'A) Base RI'!G192+'A) Base RI'!H192+'A) Base RI'!I192</f>
        <v>23894.109365950775</v>
      </c>
      <c r="K192" s="10">
        <f>+'A) Base RI'!J192</f>
        <v>1066433.3899999999</v>
      </c>
      <c r="L192" s="10">
        <f>+'A) Base RI'!K192</f>
        <v>388834.04</v>
      </c>
      <c r="M192" s="10">
        <f>+'A) Base RI'!L192</f>
        <v>6205.5</v>
      </c>
      <c r="N192" s="10">
        <f>+'A) Base RI'!R192</f>
        <v>10767.32</v>
      </c>
      <c r="O192" s="10">
        <f t="shared" si="13"/>
        <v>804128.25</v>
      </c>
      <c r="P192" s="10">
        <f>+'A) Base RI'!M192</f>
        <v>804128.25</v>
      </c>
      <c r="Q192" s="428">
        <f>'A) Base RI'!Z192</f>
        <v>1</v>
      </c>
      <c r="R192" s="420">
        <f t="shared" si="14"/>
        <v>14477414.929365952</v>
      </c>
      <c r="S192" s="410">
        <f>+'A) Base RI'!U192</f>
        <v>53</v>
      </c>
      <c r="T192" s="420">
        <f t="shared" si="15"/>
        <v>13667081.179365952</v>
      </c>
      <c r="U192" s="420">
        <f t="shared" si="16"/>
        <v>273158.77225218777</v>
      </c>
      <c r="V192" s="10">
        <f>+'A) Base RI'!P192</f>
        <v>0</v>
      </c>
      <c r="W192" s="10">
        <f>+'A) Base RI'!Q192</f>
        <v>621777.19999999995</v>
      </c>
      <c r="X192" s="10">
        <f>+'A) Base RI'!S192</f>
        <v>730021.3</v>
      </c>
      <c r="Y192" s="420">
        <f t="shared" si="17"/>
        <v>1351798.5</v>
      </c>
      <c r="Z192" s="10">
        <f>+'A) Base RI'!O192</f>
        <v>36107.35</v>
      </c>
      <c r="AA192" s="10">
        <f>'A) Base RI'!V192</f>
        <v>2193</v>
      </c>
    </row>
    <row r="193" spans="1:27" x14ac:dyDescent="0.25">
      <c r="A193" s="8">
        <f>'A) Base RI'!A193</f>
        <v>5714</v>
      </c>
      <c r="B193" s="32" t="str">
        <f>'A) Base RI'!B193</f>
        <v>Crassier</v>
      </c>
      <c r="C193" s="10">
        <f>'A) Base RI'!C193+'A) Base RI'!D193</f>
        <v>4155865.8600000003</v>
      </c>
      <c r="D193" s="10">
        <f>'A) Base RI'!W193</f>
        <v>-2896.78</v>
      </c>
      <c r="E193" s="406">
        <f>'A) Base RI'!X193</f>
        <v>0</v>
      </c>
      <c r="F193" s="406">
        <f>'A) Base RI'!Y193</f>
        <v>-1593.2</v>
      </c>
      <c r="G193" s="420">
        <f t="shared" si="12"/>
        <v>4151375.8800000004</v>
      </c>
      <c r="H193" s="10">
        <f>+'A) Base RI'!E193</f>
        <v>0</v>
      </c>
      <c r="I193" s="10">
        <f>+'A) Base RI'!F193</f>
        <v>0</v>
      </c>
      <c r="J193" s="10">
        <f>+'A) Base RI'!G193+'A) Base RI'!H193+'A) Base RI'!I193</f>
        <v>182070.9993649245</v>
      </c>
      <c r="K193" s="10">
        <f>+'A) Base RI'!J193</f>
        <v>106396.26</v>
      </c>
      <c r="L193" s="10">
        <f>+'A) Base RI'!K193</f>
        <v>34035.050000000003</v>
      </c>
      <c r="M193" s="10">
        <f>+'A) Base RI'!L193</f>
        <v>5525.5</v>
      </c>
      <c r="N193" s="10">
        <f>+'A) Base RI'!R193</f>
        <v>14308.46</v>
      </c>
      <c r="O193" s="10">
        <f t="shared" si="13"/>
        <v>271993.3</v>
      </c>
      <c r="P193" s="10">
        <f>+'A) Base RI'!M193</f>
        <v>271993.3</v>
      </c>
      <c r="Q193" s="428">
        <f>'A) Base RI'!Z193</f>
        <v>1</v>
      </c>
      <c r="R193" s="420">
        <f t="shared" si="14"/>
        <v>4765705.4493649239</v>
      </c>
      <c r="S193" s="410">
        <f>+'A) Base RI'!U193</f>
        <v>64</v>
      </c>
      <c r="T193" s="420">
        <f t="shared" si="15"/>
        <v>4488186.6493649241</v>
      </c>
      <c r="U193" s="420">
        <f t="shared" si="16"/>
        <v>74464.147646326936</v>
      </c>
      <c r="V193" s="10">
        <f>+'A) Base RI'!P193</f>
        <v>0</v>
      </c>
      <c r="W193" s="10">
        <f>+'A) Base RI'!Q193</f>
        <v>151786.45000000001</v>
      </c>
      <c r="X193" s="10">
        <f>+'A) Base RI'!S193</f>
        <v>123400.25</v>
      </c>
      <c r="Y193" s="420">
        <f t="shared" si="17"/>
        <v>275186.7</v>
      </c>
      <c r="Z193" s="10">
        <f>+'A) Base RI'!O193</f>
        <v>86331.8</v>
      </c>
      <c r="AA193" s="10">
        <f>'A) Base RI'!V193</f>
        <v>1175</v>
      </c>
    </row>
    <row r="194" spans="1:27" x14ac:dyDescent="0.25">
      <c r="A194" s="8">
        <f>'A) Base RI'!A194</f>
        <v>5715</v>
      </c>
      <c r="B194" s="32" t="str">
        <f>'A) Base RI'!B194</f>
        <v>Duillier</v>
      </c>
      <c r="C194" s="10">
        <f>'A) Base RI'!C194+'A) Base RI'!D194</f>
        <v>4770574.5199999996</v>
      </c>
      <c r="D194" s="10">
        <f>'A) Base RI'!W194</f>
        <v>-58013.81</v>
      </c>
      <c r="E194" s="406">
        <f>'A) Base RI'!X194</f>
        <v>0</v>
      </c>
      <c r="F194" s="406">
        <f>'A) Base RI'!Y194</f>
        <v>-594.6</v>
      </c>
      <c r="G194" s="420">
        <f t="shared" si="12"/>
        <v>4711966.1100000003</v>
      </c>
      <c r="H194" s="10">
        <f>+'A) Base RI'!E194</f>
        <v>0</v>
      </c>
      <c r="I194" s="10">
        <f>+'A) Base RI'!F194</f>
        <v>0</v>
      </c>
      <c r="J194" s="10">
        <f>+'A) Base RI'!G194+'A) Base RI'!H194+'A) Base RI'!I194</f>
        <v>4599.3851069761786</v>
      </c>
      <c r="K194" s="10">
        <f>+'A) Base RI'!J194</f>
        <v>32824.75</v>
      </c>
      <c r="L194" s="10">
        <f>+'A) Base RI'!K194</f>
        <v>106227.66</v>
      </c>
      <c r="M194" s="10">
        <f>+'A) Base RI'!L194</f>
        <v>2815.5</v>
      </c>
      <c r="N194" s="10">
        <f>+'A) Base RI'!R194</f>
        <v>3941.24</v>
      </c>
      <c r="O194" s="10">
        <f t="shared" si="13"/>
        <v>256360.15</v>
      </c>
      <c r="P194" s="10">
        <f>+'A) Base RI'!M194</f>
        <v>256360.15</v>
      </c>
      <c r="Q194" s="428">
        <f>'A) Base RI'!Z194</f>
        <v>1</v>
      </c>
      <c r="R194" s="420">
        <f t="shared" si="14"/>
        <v>5118734.7951069772</v>
      </c>
      <c r="S194" s="410">
        <f>+'A) Base RI'!U194</f>
        <v>66</v>
      </c>
      <c r="T194" s="420">
        <f t="shared" si="15"/>
        <v>4859559.1451069769</v>
      </c>
      <c r="U194" s="420">
        <f t="shared" si="16"/>
        <v>77556.587804651164</v>
      </c>
      <c r="V194" s="10">
        <f>+'A) Base RI'!P194</f>
        <v>0</v>
      </c>
      <c r="W194" s="10">
        <f>+'A) Base RI'!Q194</f>
        <v>336462.75</v>
      </c>
      <c r="X194" s="10">
        <f>+'A) Base RI'!S194</f>
        <v>214314.8</v>
      </c>
      <c r="Y194" s="420">
        <f t="shared" si="17"/>
        <v>550777.55000000005</v>
      </c>
      <c r="Z194" s="10">
        <f>+'A) Base RI'!O194</f>
        <v>68196.2</v>
      </c>
      <c r="AA194" s="10">
        <f>'A) Base RI'!V194</f>
        <v>1085</v>
      </c>
    </row>
    <row r="195" spans="1:27" x14ac:dyDescent="0.25">
      <c r="A195" s="8">
        <f>'A) Base RI'!A195</f>
        <v>5716</v>
      </c>
      <c r="B195" s="32" t="str">
        <f>'A) Base RI'!B195</f>
        <v>Eysins</v>
      </c>
      <c r="C195" s="10">
        <f>'A) Base RI'!C195+'A) Base RI'!D195</f>
        <v>4305589.74</v>
      </c>
      <c r="D195" s="10">
        <f>'A) Base RI'!W195</f>
        <v>-88294.3</v>
      </c>
      <c r="E195" s="406">
        <f>'A) Base RI'!X195</f>
        <v>0</v>
      </c>
      <c r="F195" s="406">
        <f>'A) Base RI'!Y195</f>
        <v>-1114.95</v>
      </c>
      <c r="G195" s="420">
        <f t="shared" si="12"/>
        <v>4216180.49</v>
      </c>
      <c r="H195" s="10">
        <f>+'A) Base RI'!E195</f>
        <v>0</v>
      </c>
      <c r="I195" s="10">
        <f>+'A) Base RI'!F195</f>
        <v>0</v>
      </c>
      <c r="J195" s="10">
        <f>+'A) Base RI'!G195+'A) Base RI'!H195+'A) Base RI'!I195</f>
        <v>5701588.7900634296</v>
      </c>
      <c r="K195" s="10">
        <f>+'A) Base RI'!J195</f>
        <v>25107.85</v>
      </c>
      <c r="L195" s="10">
        <f>+'A) Base RI'!K195</f>
        <v>110611.58</v>
      </c>
      <c r="M195" s="10">
        <f>+'A) Base RI'!L195</f>
        <v>197869.5</v>
      </c>
      <c r="N195" s="10">
        <f>+'A) Base RI'!R195</f>
        <v>0</v>
      </c>
      <c r="O195" s="10">
        <f t="shared" si="13"/>
        <v>605535.44999999995</v>
      </c>
      <c r="P195" s="10">
        <f>+'A) Base RI'!M195</f>
        <v>605535.44999999995</v>
      </c>
      <c r="Q195" s="428">
        <f>'A) Base RI'!Z195</f>
        <v>1</v>
      </c>
      <c r="R195" s="420">
        <f t="shared" si="14"/>
        <v>10856893.660063429</v>
      </c>
      <c r="S195" s="410">
        <f>+'A) Base RI'!U195</f>
        <v>61</v>
      </c>
      <c r="T195" s="420">
        <f t="shared" si="15"/>
        <v>10053488.71006343</v>
      </c>
      <c r="U195" s="420">
        <f t="shared" si="16"/>
        <v>177981.86327972834</v>
      </c>
      <c r="V195" s="10">
        <f>+'A) Base RI'!P195</f>
        <v>16079.1</v>
      </c>
      <c r="W195" s="10">
        <f>+'A) Base RI'!Q195</f>
        <v>436710.45</v>
      </c>
      <c r="X195" s="10">
        <f>+'A) Base RI'!S195</f>
        <v>31218.5</v>
      </c>
      <c r="Y195" s="420">
        <f t="shared" si="17"/>
        <v>484008.05</v>
      </c>
      <c r="Z195" s="10">
        <f>+'A) Base RI'!O195</f>
        <v>679442.25</v>
      </c>
      <c r="AA195" s="10">
        <f>'A) Base RI'!V195</f>
        <v>1618</v>
      </c>
    </row>
    <row r="196" spans="1:27" x14ac:dyDescent="0.25">
      <c r="A196" s="8">
        <f>'A) Base RI'!A196</f>
        <v>5717</v>
      </c>
      <c r="B196" s="32" t="str">
        <f>'A) Base RI'!B196</f>
        <v>Founex</v>
      </c>
      <c r="C196" s="10">
        <f>'A) Base RI'!C196+'A) Base RI'!D196</f>
        <v>18490959.609999999</v>
      </c>
      <c r="D196" s="10">
        <f>'A) Base RI'!W196</f>
        <v>-137980.42000000001</v>
      </c>
      <c r="E196" s="406">
        <f>'A) Base RI'!X196</f>
        <v>-18432</v>
      </c>
      <c r="F196" s="406">
        <f>'A) Base RI'!Y196</f>
        <v>-49792.18</v>
      </c>
      <c r="G196" s="420">
        <f t="shared" si="12"/>
        <v>18284755.009999998</v>
      </c>
      <c r="H196" s="10">
        <f>+'A) Base RI'!E196</f>
        <v>0</v>
      </c>
      <c r="I196" s="10">
        <f>+'A) Base RI'!F196</f>
        <v>0</v>
      </c>
      <c r="J196" s="10">
        <f>+'A) Base RI'!G196+'A) Base RI'!H196+'A) Base RI'!I196</f>
        <v>307561.07162481226</v>
      </c>
      <c r="K196" s="10">
        <f>+'A) Base RI'!J196</f>
        <v>913524.5</v>
      </c>
      <c r="L196" s="10">
        <f>+'A) Base RI'!K196</f>
        <v>433261.74</v>
      </c>
      <c r="M196" s="10">
        <f>+'A) Base RI'!L196</f>
        <v>47633.5</v>
      </c>
      <c r="N196" s="10">
        <f>+'A) Base RI'!R196</f>
        <v>1272.4000000000001</v>
      </c>
      <c r="O196" s="10">
        <f t="shared" si="13"/>
        <v>1257401.45</v>
      </c>
      <c r="P196" s="10">
        <f>+'A) Base RI'!M196</f>
        <v>1257401.45</v>
      </c>
      <c r="Q196" s="428">
        <f>'A) Base RI'!Z196</f>
        <v>1</v>
      </c>
      <c r="R196" s="420">
        <f t="shared" si="14"/>
        <v>21245409.671624806</v>
      </c>
      <c r="S196" s="410">
        <f>+'A) Base RI'!U196</f>
        <v>57</v>
      </c>
      <c r="T196" s="420">
        <f t="shared" si="15"/>
        <v>19940374.721624807</v>
      </c>
      <c r="U196" s="420">
        <f t="shared" si="16"/>
        <v>372726.48546710185</v>
      </c>
      <c r="V196" s="10">
        <f>+'A) Base RI'!P196</f>
        <v>5114.3999999999996</v>
      </c>
      <c r="W196" s="10">
        <f>+'A) Base RI'!Q196</f>
        <v>734333.6</v>
      </c>
      <c r="X196" s="10">
        <f>+'A) Base RI'!S196</f>
        <v>330130.15000000002</v>
      </c>
      <c r="Y196" s="420">
        <f t="shared" si="17"/>
        <v>1069578.1499999999</v>
      </c>
      <c r="Z196" s="10">
        <f>+'A) Base RI'!O196</f>
        <v>249276.3</v>
      </c>
      <c r="AA196" s="10">
        <f>'A) Base RI'!V196</f>
        <v>3790</v>
      </c>
    </row>
    <row r="197" spans="1:27" x14ac:dyDescent="0.25">
      <c r="A197" s="8">
        <f>'A) Base RI'!A197</f>
        <v>5718</v>
      </c>
      <c r="B197" s="32" t="str">
        <f>'A) Base RI'!B197</f>
        <v>Genolier</v>
      </c>
      <c r="C197" s="10">
        <f>'A) Base RI'!C197+'A) Base RI'!D197</f>
        <v>8404987.2699999996</v>
      </c>
      <c r="D197" s="10">
        <f>'A) Base RI'!W197</f>
        <v>-64682.38</v>
      </c>
      <c r="E197" s="406">
        <f>'A) Base RI'!X197</f>
        <v>0</v>
      </c>
      <c r="F197" s="406">
        <f>'A) Base RI'!Y197</f>
        <v>-2573.77</v>
      </c>
      <c r="G197" s="420">
        <f t="shared" si="12"/>
        <v>8337731.1200000001</v>
      </c>
      <c r="H197" s="10">
        <f>+'A) Base RI'!E197</f>
        <v>0</v>
      </c>
      <c r="I197" s="10">
        <f>+'A) Base RI'!F197</f>
        <v>0</v>
      </c>
      <c r="J197" s="10">
        <f>+'A) Base RI'!G197+'A) Base RI'!H197+'A) Base RI'!I197</f>
        <v>9594.4319457548754</v>
      </c>
      <c r="K197" s="10">
        <f>+'A) Base RI'!J197</f>
        <v>99698.29</v>
      </c>
      <c r="L197" s="10">
        <f>+'A) Base RI'!K197</f>
        <v>220212.97</v>
      </c>
      <c r="M197" s="10">
        <f>+'A) Base RI'!L197</f>
        <v>44288.6</v>
      </c>
      <c r="N197" s="10">
        <f>+'A) Base RI'!R197</f>
        <v>27852.79</v>
      </c>
      <c r="O197" s="10">
        <f t="shared" si="13"/>
        <v>647274.80000000005</v>
      </c>
      <c r="P197" s="10">
        <f>+'A) Base RI'!M197</f>
        <v>647274.80000000005</v>
      </c>
      <c r="Q197" s="428">
        <f>'A) Base RI'!Z197</f>
        <v>1</v>
      </c>
      <c r="R197" s="420">
        <f t="shared" si="14"/>
        <v>9386653.0019457545</v>
      </c>
      <c r="S197" s="410">
        <f>+'A) Base RI'!U197</f>
        <v>55</v>
      </c>
      <c r="T197" s="420">
        <f t="shared" si="15"/>
        <v>8695089.6019457541</v>
      </c>
      <c r="U197" s="420">
        <f t="shared" si="16"/>
        <v>170666.41821719555</v>
      </c>
      <c r="V197" s="10">
        <f>+'A) Base RI'!P197</f>
        <v>714881.3</v>
      </c>
      <c r="W197" s="10">
        <f>+'A) Base RI'!Q197</f>
        <v>353965.8</v>
      </c>
      <c r="X197" s="10">
        <f>+'A) Base RI'!S197</f>
        <v>221900.85</v>
      </c>
      <c r="Y197" s="420">
        <f t="shared" si="17"/>
        <v>1290747.9500000002</v>
      </c>
      <c r="Z197" s="10">
        <f>+'A) Base RI'!O197</f>
        <v>325758.59999999998</v>
      </c>
      <c r="AA197" s="10">
        <f>'A) Base RI'!V197</f>
        <v>1961</v>
      </c>
    </row>
    <row r="198" spans="1:27" x14ac:dyDescent="0.25">
      <c r="A198" s="8">
        <f>'A) Base RI'!A198</f>
        <v>5719</v>
      </c>
      <c r="B198" s="32" t="str">
        <f>'A) Base RI'!B198</f>
        <v>Gingins</v>
      </c>
      <c r="C198" s="10">
        <f>'A) Base RI'!C198+'A) Base RI'!D198</f>
        <v>6122255.6600000001</v>
      </c>
      <c r="D198" s="10">
        <f>'A) Base RI'!W198</f>
        <v>-17242.27</v>
      </c>
      <c r="E198" s="406">
        <f>'A) Base RI'!X198</f>
        <v>0</v>
      </c>
      <c r="F198" s="406">
        <f>'A) Base RI'!Y198</f>
        <v>-1925.1</v>
      </c>
      <c r="G198" s="420">
        <f t="shared" si="12"/>
        <v>6103088.290000001</v>
      </c>
      <c r="H198" s="10">
        <f>+'A) Base RI'!E198</f>
        <v>0</v>
      </c>
      <c r="I198" s="10">
        <f>+'A) Base RI'!F198</f>
        <v>0</v>
      </c>
      <c r="J198" s="10">
        <f>+'A) Base RI'!G198+'A) Base RI'!H198+'A) Base RI'!I198</f>
        <v>57807.831314868665</v>
      </c>
      <c r="K198" s="10">
        <f>+'A) Base RI'!J198</f>
        <v>-334493.95</v>
      </c>
      <c r="L198" s="10">
        <f>+'A) Base RI'!K198</f>
        <v>48542.879999999997</v>
      </c>
      <c r="M198" s="10">
        <f>+'A) Base RI'!L198</f>
        <v>9138.35</v>
      </c>
      <c r="N198" s="10">
        <f>+'A) Base RI'!R198</f>
        <v>26669.83</v>
      </c>
      <c r="O198" s="10">
        <f t="shared" si="13"/>
        <v>388069</v>
      </c>
      <c r="P198" s="10">
        <f>+'A) Base RI'!M198</f>
        <v>232841.4</v>
      </c>
      <c r="Q198" s="428">
        <f>'A) Base RI'!Z198</f>
        <v>0.6</v>
      </c>
      <c r="R198" s="420">
        <f t="shared" si="14"/>
        <v>6298822.2313148687</v>
      </c>
      <c r="S198" s="410">
        <f>+'A) Base RI'!U198</f>
        <v>57</v>
      </c>
      <c r="T198" s="420">
        <f t="shared" si="15"/>
        <v>5901614.881314869</v>
      </c>
      <c r="U198" s="420">
        <f t="shared" si="16"/>
        <v>110505.6531809626</v>
      </c>
      <c r="V198" s="10">
        <f>+'A) Base RI'!P198</f>
        <v>159463.1</v>
      </c>
      <c r="W198" s="10">
        <f>+'A) Base RI'!Q198</f>
        <v>527321.5</v>
      </c>
      <c r="X198" s="10">
        <f>+'A) Base RI'!S198</f>
        <v>191782</v>
      </c>
      <c r="Y198" s="420">
        <f t="shared" si="17"/>
        <v>878566.6</v>
      </c>
      <c r="Z198" s="10">
        <f>+'A) Base RI'!O198</f>
        <v>59727.15</v>
      </c>
      <c r="AA198" s="10">
        <f>'A) Base RI'!V198</f>
        <v>1226</v>
      </c>
    </row>
    <row r="199" spans="1:27" x14ac:dyDescent="0.25">
      <c r="A199" s="8">
        <f>'A) Base RI'!A199</f>
        <v>5720</v>
      </c>
      <c r="B199" s="32" t="str">
        <f>'A) Base RI'!B199</f>
        <v>Givrins</v>
      </c>
      <c r="C199" s="10">
        <f>'A) Base RI'!C199+'A) Base RI'!D199</f>
        <v>3806984.34</v>
      </c>
      <c r="D199" s="10">
        <f>'A) Base RI'!W199</f>
        <v>-42411.87</v>
      </c>
      <c r="E199" s="406">
        <f>'A) Base RI'!X199</f>
        <v>0</v>
      </c>
      <c r="F199" s="406">
        <f>'A) Base RI'!Y199</f>
        <v>-2502.3200000000002</v>
      </c>
      <c r="G199" s="420">
        <f t="shared" si="12"/>
        <v>3762070.15</v>
      </c>
      <c r="H199" s="10">
        <f>+'A) Base RI'!E199</f>
        <v>0</v>
      </c>
      <c r="I199" s="10">
        <f>+'A) Base RI'!F199</f>
        <v>0</v>
      </c>
      <c r="J199" s="10">
        <f>+'A) Base RI'!G199+'A) Base RI'!H199+'A) Base RI'!I199</f>
        <v>38749.080275586748</v>
      </c>
      <c r="K199" s="10">
        <f>+'A) Base RI'!J199</f>
        <v>362718.47</v>
      </c>
      <c r="L199" s="10">
        <f>+'A) Base RI'!K199</f>
        <v>32265.08</v>
      </c>
      <c r="M199" s="10">
        <f>+'A) Base RI'!L199</f>
        <v>0</v>
      </c>
      <c r="N199" s="10">
        <f>+'A) Base RI'!R199</f>
        <v>1129.56</v>
      </c>
      <c r="O199" s="10">
        <f t="shared" si="13"/>
        <v>290746.44444444444</v>
      </c>
      <c r="P199" s="10">
        <f>+'A) Base RI'!M199</f>
        <v>261671.8</v>
      </c>
      <c r="Q199" s="428">
        <f>'A) Base RI'!Z199</f>
        <v>0.9</v>
      </c>
      <c r="R199" s="420">
        <f t="shared" si="14"/>
        <v>4487678.7847200306</v>
      </c>
      <c r="S199" s="410">
        <f>+'A) Base RI'!U199</f>
        <v>67</v>
      </c>
      <c r="T199" s="420">
        <f t="shared" si="15"/>
        <v>4196932.3402755866</v>
      </c>
      <c r="U199" s="420">
        <f t="shared" si="16"/>
        <v>66980.280368955675</v>
      </c>
      <c r="V199" s="10">
        <f>+'A) Base RI'!P199</f>
        <v>0</v>
      </c>
      <c r="W199" s="10">
        <f>+'A) Base RI'!Q199</f>
        <v>256919.55</v>
      </c>
      <c r="X199" s="10">
        <f>+'A) Base RI'!S199</f>
        <v>63426.55</v>
      </c>
      <c r="Y199" s="420">
        <f t="shared" si="17"/>
        <v>320346.09999999998</v>
      </c>
      <c r="Z199" s="10">
        <f>+'A) Base RI'!O199</f>
        <v>9158.4500000000007</v>
      </c>
      <c r="AA199" s="10">
        <f>'A) Base RI'!V199</f>
        <v>1033</v>
      </c>
    </row>
    <row r="200" spans="1:27" x14ac:dyDescent="0.25">
      <c r="A200" s="8">
        <f>'A) Base RI'!A200</f>
        <v>5721</v>
      </c>
      <c r="B200" s="32" t="str">
        <f>'A) Base RI'!B200</f>
        <v>Gland</v>
      </c>
      <c r="C200" s="10">
        <f>'A) Base RI'!C200+'A) Base RI'!D200</f>
        <v>32557115.969999999</v>
      </c>
      <c r="D200" s="10">
        <f>'A) Base RI'!W200</f>
        <v>-497857.2</v>
      </c>
      <c r="E200" s="406">
        <f>'A) Base RI'!X200</f>
        <v>0</v>
      </c>
      <c r="F200" s="406">
        <f>'A) Base RI'!Y200</f>
        <v>-36214.92</v>
      </c>
      <c r="G200" s="420">
        <f t="shared" ref="G200:G263" si="18">SUM(C200:F200)</f>
        <v>32023043.849999998</v>
      </c>
      <c r="H200" s="10">
        <f>+'A) Base RI'!E200</f>
        <v>0</v>
      </c>
      <c r="I200" s="10">
        <f>+'A) Base RI'!F200</f>
        <v>0</v>
      </c>
      <c r="J200" s="10">
        <f>+'A) Base RI'!G200+'A) Base RI'!H200+'A) Base RI'!I200</f>
        <v>2477494.3811557232</v>
      </c>
      <c r="K200" s="10">
        <f>+'A) Base RI'!J200</f>
        <v>833670.55</v>
      </c>
      <c r="L200" s="10">
        <f>+'A) Base RI'!K200</f>
        <v>1044042.29</v>
      </c>
      <c r="M200" s="10">
        <f>+'A) Base RI'!L200</f>
        <v>474228.4</v>
      </c>
      <c r="N200" s="10">
        <f>+'A) Base RI'!R200</f>
        <v>155502.67000000001</v>
      </c>
      <c r="O200" s="10">
        <f t="shared" ref="O200:O263" si="19">(P200/Q200)*1</f>
        <v>2749543.9</v>
      </c>
      <c r="P200" s="10">
        <f>+'A) Base RI'!M200</f>
        <v>2749543.9</v>
      </c>
      <c r="Q200" s="428">
        <f>'A) Base RI'!Z200</f>
        <v>1</v>
      </c>
      <c r="R200" s="420">
        <f t="shared" ref="R200:R263" si="20">SUM(G200:O200)</f>
        <v>39757526.041155718</v>
      </c>
      <c r="S200" s="410">
        <f>+'A) Base RI'!U200</f>
        <v>62.5</v>
      </c>
      <c r="T200" s="420">
        <f t="shared" ref="T200:T263" si="21">(G200+H200+J200+K200+L200+N200)</f>
        <v>36533753.741155721</v>
      </c>
      <c r="U200" s="420">
        <f t="shared" ref="U200:U263" si="22">R200/S200</f>
        <v>636120.41665849148</v>
      </c>
      <c r="V200" s="10">
        <f>+'A) Base RI'!P200</f>
        <v>78513.899999999994</v>
      </c>
      <c r="W200" s="10">
        <f>+'A) Base RI'!Q200</f>
        <v>1969702.8</v>
      </c>
      <c r="X200" s="10">
        <f>+'A) Base RI'!S200</f>
        <v>952805.75</v>
      </c>
      <c r="Y200" s="420">
        <f t="shared" ref="Y200:Y263" si="23">SUM(V200:X200)</f>
        <v>3001022.45</v>
      </c>
      <c r="Z200" s="10">
        <f>+'A) Base RI'!O200</f>
        <v>1948987.2</v>
      </c>
      <c r="AA200" s="10">
        <f>'A) Base RI'!V200</f>
        <v>13101</v>
      </c>
    </row>
    <row r="201" spans="1:27" x14ac:dyDescent="0.25">
      <c r="A201" s="8">
        <f>'A) Base RI'!A201</f>
        <v>5722</v>
      </c>
      <c r="B201" s="32" t="str">
        <f>'A) Base RI'!B201</f>
        <v>Grens</v>
      </c>
      <c r="C201" s="10">
        <f>'A) Base RI'!C201+'A) Base RI'!D201</f>
        <v>1244892.1199999999</v>
      </c>
      <c r="D201" s="10">
        <f>'A) Base RI'!W201</f>
        <v>-487.43</v>
      </c>
      <c r="E201" s="406">
        <f>'A) Base RI'!X201</f>
        <v>0</v>
      </c>
      <c r="F201" s="406">
        <f>'A) Base RI'!Y201</f>
        <v>-369.17</v>
      </c>
      <c r="G201" s="420">
        <f t="shared" si="18"/>
        <v>1244035.52</v>
      </c>
      <c r="H201" s="10">
        <f>+'A) Base RI'!E201</f>
        <v>0</v>
      </c>
      <c r="I201" s="10">
        <f>+'A) Base RI'!F201</f>
        <v>0</v>
      </c>
      <c r="J201" s="10">
        <f>+'A) Base RI'!G201+'A) Base RI'!H201+'A) Base RI'!I201</f>
        <v>14272.250660228721</v>
      </c>
      <c r="K201" s="10">
        <f>+'A) Base RI'!J201</f>
        <v>0</v>
      </c>
      <c r="L201" s="10">
        <f>+'A) Base RI'!K201</f>
        <v>19748.900000000001</v>
      </c>
      <c r="M201" s="10">
        <f>+'A) Base RI'!L201</f>
        <v>5655.6</v>
      </c>
      <c r="N201" s="10">
        <f>+'A) Base RI'!R201</f>
        <v>226.44</v>
      </c>
      <c r="O201" s="10">
        <f t="shared" si="19"/>
        <v>83898.1</v>
      </c>
      <c r="P201" s="10">
        <f>+'A) Base RI'!M201</f>
        <v>83898.1</v>
      </c>
      <c r="Q201" s="428">
        <f>'A) Base RI'!Z201</f>
        <v>1</v>
      </c>
      <c r="R201" s="420">
        <f t="shared" si="20"/>
        <v>1367836.8106602288</v>
      </c>
      <c r="S201" s="410">
        <f>+'A) Base RI'!U201</f>
        <v>62</v>
      </c>
      <c r="T201" s="420">
        <f t="shared" si="21"/>
        <v>1278283.1106602286</v>
      </c>
      <c r="U201" s="420">
        <f t="shared" si="22"/>
        <v>22061.884042906917</v>
      </c>
      <c r="V201" s="10">
        <f>+'A) Base RI'!P201</f>
        <v>0</v>
      </c>
      <c r="W201" s="10">
        <f>+'A) Base RI'!Q201</f>
        <v>17710</v>
      </c>
      <c r="X201" s="10">
        <f>+'A) Base RI'!S201</f>
        <v>0</v>
      </c>
      <c r="Y201" s="420">
        <f t="shared" si="23"/>
        <v>17710</v>
      </c>
      <c r="Z201" s="10">
        <f>+'A) Base RI'!O201</f>
        <v>21808.65</v>
      </c>
      <c r="AA201" s="10">
        <f>'A) Base RI'!V201</f>
        <v>391</v>
      </c>
    </row>
    <row r="202" spans="1:27" x14ac:dyDescent="0.25">
      <c r="A202" s="8">
        <f>'A) Base RI'!A202</f>
        <v>5723</v>
      </c>
      <c r="B202" s="32" t="str">
        <f>'A) Base RI'!B202</f>
        <v>Mies</v>
      </c>
      <c r="C202" s="10">
        <f>'A) Base RI'!C202+'A) Base RI'!D202</f>
        <v>23195498.800000001</v>
      </c>
      <c r="D202" s="10">
        <f>'A) Base RI'!W202</f>
        <v>-118848.2</v>
      </c>
      <c r="E202" s="406">
        <f>'A) Base RI'!X202</f>
        <v>0</v>
      </c>
      <c r="F202" s="406">
        <f>'A) Base RI'!Y202</f>
        <v>-8877.7999999999993</v>
      </c>
      <c r="G202" s="420">
        <f t="shared" si="18"/>
        <v>23067772.800000001</v>
      </c>
      <c r="H202" s="10">
        <f>+'A) Base RI'!E202</f>
        <v>0</v>
      </c>
      <c r="I202" s="10">
        <f>+'A) Base RI'!F202</f>
        <v>0</v>
      </c>
      <c r="J202" s="10">
        <f>+'A) Base RI'!G202+'A) Base RI'!H202+'A) Base RI'!I202</f>
        <v>122578.66128461459</v>
      </c>
      <c r="K202" s="10">
        <f>+'A) Base RI'!J202</f>
        <v>660346.09</v>
      </c>
      <c r="L202" s="10">
        <f>+'A) Base RI'!K202</f>
        <v>285927.71999999997</v>
      </c>
      <c r="M202" s="10">
        <f>+'A) Base RI'!L202</f>
        <v>38632.5</v>
      </c>
      <c r="N202" s="10">
        <f>+'A) Base RI'!R202</f>
        <v>-26852.25</v>
      </c>
      <c r="O202" s="10">
        <f t="shared" si="19"/>
        <v>780501.05</v>
      </c>
      <c r="P202" s="10">
        <f>+'A) Base RI'!M202</f>
        <v>780501.05</v>
      </c>
      <c r="Q202" s="428">
        <f>'A) Base RI'!Z202</f>
        <v>1</v>
      </c>
      <c r="R202" s="420">
        <f t="shared" si="20"/>
        <v>24928906.571284615</v>
      </c>
      <c r="S202" s="410">
        <f>+'A) Base RI'!U202</f>
        <v>49</v>
      </c>
      <c r="T202" s="420">
        <f t="shared" si="21"/>
        <v>24109773.021284614</v>
      </c>
      <c r="U202" s="420">
        <f t="shared" si="22"/>
        <v>508753.19533233909</v>
      </c>
      <c r="V202" s="10">
        <f>+'A) Base RI'!P202</f>
        <v>184858.9</v>
      </c>
      <c r="W202" s="10">
        <f>+'A) Base RI'!Q202</f>
        <v>687447</v>
      </c>
      <c r="X202" s="10">
        <f>+'A) Base RI'!S202</f>
        <v>739305.05</v>
      </c>
      <c r="Y202" s="420">
        <f t="shared" si="23"/>
        <v>1611610.9500000002</v>
      </c>
      <c r="Z202" s="10">
        <f>+'A) Base RI'!O202</f>
        <v>138805.70000000001</v>
      </c>
      <c r="AA202" s="10">
        <f>'A) Base RI'!V202</f>
        <v>2075</v>
      </c>
    </row>
    <row r="203" spans="1:27" x14ac:dyDescent="0.25">
      <c r="A203" s="8">
        <f>'A) Base RI'!A203</f>
        <v>5724</v>
      </c>
      <c r="B203" s="32" t="str">
        <f>'A) Base RI'!B203</f>
        <v>Nyon</v>
      </c>
      <c r="C203" s="10">
        <f>'A) Base RI'!C203+'A) Base RI'!D203</f>
        <v>60831418.439999998</v>
      </c>
      <c r="D203" s="10">
        <f>'A) Base RI'!W203</f>
        <v>-1082531.98</v>
      </c>
      <c r="E203" s="406">
        <f>'A) Base RI'!X203</f>
        <v>0</v>
      </c>
      <c r="F203" s="406">
        <f>'A) Base RI'!Y203</f>
        <v>-22185.85</v>
      </c>
      <c r="G203" s="420">
        <f t="shared" si="18"/>
        <v>59726700.609999999</v>
      </c>
      <c r="H203" s="10">
        <f>+'A) Base RI'!E203</f>
        <v>0</v>
      </c>
      <c r="I203" s="10">
        <f>+'A) Base RI'!F203</f>
        <v>0</v>
      </c>
      <c r="J203" s="10">
        <f>+'A) Base RI'!G203+'A) Base RI'!H203+'A) Base RI'!I203</f>
        <v>7486725.3846269492</v>
      </c>
      <c r="K203" s="10">
        <f>+'A) Base RI'!J203</f>
        <v>1858366.67</v>
      </c>
      <c r="L203" s="10">
        <f>+'A) Base RI'!K203</f>
        <v>3157761.54</v>
      </c>
      <c r="M203" s="10">
        <f>+'A) Base RI'!L203</f>
        <v>783807.75</v>
      </c>
      <c r="N203" s="10">
        <f>+'A) Base RI'!R203</f>
        <v>197746.37</v>
      </c>
      <c r="O203" s="10">
        <f t="shared" si="19"/>
        <v>5152477.538461538</v>
      </c>
      <c r="P203" s="10">
        <f>+'A) Base RI'!M203</f>
        <v>6698220.7999999998</v>
      </c>
      <c r="Q203" s="428">
        <f>'A) Base RI'!Z203</f>
        <v>1.3</v>
      </c>
      <c r="R203" s="420">
        <f t="shared" si="20"/>
        <v>78363585.863088503</v>
      </c>
      <c r="S203" s="410">
        <f>+'A) Base RI'!U203</f>
        <v>61</v>
      </c>
      <c r="T203" s="420">
        <f t="shared" si="21"/>
        <v>72427300.574626967</v>
      </c>
      <c r="U203" s="420">
        <f t="shared" si="22"/>
        <v>1284648.9485752215</v>
      </c>
      <c r="V203" s="10">
        <f>+'A) Base RI'!P203</f>
        <v>2626556.1</v>
      </c>
      <c r="W203" s="10">
        <f>+'A) Base RI'!Q203</f>
        <v>3941160</v>
      </c>
      <c r="X203" s="10">
        <f>+'A) Base RI'!S203</f>
        <v>2156509.5</v>
      </c>
      <c r="Y203" s="420">
        <f t="shared" si="23"/>
        <v>8724225.5999999996</v>
      </c>
      <c r="Z203" s="10">
        <f>+'A) Base RI'!O203</f>
        <v>4786782.4000000004</v>
      </c>
      <c r="AA203" s="10">
        <f>'A) Base RI'!V203</f>
        <v>21239</v>
      </c>
    </row>
    <row r="204" spans="1:27" x14ac:dyDescent="0.25">
      <c r="A204" s="8">
        <f>'A) Base RI'!A204</f>
        <v>5725</v>
      </c>
      <c r="B204" s="32" t="str">
        <f>'A) Base RI'!B204</f>
        <v>Prangins</v>
      </c>
      <c r="C204" s="10">
        <f>'A) Base RI'!C204+'A) Base RI'!D204</f>
        <v>13791369.66</v>
      </c>
      <c r="D204" s="10">
        <f>'A) Base RI'!W204</f>
        <v>-77679.02</v>
      </c>
      <c r="E204" s="406">
        <f>'A) Base RI'!X204</f>
        <v>0</v>
      </c>
      <c r="F204" s="406">
        <f>'A) Base RI'!Y204</f>
        <v>-6502.76</v>
      </c>
      <c r="G204" s="420">
        <f t="shared" si="18"/>
        <v>13707187.880000001</v>
      </c>
      <c r="H204" s="10">
        <f>+'A) Base RI'!E204</f>
        <v>0</v>
      </c>
      <c r="I204" s="10">
        <f>+'A) Base RI'!F204</f>
        <v>0</v>
      </c>
      <c r="J204" s="10">
        <f>+'A) Base RI'!G204+'A) Base RI'!H204+'A) Base RI'!I204</f>
        <v>2862467.6472823257</v>
      </c>
      <c r="K204" s="10">
        <f>+'A) Base RI'!J204</f>
        <v>319262.40999999997</v>
      </c>
      <c r="L204" s="10">
        <f>+'A) Base RI'!K204</f>
        <v>447458.24</v>
      </c>
      <c r="M204" s="10">
        <f>+'A) Base RI'!L204</f>
        <v>63987.5</v>
      </c>
      <c r="N204" s="10">
        <f>+'A) Base RI'!R204</f>
        <v>32640.560000000001</v>
      </c>
      <c r="O204" s="10">
        <f t="shared" si="19"/>
        <v>1126775.107142857</v>
      </c>
      <c r="P204" s="10">
        <f>+'A) Base RI'!M204</f>
        <v>1577485.15</v>
      </c>
      <c r="Q204" s="428">
        <f>'A) Base RI'!Z204</f>
        <v>1.4</v>
      </c>
      <c r="R204" s="420">
        <f t="shared" si="20"/>
        <v>18559779.344425183</v>
      </c>
      <c r="S204" s="410">
        <f>+'A) Base RI'!U204</f>
        <v>56</v>
      </c>
      <c r="T204" s="420">
        <f t="shared" si="21"/>
        <v>17369016.737282325</v>
      </c>
      <c r="U204" s="420">
        <f t="shared" si="22"/>
        <v>331424.63115044968</v>
      </c>
      <c r="V204" s="10">
        <f>+'A) Base RI'!P204</f>
        <v>242941.7</v>
      </c>
      <c r="W204" s="10">
        <f>+'A) Base RI'!Q204</f>
        <v>1054492.7</v>
      </c>
      <c r="X204" s="10">
        <f>+'A) Base RI'!S204</f>
        <v>773222.15</v>
      </c>
      <c r="Y204" s="420">
        <f t="shared" si="23"/>
        <v>2070656.5499999998</v>
      </c>
      <c r="Z204" s="10">
        <f>+'A) Base RI'!O204</f>
        <v>1330506.95</v>
      </c>
      <c r="AA204" s="10">
        <f>'A) Base RI'!V204</f>
        <v>4040</v>
      </c>
    </row>
    <row r="205" spans="1:27" x14ac:dyDescent="0.25">
      <c r="A205" s="8">
        <f>'A) Base RI'!A205</f>
        <v>5726</v>
      </c>
      <c r="B205" s="32" t="str">
        <f>'A) Base RI'!B205</f>
        <v>La Rippe</v>
      </c>
      <c r="C205" s="10">
        <f>'A) Base RI'!C205+'A) Base RI'!D205</f>
        <v>3621070.5300000003</v>
      </c>
      <c r="D205" s="10">
        <f>'A) Base RI'!W205</f>
        <v>-62865.88</v>
      </c>
      <c r="E205" s="406">
        <f>'A) Base RI'!X205</f>
        <v>0</v>
      </c>
      <c r="F205" s="406">
        <f>'A) Base RI'!Y205</f>
        <v>-469.14</v>
      </c>
      <c r="G205" s="420">
        <f t="shared" si="18"/>
        <v>3557735.5100000002</v>
      </c>
      <c r="H205" s="10">
        <f>+'A) Base RI'!E205</f>
        <v>0</v>
      </c>
      <c r="I205" s="10">
        <f>+'A) Base RI'!F205</f>
        <v>0</v>
      </c>
      <c r="J205" s="10">
        <f>+'A) Base RI'!G205+'A) Base RI'!H205+'A) Base RI'!I205</f>
        <v>25124.643083354713</v>
      </c>
      <c r="K205" s="10">
        <f>+'A) Base RI'!J205</f>
        <v>0</v>
      </c>
      <c r="L205" s="10">
        <f>+'A) Base RI'!K205</f>
        <v>41769.72</v>
      </c>
      <c r="M205" s="10">
        <f>+'A) Base RI'!L205</f>
        <v>4195.1499999999996</v>
      </c>
      <c r="N205" s="10">
        <f>+'A) Base RI'!R205</f>
        <v>3.44</v>
      </c>
      <c r="O205" s="10">
        <f t="shared" si="19"/>
        <v>256589.05</v>
      </c>
      <c r="P205" s="10">
        <f>+'A) Base RI'!M205</f>
        <v>256589.05</v>
      </c>
      <c r="Q205" s="428">
        <f>'A) Base RI'!Z205</f>
        <v>1</v>
      </c>
      <c r="R205" s="420">
        <f t="shared" si="20"/>
        <v>3885417.513083355</v>
      </c>
      <c r="S205" s="410">
        <f>+'A) Base RI'!U205</f>
        <v>65</v>
      </c>
      <c r="T205" s="420">
        <f t="shared" si="21"/>
        <v>3624633.3130833553</v>
      </c>
      <c r="U205" s="420">
        <f t="shared" si="22"/>
        <v>59775.654047436234</v>
      </c>
      <c r="V205" s="10">
        <f>+'A) Base RI'!P205</f>
        <v>10.5</v>
      </c>
      <c r="W205" s="10">
        <f>+'A) Base RI'!Q205</f>
        <v>45483.5</v>
      </c>
      <c r="X205" s="10">
        <f>+'A) Base RI'!S205</f>
        <v>43632.5</v>
      </c>
      <c r="Y205" s="420">
        <f t="shared" si="23"/>
        <v>89126.5</v>
      </c>
      <c r="Z205" s="10">
        <f>+'A) Base RI'!O205</f>
        <v>45807</v>
      </c>
      <c r="AA205" s="10">
        <f>'A) Base RI'!V205</f>
        <v>1161</v>
      </c>
    </row>
    <row r="206" spans="1:27" x14ac:dyDescent="0.25">
      <c r="A206" s="8">
        <f>'A) Base RI'!A206</f>
        <v>5727</v>
      </c>
      <c r="B206" s="32" t="str">
        <f>'A) Base RI'!B206</f>
        <v>Saint-Cergue</v>
      </c>
      <c r="C206" s="10">
        <f>'A) Base RI'!C206+'A) Base RI'!D206</f>
        <v>4923466.4399999995</v>
      </c>
      <c r="D206" s="10">
        <f>'A) Base RI'!W206</f>
        <v>-134729.07999999999</v>
      </c>
      <c r="E206" s="406">
        <f>'A) Base RI'!X206</f>
        <v>0</v>
      </c>
      <c r="F206" s="406">
        <f>'A) Base RI'!Y206</f>
        <v>-394.5</v>
      </c>
      <c r="G206" s="420">
        <f t="shared" si="18"/>
        <v>4788342.8599999994</v>
      </c>
      <c r="H206" s="10">
        <f>+'A) Base RI'!E206</f>
        <v>0</v>
      </c>
      <c r="I206" s="10">
        <f>+'A) Base RI'!F206</f>
        <v>0</v>
      </c>
      <c r="J206" s="10">
        <f>+'A) Base RI'!G206+'A) Base RI'!H206+'A) Base RI'!I206</f>
        <v>11077.656218593338</v>
      </c>
      <c r="K206" s="10">
        <f>+'A) Base RI'!J206</f>
        <v>100543.52</v>
      </c>
      <c r="L206" s="10">
        <f>+'A) Base RI'!K206</f>
        <v>176318.03</v>
      </c>
      <c r="M206" s="10">
        <f>+'A) Base RI'!L206</f>
        <v>12254.2</v>
      </c>
      <c r="N206" s="10">
        <f>+'A) Base RI'!R206</f>
        <v>14790.08</v>
      </c>
      <c r="O206" s="10">
        <f t="shared" si="19"/>
        <v>495956.3666666667</v>
      </c>
      <c r="P206" s="10">
        <f>+'A) Base RI'!M206</f>
        <v>743934.55</v>
      </c>
      <c r="Q206" s="428">
        <f>'A) Base RI'!Z206</f>
        <v>1.5</v>
      </c>
      <c r="R206" s="420">
        <f t="shared" si="20"/>
        <v>5599282.7128852587</v>
      </c>
      <c r="S206" s="410">
        <f>+'A) Base RI'!U206</f>
        <v>66</v>
      </c>
      <c r="T206" s="420">
        <f t="shared" si="21"/>
        <v>5091072.1462185923</v>
      </c>
      <c r="U206" s="420">
        <f t="shared" si="22"/>
        <v>84837.616861897855</v>
      </c>
      <c r="V206" s="10">
        <f>+'A) Base RI'!P206</f>
        <v>1077.8</v>
      </c>
      <c r="W206" s="10">
        <f>+'A) Base RI'!Q206</f>
        <v>317573.84999999998</v>
      </c>
      <c r="X206" s="10">
        <f>+'A) Base RI'!S206</f>
        <v>211195.35</v>
      </c>
      <c r="Y206" s="420">
        <f t="shared" si="23"/>
        <v>529847</v>
      </c>
      <c r="Z206" s="10">
        <f>+'A) Base RI'!O206</f>
        <v>153366.29999999999</v>
      </c>
      <c r="AA206" s="10">
        <f>'A) Base RI'!V206</f>
        <v>2583</v>
      </c>
    </row>
    <row r="207" spans="1:27" x14ac:dyDescent="0.25">
      <c r="A207" s="8">
        <f>'A) Base RI'!A207</f>
        <v>5728</v>
      </c>
      <c r="B207" s="32" t="str">
        <f>'A) Base RI'!B207</f>
        <v>Signy-Avenex</v>
      </c>
      <c r="C207" s="10">
        <f>'A) Base RI'!C207+'A) Base RI'!D207</f>
        <v>1783867.81</v>
      </c>
      <c r="D207" s="10">
        <f>'A) Base RI'!W207</f>
        <v>-12280.52</v>
      </c>
      <c r="E207" s="406">
        <f>'A) Base RI'!X207</f>
        <v>0</v>
      </c>
      <c r="F207" s="406">
        <f>'A) Base RI'!Y207</f>
        <v>-129.99</v>
      </c>
      <c r="G207" s="420">
        <f t="shared" si="18"/>
        <v>1771457.3</v>
      </c>
      <c r="H207" s="10">
        <f>+'A) Base RI'!E207</f>
        <v>0</v>
      </c>
      <c r="I207" s="10">
        <f>+'A) Base RI'!F207</f>
        <v>0</v>
      </c>
      <c r="J207" s="10">
        <f>+'A) Base RI'!G207+'A) Base RI'!H207+'A) Base RI'!I207</f>
        <v>245763.02159950708</v>
      </c>
      <c r="K207" s="10">
        <f>+'A) Base RI'!J207</f>
        <v>26389.15</v>
      </c>
      <c r="L207" s="10">
        <f>+'A) Base RI'!K207</f>
        <v>222859.4</v>
      </c>
      <c r="M207" s="10">
        <f>+'A) Base RI'!L207</f>
        <v>51296.45</v>
      </c>
      <c r="N207" s="10">
        <f>+'A) Base RI'!R207</f>
        <v>384.21</v>
      </c>
      <c r="O207" s="10">
        <f t="shared" si="19"/>
        <v>213094</v>
      </c>
      <c r="P207" s="10">
        <f>+'A) Base RI'!M207</f>
        <v>213094</v>
      </c>
      <c r="Q207" s="428">
        <f>'A) Base RI'!Z207</f>
        <v>1</v>
      </c>
      <c r="R207" s="420">
        <f t="shared" si="20"/>
        <v>2531243.5315995072</v>
      </c>
      <c r="S207" s="410">
        <f>+'A) Base RI'!U207</f>
        <v>58</v>
      </c>
      <c r="T207" s="420">
        <f t="shared" si="21"/>
        <v>2266853.081599507</v>
      </c>
      <c r="U207" s="420">
        <f t="shared" si="22"/>
        <v>43642.129855163919</v>
      </c>
      <c r="V207" s="10">
        <f>+'A) Base RI'!P207</f>
        <v>0</v>
      </c>
      <c r="W207" s="10">
        <f>+'A) Base RI'!Q207</f>
        <v>86005.85</v>
      </c>
      <c r="X207" s="10">
        <f>+'A) Base RI'!S207</f>
        <v>110099.6</v>
      </c>
      <c r="Y207" s="420">
        <f t="shared" si="23"/>
        <v>196105.45</v>
      </c>
      <c r="Z207" s="10">
        <f>+'A) Base RI'!O207</f>
        <v>225885.4</v>
      </c>
      <c r="AA207" s="10">
        <f>'A) Base RI'!V207</f>
        <v>592</v>
      </c>
    </row>
    <row r="208" spans="1:27" x14ac:dyDescent="0.25">
      <c r="A208" s="8">
        <f>'A) Base RI'!A208</f>
        <v>5729</v>
      </c>
      <c r="B208" s="32" t="str">
        <f>'A) Base RI'!B208</f>
        <v>Tannay</v>
      </c>
      <c r="C208" s="10">
        <f>'A) Base RI'!C208+'A) Base RI'!D208</f>
        <v>7476884.6299999999</v>
      </c>
      <c r="D208" s="10">
        <f>'A) Base RI'!W208</f>
        <v>-47005.3</v>
      </c>
      <c r="E208" s="406">
        <f>'A) Base RI'!X208</f>
        <v>0</v>
      </c>
      <c r="F208" s="406">
        <f>'A) Base RI'!Y208</f>
        <v>-3848.53</v>
      </c>
      <c r="G208" s="420">
        <f t="shared" si="18"/>
        <v>7426030.7999999998</v>
      </c>
      <c r="H208" s="10">
        <f>+'A) Base RI'!E208</f>
        <v>0</v>
      </c>
      <c r="I208" s="10">
        <f>+'A) Base RI'!F208</f>
        <v>0</v>
      </c>
      <c r="J208" s="10">
        <f>+'A) Base RI'!G208+'A) Base RI'!H208+'A) Base RI'!I208</f>
        <v>429827.48549746338</v>
      </c>
      <c r="K208" s="10">
        <f>+'A) Base RI'!J208</f>
        <v>150067.6</v>
      </c>
      <c r="L208" s="10">
        <f>+'A) Base RI'!K208</f>
        <v>38776.949999999997</v>
      </c>
      <c r="M208" s="10">
        <f>+'A) Base RI'!L208</f>
        <v>2658.25</v>
      </c>
      <c r="N208" s="10">
        <f>+'A) Base RI'!R208</f>
        <v>6420.02</v>
      </c>
      <c r="O208" s="10">
        <f t="shared" si="19"/>
        <v>534342.73333333328</v>
      </c>
      <c r="P208" s="10">
        <f>+'A) Base RI'!M208</f>
        <v>801514.1</v>
      </c>
      <c r="Q208" s="428">
        <f>'A) Base RI'!Z208</f>
        <v>1.5</v>
      </c>
      <c r="R208" s="420">
        <f t="shared" si="20"/>
        <v>8588123.8388307951</v>
      </c>
      <c r="S208" s="410">
        <f>+'A) Base RI'!U208</f>
        <v>61</v>
      </c>
      <c r="T208" s="420">
        <f t="shared" si="21"/>
        <v>8051122.8554974627</v>
      </c>
      <c r="U208" s="420">
        <f t="shared" si="22"/>
        <v>140788.91539066879</v>
      </c>
      <c r="V208" s="10">
        <f>+'A) Base RI'!P208</f>
        <v>0</v>
      </c>
      <c r="W208" s="10">
        <f>+'A) Base RI'!Q208</f>
        <v>354462.1</v>
      </c>
      <c r="X208" s="10">
        <f>+'A) Base RI'!S208</f>
        <v>168773.95</v>
      </c>
      <c r="Y208" s="420">
        <f t="shared" si="23"/>
        <v>523236.05</v>
      </c>
      <c r="Z208" s="10">
        <f>+'A) Base RI'!O208</f>
        <v>26471.25</v>
      </c>
      <c r="AA208" s="10">
        <f>'A) Base RI'!V208</f>
        <v>1593</v>
      </c>
    </row>
    <row r="209" spans="1:27" x14ac:dyDescent="0.25">
      <c r="A209" s="8">
        <f>'A) Base RI'!A209</f>
        <v>5730</v>
      </c>
      <c r="B209" s="32" t="str">
        <f>'A) Base RI'!B209</f>
        <v>Trélex</v>
      </c>
      <c r="C209" s="10">
        <f>'A) Base RI'!C209+'A) Base RI'!D209</f>
        <v>8489790.7699999996</v>
      </c>
      <c r="D209" s="10">
        <f>'A) Base RI'!W209</f>
        <v>-15810.83</v>
      </c>
      <c r="E209" s="406">
        <f>'A) Base RI'!X209</f>
        <v>0</v>
      </c>
      <c r="F209" s="406">
        <f>'A) Base RI'!Y209</f>
        <v>-10364.26</v>
      </c>
      <c r="G209" s="420">
        <f t="shared" si="18"/>
        <v>8463615.6799999997</v>
      </c>
      <c r="H209" s="10">
        <f>+'A) Base RI'!E209</f>
        <v>0</v>
      </c>
      <c r="I209" s="10">
        <f>+'A) Base RI'!F209</f>
        <v>0</v>
      </c>
      <c r="J209" s="10">
        <f>+'A) Base RI'!G209+'A) Base RI'!H209+'A) Base RI'!I209</f>
        <v>42747.757181481007</v>
      </c>
      <c r="K209" s="10">
        <f>+'A) Base RI'!J209</f>
        <v>69731.100000000006</v>
      </c>
      <c r="L209" s="10">
        <f>+'A) Base RI'!K209</f>
        <v>87946.76</v>
      </c>
      <c r="M209" s="10">
        <f>+'A) Base RI'!L209</f>
        <v>6328.2</v>
      </c>
      <c r="N209" s="10">
        <f>+'A) Base RI'!R209</f>
        <v>449.9</v>
      </c>
      <c r="O209" s="10">
        <f t="shared" si="19"/>
        <v>414134.5</v>
      </c>
      <c r="P209" s="10">
        <f>+'A) Base RI'!M209</f>
        <v>372721.05</v>
      </c>
      <c r="Q209" s="428">
        <f>'A) Base RI'!Z209</f>
        <v>0.9</v>
      </c>
      <c r="R209" s="420">
        <f t="shared" si="20"/>
        <v>9084953.8971814793</v>
      </c>
      <c r="S209" s="410">
        <f>+'A) Base RI'!U209</f>
        <v>57</v>
      </c>
      <c r="T209" s="420">
        <f t="shared" si="21"/>
        <v>8664491.19718148</v>
      </c>
      <c r="U209" s="420">
        <f t="shared" si="22"/>
        <v>159385.15609090315</v>
      </c>
      <c r="V209" s="10">
        <f>+'A) Base RI'!P209</f>
        <v>57748.2</v>
      </c>
      <c r="W209" s="10">
        <f>+'A) Base RI'!Q209</f>
        <v>243542.15</v>
      </c>
      <c r="X209" s="10">
        <f>+'A) Base RI'!S209</f>
        <v>242722.65</v>
      </c>
      <c r="Y209" s="420">
        <f t="shared" si="23"/>
        <v>544013</v>
      </c>
      <c r="Z209" s="10">
        <f>+'A) Base RI'!O209</f>
        <v>9936.85</v>
      </c>
      <c r="AA209" s="10">
        <f>'A) Base RI'!V209</f>
        <v>1408</v>
      </c>
    </row>
    <row r="210" spans="1:27" x14ac:dyDescent="0.25">
      <c r="A210" s="8">
        <f>'A) Base RI'!A210</f>
        <v>5731</v>
      </c>
      <c r="B210" s="32" t="str">
        <f>'A) Base RI'!B210</f>
        <v>Le Vaud</v>
      </c>
      <c r="C210" s="10">
        <f>'A) Base RI'!C210+'A) Base RI'!D210</f>
        <v>3706089.58</v>
      </c>
      <c r="D210" s="10">
        <f>'A) Base RI'!W210</f>
        <v>-19927.46</v>
      </c>
      <c r="E210" s="406">
        <f>'A) Base RI'!X210</f>
        <v>0</v>
      </c>
      <c r="F210" s="406">
        <f>'A) Base RI'!Y210</f>
        <v>-74.930000000000007</v>
      </c>
      <c r="G210" s="420">
        <f t="shared" si="18"/>
        <v>3686087.19</v>
      </c>
      <c r="H210" s="10">
        <f>+'A) Base RI'!E210</f>
        <v>0</v>
      </c>
      <c r="I210" s="10">
        <f>+'A) Base RI'!F210</f>
        <v>0</v>
      </c>
      <c r="J210" s="10">
        <f>+'A) Base RI'!G210+'A) Base RI'!H210+'A) Base RI'!I210</f>
        <v>6663.555580048187</v>
      </c>
      <c r="K210" s="10">
        <f>+'A) Base RI'!J210</f>
        <v>0</v>
      </c>
      <c r="L210" s="10">
        <f>+'A) Base RI'!K210</f>
        <v>2853.35</v>
      </c>
      <c r="M210" s="10">
        <f>+'A) Base RI'!L210</f>
        <v>5195.5</v>
      </c>
      <c r="N210" s="10">
        <f>+'A) Base RI'!R210</f>
        <v>6738.99</v>
      </c>
      <c r="O210" s="10">
        <f t="shared" si="19"/>
        <v>251492.76666666669</v>
      </c>
      <c r="P210" s="10">
        <f>+'A) Base RI'!M210</f>
        <v>377239.15</v>
      </c>
      <c r="Q210" s="428">
        <f>'A) Base RI'!Z210</f>
        <v>1.5</v>
      </c>
      <c r="R210" s="420">
        <f t="shared" si="20"/>
        <v>3959031.3522467152</v>
      </c>
      <c r="S210" s="410">
        <f>+'A) Base RI'!U210</f>
        <v>75</v>
      </c>
      <c r="T210" s="420">
        <f t="shared" si="21"/>
        <v>3702343.0855800486</v>
      </c>
      <c r="U210" s="420">
        <f t="shared" si="22"/>
        <v>52787.084696622871</v>
      </c>
      <c r="V210" s="10">
        <f>+'A) Base RI'!P210</f>
        <v>362519.3</v>
      </c>
      <c r="W210" s="10">
        <f>+'A) Base RI'!Q210</f>
        <v>192199.85</v>
      </c>
      <c r="X210" s="10">
        <f>+'A) Base RI'!S210</f>
        <v>170338.2</v>
      </c>
      <c r="Y210" s="420">
        <f t="shared" si="23"/>
        <v>725057.35000000009</v>
      </c>
      <c r="Z210" s="10">
        <f>+'A) Base RI'!O210</f>
        <v>31194.65</v>
      </c>
      <c r="AA210" s="10">
        <f>'A) Base RI'!V210</f>
        <v>1319</v>
      </c>
    </row>
    <row r="211" spans="1:27" x14ac:dyDescent="0.25">
      <c r="A211" s="8">
        <f>'A) Base RI'!A211</f>
        <v>5732</v>
      </c>
      <c r="B211" s="32" t="str">
        <f>'A) Base RI'!B211</f>
        <v>Vich</v>
      </c>
      <c r="C211" s="10">
        <f>'A) Base RI'!C211+'A) Base RI'!D211</f>
        <v>3512913.53</v>
      </c>
      <c r="D211" s="10">
        <f>'A) Base RI'!W211</f>
        <v>-17198.080000000002</v>
      </c>
      <c r="E211" s="406">
        <f>'A) Base RI'!X211</f>
        <v>0</v>
      </c>
      <c r="F211" s="406">
        <f>'A) Base RI'!Y211</f>
        <v>-3641.54</v>
      </c>
      <c r="G211" s="420">
        <f t="shared" si="18"/>
        <v>3492073.9099999997</v>
      </c>
      <c r="H211" s="10">
        <f>+'A) Base RI'!E211</f>
        <v>0</v>
      </c>
      <c r="I211" s="10">
        <f>+'A) Base RI'!F211</f>
        <v>0</v>
      </c>
      <c r="J211" s="10">
        <f>+'A) Base RI'!G211+'A) Base RI'!H211+'A) Base RI'!I211</f>
        <v>169804.15291185328</v>
      </c>
      <c r="K211" s="10">
        <f>+'A) Base RI'!J211</f>
        <v>125649.60000000001</v>
      </c>
      <c r="L211" s="10">
        <f>+'A) Base RI'!K211</f>
        <v>140975.57</v>
      </c>
      <c r="M211" s="10">
        <f>+'A) Base RI'!L211</f>
        <v>16095.4</v>
      </c>
      <c r="N211" s="10">
        <f>+'A) Base RI'!R211</f>
        <v>11623.78</v>
      </c>
      <c r="O211" s="10">
        <f t="shared" si="19"/>
        <v>310281.3</v>
      </c>
      <c r="P211" s="10">
        <f>+'A) Base RI'!M211</f>
        <v>310281.3</v>
      </c>
      <c r="Q211" s="428">
        <f>'A) Base RI'!Z211</f>
        <v>1</v>
      </c>
      <c r="R211" s="420">
        <f t="shared" si="20"/>
        <v>4266503.7129118526</v>
      </c>
      <c r="S211" s="410">
        <f>+'A) Base RI'!U211</f>
        <v>67</v>
      </c>
      <c r="T211" s="420">
        <f t="shared" si="21"/>
        <v>3940127.0129118529</v>
      </c>
      <c r="U211" s="420">
        <f t="shared" si="22"/>
        <v>63679.159894206758</v>
      </c>
      <c r="V211" s="10">
        <f>+'A) Base RI'!P211</f>
        <v>0</v>
      </c>
      <c r="W211" s="10">
        <f>+'A) Base RI'!Q211</f>
        <v>484733.35</v>
      </c>
      <c r="X211" s="10">
        <f>+'A) Base RI'!S211</f>
        <v>264370.5</v>
      </c>
      <c r="Y211" s="420">
        <f t="shared" si="23"/>
        <v>749103.85</v>
      </c>
      <c r="Z211" s="10">
        <f>+'A) Base RI'!O211</f>
        <v>94359.45</v>
      </c>
      <c r="AA211" s="10">
        <f>'A) Base RI'!V211</f>
        <v>1039</v>
      </c>
    </row>
    <row r="212" spans="1:27" x14ac:dyDescent="0.25">
      <c r="A212" s="8">
        <f>'A) Base RI'!A212</f>
        <v>5741</v>
      </c>
      <c r="B212" s="32" t="str">
        <f>'A) Base RI'!B212</f>
        <v>L'Abergement</v>
      </c>
      <c r="C212" s="10">
        <f>'A) Base RI'!C212+'A) Base RI'!D212</f>
        <v>576853.89</v>
      </c>
      <c r="D212" s="10">
        <f>'A) Base RI'!W212</f>
        <v>-21458.67</v>
      </c>
      <c r="E212" s="406">
        <f>'A) Base RI'!X212</f>
        <v>0</v>
      </c>
      <c r="F212" s="406">
        <f>'A) Base RI'!Y212</f>
        <v>-8.48</v>
      </c>
      <c r="G212" s="420">
        <f t="shared" si="18"/>
        <v>555386.74</v>
      </c>
      <c r="H212" s="10">
        <f>+'A) Base RI'!E212</f>
        <v>0</v>
      </c>
      <c r="I212" s="10">
        <f>+'A) Base RI'!F212</f>
        <v>1430</v>
      </c>
      <c r="J212" s="10">
        <f>+'A) Base RI'!G212+'A) Base RI'!H212+'A) Base RI'!I212</f>
        <v>4597.9675338564402</v>
      </c>
      <c r="K212" s="10">
        <f>+'A) Base RI'!J212</f>
        <v>0</v>
      </c>
      <c r="L212" s="10">
        <f>+'A) Base RI'!K212</f>
        <v>1758.91</v>
      </c>
      <c r="M212" s="10">
        <f>+'A) Base RI'!L212</f>
        <v>0</v>
      </c>
      <c r="N212" s="10">
        <f>+'A) Base RI'!R212</f>
        <v>1982.75</v>
      </c>
      <c r="O212" s="10">
        <f t="shared" si="19"/>
        <v>35690.250000000007</v>
      </c>
      <c r="P212" s="10">
        <f>+'A) Base RI'!M212</f>
        <v>42828.3</v>
      </c>
      <c r="Q212" s="428">
        <f>'A) Base RI'!Z212</f>
        <v>1.2</v>
      </c>
      <c r="R212" s="420">
        <f t="shared" si="20"/>
        <v>600846.61753385642</v>
      </c>
      <c r="S212" s="410">
        <f>+'A) Base RI'!U212</f>
        <v>81</v>
      </c>
      <c r="T212" s="420">
        <f t="shared" si="21"/>
        <v>563726.36753385642</v>
      </c>
      <c r="U212" s="420">
        <f t="shared" si="22"/>
        <v>7417.8594757266228</v>
      </c>
      <c r="V212" s="10">
        <f>+'A) Base RI'!P212</f>
        <v>0</v>
      </c>
      <c r="W212" s="10">
        <f>+'A) Base RI'!Q212</f>
        <v>19970.599999999999</v>
      </c>
      <c r="X212" s="10">
        <f>+'A) Base RI'!S212</f>
        <v>23772.9</v>
      </c>
      <c r="Y212" s="420">
        <f t="shared" si="23"/>
        <v>43743.5</v>
      </c>
      <c r="Z212" s="10">
        <f>+'A) Base RI'!O212</f>
        <v>6488.75</v>
      </c>
      <c r="AA212" s="10">
        <f>'A) Base RI'!V212</f>
        <v>248</v>
      </c>
    </row>
    <row r="213" spans="1:27" x14ac:dyDescent="0.25">
      <c r="A213" s="8">
        <f>'A) Base RI'!A213</f>
        <v>5742</v>
      </c>
      <c r="B213" s="32" t="str">
        <f>'A) Base RI'!B213</f>
        <v>Agiez</v>
      </c>
      <c r="C213" s="10">
        <f>'A) Base RI'!C213+'A) Base RI'!D213</f>
        <v>605911.62</v>
      </c>
      <c r="D213" s="10">
        <f>'A) Base RI'!W213</f>
        <v>-2413.75</v>
      </c>
      <c r="E213" s="406">
        <f>'A) Base RI'!X213</f>
        <v>0</v>
      </c>
      <c r="F213" s="406">
        <f>'A) Base RI'!Y213</f>
        <v>0</v>
      </c>
      <c r="G213" s="420">
        <f t="shared" si="18"/>
        <v>603497.87</v>
      </c>
      <c r="H213" s="10">
        <f>+'A) Base RI'!E213</f>
        <v>0</v>
      </c>
      <c r="I213" s="10">
        <f>+'A) Base RI'!F213</f>
        <v>0</v>
      </c>
      <c r="J213" s="10">
        <f>+'A) Base RI'!G213+'A) Base RI'!H213+'A) Base RI'!I213</f>
        <v>8226.951105338363</v>
      </c>
      <c r="K213" s="10">
        <f>+'A) Base RI'!J213</f>
        <v>0</v>
      </c>
      <c r="L213" s="10">
        <f>+'A) Base RI'!K213</f>
        <v>24860.81</v>
      </c>
      <c r="M213" s="10">
        <f>+'A) Base RI'!L213</f>
        <v>743.3</v>
      </c>
      <c r="N213" s="10">
        <f>+'A) Base RI'!R213</f>
        <v>0</v>
      </c>
      <c r="O213" s="10">
        <f t="shared" si="19"/>
        <v>50032.5</v>
      </c>
      <c r="P213" s="10">
        <f>+'A) Base RI'!M213</f>
        <v>25016.25</v>
      </c>
      <c r="Q213" s="428">
        <f>'A) Base RI'!Z213</f>
        <v>0.5</v>
      </c>
      <c r="R213" s="420">
        <f t="shared" si="20"/>
        <v>687361.4311053385</v>
      </c>
      <c r="S213" s="410">
        <f>+'A) Base RI'!U213</f>
        <v>76</v>
      </c>
      <c r="T213" s="420">
        <f t="shared" si="21"/>
        <v>636585.63110533846</v>
      </c>
      <c r="U213" s="420">
        <f t="shared" si="22"/>
        <v>9044.2293566491917</v>
      </c>
      <c r="V213" s="10">
        <f>+'A) Base RI'!P213</f>
        <v>74.599999999999994</v>
      </c>
      <c r="W213" s="10">
        <f>+'A) Base RI'!Q213</f>
        <v>8781.7000000000007</v>
      </c>
      <c r="X213" s="10">
        <f>+'A) Base RI'!S213</f>
        <v>13127.9</v>
      </c>
      <c r="Y213" s="420">
        <f t="shared" si="23"/>
        <v>21984.2</v>
      </c>
      <c r="Z213" s="10">
        <f>+'A) Base RI'!O213</f>
        <v>0</v>
      </c>
      <c r="AA213" s="10">
        <f>'A) Base RI'!V213</f>
        <v>327</v>
      </c>
    </row>
    <row r="214" spans="1:27" x14ac:dyDescent="0.25">
      <c r="A214" s="8">
        <f>'A) Base RI'!A214</f>
        <v>5743</v>
      </c>
      <c r="B214" s="32" t="str">
        <f>'A) Base RI'!B214</f>
        <v>Arnex-sur-Orbe</v>
      </c>
      <c r="C214" s="10">
        <f>'A) Base RI'!C214+'A) Base RI'!D214</f>
        <v>1232174.49</v>
      </c>
      <c r="D214" s="10">
        <f>'A) Base RI'!W214</f>
        <v>-10345.41</v>
      </c>
      <c r="E214" s="406">
        <f>'A) Base RI'!X214</f>
        <v>0</v>
      </c>
      <c r="F214" s="406">
        <f>'A) Base RI'!Y214</f>
        <v>-89.1</v>
      </c>
      <c r="G214" s="420">
        <f t="shared" si="18"/>
        <v>1221739.98</v>
      </c>
      <c r="H214" s="10">
        <f>+'A) Base RI'!E214</f>
        <v>0</v>
      </c>
      <c r="I214" s="10">
        <f>+'A) Base RI'!F214</f>
        <v>0</v>
      </c>
      <c r="J214" s="10">
        <f>+'A) Base RI'!G214+'A) Base RI'!H214+'A) Base RI'!I214</f>
        <v>742.60035152380749</v>
      </c>
      <c r="K214" s="10">
        <f>+'A) Base RI'!J214</f>
        <v>0</v>
      </c>
      <c r="L214" s="10">
        <f>+'A) Base RI'!K214</f>
        <v>26297.83</v>
      </c>
      <c r="M214" s="10">
        <f>+'A) Base RI'!L214</f>
        <v>0</v>
      </c>
      <c r="N214" s="10">
        <f>+'A) Base RI'!R214</f>
        <v>9230.08</v>
      </c>
      <c r="O214" s="10">
        <f t="shared" si="19"/>
        <v>83734.937499999985</v>
      </c>
      <c r="P214" s="10">
        <f>+'A) Base RI'!M214</f>
        <v>66987.95</v>
      </c>
      <c r="Q214" s="428">
        <f>'A) Base RI'!Z214</f>
        <v>0.8</v>
      </c>
      <c r="R214" s="420">
        <f t="shared" si="20"/>
        <v>1341745.427851524</v>
      </c>
      <c r="S214" s="410">
        <f>+'A) Base RI'!U214</f>
        <v>73</v>
      </c>
      <c r="T214" s="420">
        <f t="shared" si="21"/>
        <v>1258010.490351524</v>
      </c>
      <c r="U214" s="420">
        <f t="shared" si="22"/>
        <v>18380.074354130466</v>
      </c>
      <c r="V214" s="10">
        <f>+'A) Base RI'!P214</f>
        <v>210098.3</v>
      </c>
      <c r="W214" s="10">
        <f>+'A) Base RI'!Q214</f>
        <v>23557.8</v>
      </c>
      <c r="X214" s="10">
        <f>+'A) Base RI'!S214</f>
        <v>49618.7</v>
      </c>
      <c r="Y214" s="420">
        <f t="shared" si="23"/>
        <v>283274.8</v>
      </c>
      <c r="Z214" s="10">
        <f>+'A) Base RI'!O214</f>
        <v>28250.799999999999</v>
      </c>
      <c r="AA214" s="10">
        <f>'A) Base RI'!V214</f>
        <v>631</v>
      </c>
    </row>
    <row r="215" spans="1:27" x14ac:dyDescent="0.25">
      <c r="A215" s="8">
        <f>'A) Base RI'!A215</f>
        <v>5744</v>
      </c>
      <c r="B215" s="32" t="str">
        <f>'A) Base RI'!B215</f>
        <v>Ballaigues</v>
      </c>
      <c r="C215" s="10">
        <f>'A) Base RI'!C215+'A) Base RI'!D215</f>
        <v>1605838.1400000001</v>
      </c>
      <c r="D215" s="10">
        <f>'A) Base RI'!W215</f>
        <v>-67670.95</v>
      </c>
      <c r="E215" s="406">
        <f>'A) Base RI'!X215</f>
        <v>0</v>
      </c>
      <c r="F215" s="406">
        <f>'A) Base RI'!Y215</f>
        <v>-515.66</v>
      </c>
      <c r="G215" s="420">
        <f t="shared" si="18"/>
        <v>1537651.5300000003</v>
      </c>
      <c r="H215" s="10">
        <f>+'A) Base RI'!E215</f>
        <v>0</v>
      </c>
      <c r="I215" s="10">
        <f>+'A) Base RI'!F215</f>
        <v>6180</v>
      </c>
      <c r="J215" s="10">
        <f>+'A) Base RI'!G215+'A) Base RI'!H215+'A) Base RI'!I215</f>
        <v>688784.86006087274</v>
      </c>
      <c r="K215" s="10">
        <f>+'A) Base RI'!J215</f>
        <v>0</v>
      </c>
      <c r="L215" s="10">
        <f>+'A) Base RI'!K215</f>
        <v>20499.759999999998</v>
      </c>
      <c r="M215" s="10">
        <f>+'A) Base RI'!L215</f>
        <v>0</v>
      </c>
      <c r="N215" s="10">
        <f>+'A) Base RI'!R215</f>
        <v>-2184.1</v>
      </c>
      <c r="O215" s="10">
        <f t="shared" si="19"/>
        <v>168929.9</v>
      </c>
      <c r="P215" s="10">
        <f>+'A) Base RI'!M215</f>
        <v>168929.9</v>
      </c>
      <c r="Q215" s="428">
        <f>'A) Base RI'!Z215</f>
        <v>1</v>
      </c>
      <c r="R215" s="420">
        <f t="shared" si="20"/>
        <v>2419861.9500608724</v>
      </c>
      <c r="S215" s="410">
        <f>+'A) Base RI'!U215</f>
        <v>66</v>
      </c>
      <c r="T215" s="420">
        <f t="shared" si="21"/>
        <v>2244752.0500608725</v>
      </c>
      <c r="U215" s="420">
        <f t="shared" si="22"/>
        <v>36664.575000922312</v>
      </c>
      <c r="V215" s="10">
        <f>+'A) Base RI'!P215</f>
        <v>48906</v>
      </c>
      <c r="W215" s="10">
        <f>+'A) Base RI'!Q215</f>
        <v>37562.1</v>
      </c>
      <c r="X215" s="10">
        <f>+'A) Base RI'!S215</f>
        <v>31561.599999999999</v>
      </c>
      <c r="Y215" s="420">
        <f t="shared" si="23"/>
        <v>118029.70000000001</v>
      </c>
      <c r="Z215" s="10">
        <f>+'A) Base RI'!O215</f>
        <v>1259054.6499999999</v>
      </c>
      <c r="AA215" s="10">
        <f>'A) Base RI'!V215</f>
        <v>1075</v>
      </c>
    </row>
    <row r="216" spans="1:27" x14ac:dyDescent="0.25">
      <c r="A216" s="8">
        <f>'A) Base RI'!A216</f>
        <v>5745</v>
      </c>
      <c r="B216" s="32" t="str">
        <f>'A) Base RI'!B216</f>
        <v>Baulmes</v>
      </c>
      <c r="C216" s="10">
        <f>'A) Base RI'!C216+'A) Base RI'!D216</f>
        <v>1923440.61</v>
      </c>
      <c r="D216" s="10">
        <f>'A) Base RI'!W216</f>
        <v>-66102.69</v>
      </c>
      <c r="E216" s="406">
        <f>'A) Base RI'!X216</f>
        <v>0</v>
      </c>
      <c r="F216" s="406">
        <f>'A) Base RI'!Y216</f>
        <v>-24.58</v>
      </c>
      <c r="G216" s="420">
        <f t="shared" si="18"/>
        <v>1857313.34</v>
      </c>
      <c r="H216" s="10">
        <f>+'A) Base RI'!E216</f>
        <v>0</v>
      </c>
      <c r="I216" s="10">
        <f>+'A) Base RI'!F216</f>
        <v>0</v>
      </c>
      <c r="J216" s="10">
        <f>+'A) Base RI'!G216+'A) Base RI'!H216+'A) Base RI'!I216</f>
        <v>51921.149606053208</v>
      </c>
      <c r="K216" s="10">
        <f>+'A) Base RI'!J216</f>
        <v>0</v>
      </c>
      <c r="L216" s="10">
        <f>+'A) Base RI'!K216</f>
        <v>20439.599999999999</v>
      </c>
      <c r="M216" s="10">
        <f>+'A) Base RI'!L216</f>
        <v>0</v>
      </c>
      <c r="N216" s="10">
        <f>+'A) Base RI'!R216</f>
        <v>10009.02</v>
      </c>
      <c r="O216" s="10">
        <f t="shared" si="19"/>
        <v>124424.6</v>
      </c>
      <c r="P216" s="10">
        <f>+'A) Base RI'!M216</f>
        <v>124424.6</v>
      </c>
      <c r="Q216" s="428">
        <f>'A) Base RI'!Z216</f>
        <v>1</v>
      </c>
      <c r="R216" s="420">
        <f t="shared" si="20"/>
        <v>2064107.7096060535</v>
      </c>
      <c r="S216" s="410">
        <f>+'A) Base RI'!U216</f>
        <v>78</v>
      </c>
      <c r="T216" s="420">
        <f t="shared" si="21"/>
        <v>1939683.1096060534</v>
      </c>
      <c r="U216" s="420">
        <f t="shared" si="22"/>
        <v>26462.919353923764</v>
      </c>
      <c r="V216" s="10">
        <f>+'A) Base RI'!P216</f>
        <v>115901.1</v>
      </c>
      <c r="W216" s="10">
        <f>+'A) Base RI'!Q216</f>
        <v>79709.55</v>
      </c>
      <c r="X216" s="10">
        <f>+'A) Base RI'!S216</f>
        <v>107866.15</v>
      </c>
      <c r="Y216" s="420">
        <f t="shared" si="23"/>
        <v>303476.80000000005</v>
      </c>
      <c r="Z216" s="10">
        <f>+'A) Base RI'!O216</f>
        <v>206170.15</v>
      </c>
      <c r="AA216" s="10">
        <f>'A) Base RI'!V216</f>
        <v>1027</v>
      </c>
    </row>
    <row r="217" spans="1:27" x14ac:dyDescent="0.25">
      <c r="A217" s="8">
        <f>'A) Base RI'!A217</f>
        <v>5746</v>
      </c>
      <c r="B217" s="32" t="str">
        <f>'A) Base RI'!B217</f>
        <v>Bavois</v>
      </c>
      <c r="C217" s="10">
        <f>'A) Base RI'!C217+'A) Base RI'!D217</f>
        <v>1775493.96</v>
      </c>
      <c r="D217" s="10">
        <f>'A) Base RI'!W217</f>
        <v>-65197.52</v>
      </c>
      <c r="E217" s="406">
        <f>'A) Base RI'!X217</f>
        <v>0</v>
      </c>
      <c r="F217" s="406">
        <f>'A) Base RI'!Y217</f>
        <v>-34.4</v>
      </c>
      <c r="G217" s="420">
        <f t="shared" si="18"/>
        <v>1710262.04</v>
      </c>
      <c r="H217" s="10">
        <f>+'A) Base RI'!E217</f>
        <v>0</v>
      </c>
      <c r="I217" s="10">
        <f>+'A) Base RI'!F217</f>
        <v>0</v>
      </c>
      <c r="J217" s="10">
        <f>+'A) Base RI'!G217+'A) Base RI'!H217+'A) Base RI'!I217</f>
        <v>18384.162005697239</v>
      </c>
      <c r="K217" s="10">
        <f>+'A) Base RI'!J217</f>
        <v>0</v>
      </c>
      <c r="L217" s="10">
        <f>+'A) Base RI'!K217</f>
        <v>21384.93</v>
      </c>
      <c r="M217" s="10">
        <f>+'A) Base RI'!L217</f>
        <v>0</v>
      </c>
      <c r="N217" s="10">
        <f>+'A) Base RI'!R217</f>
        <v>18143.740000000002</v>
      </c>
      <c r="O217" s="10">
        <f t="shared" si="19"/>
        <v>170264.41666666666</v>
      </c>
      <c r="P217" s="10">
        <f>+'A) Base RI'!M217</f>
        <v>204317.3</v>
      </c>
      <c r="Q217" s="428">
        <f>'A) Base RI'!Z217</f>
        <v>1.2</v>
      </c>
      <c r="R217" s="420">
        <f t="shared" si="20"/>
        <v>1938439.2886723639</v>
      </c>
      <c r="S217" s="410">
        <f>+'A) Base RI'!U217</f>
        <v>73</v>
      </c>
      <c r="T217" s="420">
        <f t="shared" si="21"/>
        <v>1768174.8720056971</v>
      </c>
      <c r="U217" s="420">
        <f t="shared" si="22"/>
        <v>26553.96285852553</v>
      </c>
      <c r="V217" s="10">
        <f>+'A) Base RI'!P217</f>
        <v>3444.1</v>
      </c>
      <c r="W217" s="10">
        <f>+'A) Base RI'!Q217</f>
        <v>92831.15</v>
      </c>
      <c r="X217" s="10">
        <f>+'A) Base RI'!S217</f>
        <v>31771.25</v>
      </c>
      <c r="Y217" s="420">
        <f t="shared" si="23"/>
        <v>128046.5</v>
      </c>
      <c r="Z217" s="10">
        <f>+'A) Base RI'!O217</f>
        <v>25740.55</v>
      </c>
      <c r="AA217" s="10">
        <f>'A) Base RI'!V217</f>
        <v>942</v>
      </c>
    </row>
    <row r="218" spans="1:27" x14ac:dyDescent="0.25">
      <c r="A218" s="8">
        <f>'A) Base RI'!A218</f>
        <v>5747</v>
      </c>
      <c r="B218" s="32" t="str">
        <f>'A) Base RI'!B218</f>
        <v>Bofflens</v>
      </c>
      <c r="C218" s="10">
        <f>'A) Base RI'!C218+'A) Base RI'!D218</f>
        <v>316080.33999999997</v>
      </c>
      <c r="D218" s="10">
        <f>'A) Base RI'!W218</f>
        <v>-3497.6</v>
      </c>
      <c r="E218" s="406">
        <f>'A) Base RI'!X218</f>
        <v>0</v>
      </c>
      <c r="F218" s="406">
        <f>'A) Base RI'!Y218</f>
        <v>0</v>
      </c>
      <c r="G218" s="420">
        <f t="shared" si="18"/>
        <v>312582.74</v>
      </c>
      <c r="H218" s="10">
        <f>+'A) Base RI'!E218</f>
        <v>0</v>
      </c>
      <c r="I218" s="10">
        <f>+'A) Base RI'!F218</f>
        <v>0</v>
      </c>
      <c r="J218" s="10">
        <f>+'A) Base RI'!G218+'A) Base RI'!H218+'A) Base RI'!I218</f>
        <v>1638.9898269464557</v>
      </c>
      <c r="K218" s="10">
        <f>+'A) Base RI'!J218</f>
        <v>0</v>
      </c>
      <c r="L218" s="10">
        <f>+'A) Base RI'!K218</f>
        <v>120.99</v>
      </c>
      <c r="M218" s="10">
        <f>+'A) Base RI'!L218</f>
        <v>0</v>
      </c>
      <c r="N218" s="10">
        <f>+'A) Base RI'!R218</f>
        <v>0</v>
      </c>
      <c r="O218" s="10">
        <f t="shared" si="19"/>
        <v>28996.75</v>
      </c>
      <c r="P218" s="10">
        <f>+'A) Base RI'!M218</f>
        <v>28996.75</v>
      </c>
      <c r="Q218" s="428">
        <f>'A) Base RI'!Z218</f>
        <v>1</v>
      </c>
      <c r="R218" s="420">
        <f t="shared" si="20"/>
        <v>343339.46982694644</v>
      </c>
      <c r="S218" s="410">
        <f>+'A) Base RI'!U218</f>
        <v>69</v>
      </c>
      <c r="T218" s="420">
        <f t="shared" si="21"/>
        <v>314342.71982694644</v>
      </c>
      <c r="U218" s="420">
        <f t="shared" si="22"/>
        <v>4975.9343453180645</v>
      </c>
      <c r="V218" s="10">
        <f>+'A) Base RI'!P218</f>
        <v>4093.2</v>
      </c>
      <c r="W218" s="10">
        <f>+'A) Base RI'!Q218</f>
        <v>25300</v>
      </c>
      <c r="X218" s="10">
        <f>+'A) Base RI'!S218</f>
        <v>9631.4</v>
      </c>
      <c r="Y218" s="420">
        <f t="shared" si="23"/>
        <v>39024.6</v>
      </c>
      <c r="Z218" s="10">
        <f>+'A) Base RI'!O218</f>
        <v>0</v>
      </c>
      <c r="AA218" s="10">
        <f>'A) Base RI'!V218</f>
        <v>196</v>
      </c>
    </row>
    <row r="219" spans="1:27" x14ac:dyDescent="0.25">
      <c r="A219" s="8">
        <f>'A) Base RI'!A219</f>
        <v>5748</v>
      </c>
      <c r="B219" s="32" t="str">
        <f>'A) Base RI'!B219</f>
        <v>Bretonnières</v>
      </c>
      <c r="C219" s="10">
        <f>'A) Base RI'!C219+'A) Base RI'!D219</f>
        <v>369519.30000000005</v>
      </c>
      <c r="D219" s="10">
        <f>'A) Base RI'!W219</f>
        <v>-9761.6299999999992</v>
      </c>
      <c r="E219" s="406">
        <f>'A) Base RI'!X219</f>
        <v>0</v>
      </c>
      <c r="F219" s="406">
        <f>'A) Base RI'!Y219</f>
        <v>0</v>
      </c>
      <c r="G219" s="420">
        <f t="shared" si="18"/>
        <v>359757.67000000004</v>
      </c>
      <c r="H219" s="10">
        <f>+'A) Base RI'!E219</f>
        <v>0</v>
      </c>
      <c r="I219" s="10">
        <f>+'A) Base RI'!F219</f>
        <v>2110</v>
      </c>
      <c r="J219" s="10">
        <f>+'A) Base RI'!G219+'A) Base RI'!H219+'A) Base RI'!I219</f>
        <v>653.20277493073399</v>
      </c>
      <c r="K219" s="10">
        <f>+'A) Base RI'!J219</f>
        <v>0</v>
      </c>
      <c r="L219" s="10">
        <f>+'A) Base RI'!K219</f>
        <v>1202.69</v>
      </c>
      <c r="M219" s="10">
        <f>+'A) Base RI'!L219</f>
        <v>0</v>
      </c>
      <c r="N219" s="10">
        <f>+'A) Base RI'!R219</f>
        <v>0</v>
      </c>
      <c r="O219" s="10">
        <f t="shared" si="19"/>
        <v>35722.916666666672</v>
      </c>
      <c r="P219" s="10">
        <f>+'A) Base RI'!M219</f>
        <v>21433.75</v>
      </c>
      <c r="Q219" s="428">
        <f>'A) Base RI'!Z219</f>
        <v>0.6</v>
      </c>
      <c r="R219" s="420">
        <f t="shared" si="20"/>
        <v>399446.47944159748</v>
      </c>
      <c r="S219" s="410">
        <f>+'A) Base RI'!U219</f>
        <v>72</v>
      </c>
      <c r="T219" s="420">
        <f t="shared" si="21"/>
        <v>361613.56277493079</v>
      </c>
      <c r="U219" s="420">
        <f t="shared" si="22"/>
        <v>5547.867770022187</v>
      </c>
      <c r="V219" s="10">
        <f>+'A) Base RI'!P219</f>
        <v>27639.599999999999</v>
      </c>
      <c r="W219" s="10">
        <f>+'A) Base RI'!Q219</f>
        <v>11385</v>
      </c>
      <c r="X219" s="10">
        <f>+'A) Base RI'!S219</f>
        <v>5162.5</v>
      </c>
      <c r="Y219" s="420">
        <f t="shared" si="23"/>
        <v>44187.1</v>
      </c>
      <c r="Z219" s="10">
        <f>+'A) Base RI'!O219</f>
        <v>5549.6</v>
      </c>
      <c r="AA219" s="10">
        <f>'A) Base RI'!V219</f>
        <v>265</v>
      </c>
    </row>
    <row r="220" spans="1:27" x14ac:dyDescent="0.25">
      <c r="A220" s="8">
        <f>'A) Base RI'!A220</f>
        <v>5749</v>
      </c>
      <c r="B220" s="32" t="str">
        <f>'A) Base RI'!B220</f>
        <v>Chavornay</v>
      </c>
      <c r="C220" s="10">
        <f>'A) Base RI'!C220+'A) Base RI'!D220</f>
        <v>8569530.2599999998</v>
      </c>
      <c r="D220" s="10">
        <f>'A) Base RI'!W220</f>
        <v>-215149.95</v>
      </c>
      <c r="E220" s="406">
        <f>'A) Base RI'!X220</f>
        <v>0</v>
      </c>
      <c r="F220" s="406">
        <f>'A) Base RI'!Y220</f>
        <v>-696.82</v>
      </c>
      <c r="G220" s="420">
        <f t="shared" si="18"/>
        <v>8353683.4899999993</v>
      </c>
      <c r="H220" s="10">
        <f>+'A) Base RI'!E220</f>
        <v>0</v>
      </c>
      <c r="I220" s="10">
        <f>+'A) Base RI'!F220</f>
        <v>0</v>
      </c>
      <c r="J220" s="10">
        <f>+'A) Base RI'!G220+'A) Base RI'!H220+'A) Base RI'!I220</f>
        <v>387854.82256311027</v>
      </c>
      <c r="K220" s="10">
        <f>+'A) Base RI'!J220</f>
        <v>0</v>
      </c>
      <c r="L220" s="10">
        <f>+'A) Base RI'!K220</f>
        <v>194960.79</v>
      </c>
      <c r="M220" s="10">
        <f>+'A) Base RI'!L220</f>
        <v>68217.850000000006</v>
      </c>
      <c r="N220" s="10">
        <f>+'A) Base RI'!R220</f>
        <v>66804.34</v>
      </c>
      <c r="O220" s="10">
        <f t="shared" si="19"/>
        <v>771803.55</v>
      </c>
      <c r="P220" s="10">
        <f>+'A) Base RI'!M220</f>
        <v>771803.55</v>
      </c>
      <c r="Q220" s="428">
        <f>'A) Base RI'!Z220</f>
        <v>1</v>
      </c>
      <c r="R220" s="420">
        <f t="shared" si="20"/>
        <v>9843324.8425631095</v>
      </c>
      <c r="S220" s="410">
        <f>+'A) Base RI'!U220</f>
        <v>72</v>
      </c>
      <c r="T220" s="420">
        <f t="shared" si="21"/>
        <v>9003303.4425631091</v>
      </c>
      <c r="U220" s="420">
        <f t="shared" si="22"/>
        <v>136712.84503559873</v>
      </c>
      <c r="V220" s="10">
        <f>+'A) Base RI'!P220</f>
        <v>5808</v>
      </c>
      <c r="W220" s="10">
        <f>+'A) Base RI'!Q220</f>
        <v>243609.45</v>
      </c>
      <c r="X220" s="10">
        <f>+'A) Base RI'!S220</f>
        <v>140242.1</v>
      </c>
      <c r="Y220" s="420">
        <f t="shared" si="23"/>
        <v>389659.55000000005</v>
      </c>
      <c r="Z220" s="10">
        <f>+'A) Base RI'!O220</f>
        <v>656402.80000000005</v>
      </c>
      <c r="AA220" s="10">
        <f>'A) Base RI'!V220</f>
        <v>4996</v>
      </c>
    </row>
    <row r="221" spans="1:27" x14ac:dyDescent="0.25">
      <c r="A221" s="8">
        <f>'A) Base RI'!A221</f>
        <v>5750</v>
      </c>
      <c r="B221" s="32" t="str">
        <f>'A) Base RI'!B221</f>
        <v>Les Clées</v>
      </c>
      <c r="C221" s="10">
        <f>'A) Base RI'!C221+'A) Base RI'!D221</f>
        <v>408281.97000000003</v>
      </c>
      <c r="D221" s="10">
        <f>'A) Base RI'!W221</f>
        <v>-60324.88</v>
      </c>
      <c r="E221" s="406">
        <f>'A) Base RI'!X221</f>
        <v>0</v>
      </c>
      <c r="F221" s="406">
        <f>'A) Base RI'!Y221</f>
        <v>-337.25</v>
      </c>
      <c r="G221" s="420">
        <f t="shared" si="18"/>
        <v>347619.84000000003</v>
      </c>
      <c r="H221" s="10">
        <f>+'A) Base RI'!E221</f>
        <v>0</v>
      </c>
      <c r="I221" s="10">
        <f>+'A) Base RI'!F221</f>
        <v>1070</v>
      </c>
      <c r="J221" s="10">
        <f>+'A) Base RI'!G221+'A) Base RI'!H221+'A) Base RI'!I221</f>
        <v>-168.53177570093447</v>
      </c>
      <c r="K221" s="10">
        <f>+'A) Base RI'!J221</f>
        <v>0</v>
      </c>
      <c r="L221" s="10">
        <f>+'A) Base RI'!K221</f>
        <v>10349.67</v>
      </c>
      <c r="M221" s="10">
        <f>+'A) Base RI'!L221</f>
        <v>230.65</v>
      </c>
      <c r="N221" s="10">
        <f>+'A) Base RI'!R221</f>
        <v>31379.14</v>
      </c>
      <c r="O221" s="10">
        <f t="shared" si="19"/>
        <v>22428.250000000004</v>
      </c>
      <c r="P221" s="10">
        <f>+'A) Base RI'!M221</f>
        <v>13456.95</v>
      </c>
      <c r="Q221" s="428">
        <f>'A) Base RI'!Z221</f>
        <v>0.6</v>
      </c>
      <c r="R221" s="420">
        <f t="shared" si="20"/>
        <v>412909.01822429913</v>
      </c>
      <c r="S221" s="410">
        <f>+'A) Base RI'!U221</f>
        <v>80</v>
      </c>
      <c r="T221" s="420">
        <f t="shared" si="21"/>
        <v>389180.11822429911</v>
      </c>
      <c r="U221" s="420">
        <f t="shared" si="22"/>
        <v>5161.3627278037393</v>
      </c>
      <c r="V221" s="10">
        <f>+'A) Base RI'!P221</f>
        <v>0</v>
      </c>
      <c r="W221" s="10">
        <f>+'A) Base RI'!Q221</f>
        <v>0</v>
      </c>
      <c r="X221" s="10">
        <f>+'A) Base RI'!S221</f>
        <v>174.95</v>
      </c>
      <c r="Y221" s="420">
        <f t="shared" si="23"/>
        <v>174.95</v>
      </c>
      <c r="Z221" s="10">
        <f>+'A) Base RI'!O221</f>
        <v>0</v>
      </c>
      <c r="AA221" s="10">
        <f>'A) Base RI'!V221</f>
        <v>185</v>
      </c>
    </row>
    <row r="222" spans="1:27" x14ac:dyDescent="0.25">
      <c r="A222" s="8">
        <f>'A) Base RI'!A222</f>
        <v>5752</v>
      </c>
      <c r="B222" s="32" t="str">
        <f>'A) Base RI'!B222</f>
        <v>Croy</v>
      </c>
      <c r="C222" s="10">
        <f>'A) Base RI'!C222+'A) Base RI'!D222</f>
        <v>767349.99</v>
      </c>
      <c r="D222" s="10">
        <f>'A) Base RI'!W222</f>
        <v>-47433.3</v>
      </c>
      <c r="E222" s="406">
        <f>'A) Base RI'!X222</f>
        <v>0</v>
      </c>
      <c r="F222" s="406">
        <f>'A) Base RI'!Y222</f>
        <v>-1430.85</v>
      </c>
      <c r="G222" s="420">
        <f t="shared" si="18"/>
        <v>718485.84</v>
      </c>
      <c r="H222" s="10">
        <f>+'A) Base RI'!E222</f>
        <v>0</v>
      </c>
      <c r="I222" s="10">
        <f>+'A) Base RI'!F222</f>
        <v>0</v>
      </c>
      <c r="J222" s="10">
        <f>+'A) Base RI'!G222+'A) Base RI'!H222+'A) Base RI'!I222</f>
        <v>2094.0726939152833</v>
      </c>
      <c r="K222" s="10">
        <f>+'A) Base RI'!J222</f>
        <v>0</v>
      </c>
      <c r="L222" s="10">
        <f>+'A) Base RI'!K222</f>
        <v>16741.73</v>
      </c>
      <c r="M222" s="10">
        <f>+'A) Base RI'!L222</f>
        <v>741.3</v>
      </c>
      <c r="N222" s="10">
        <f>+'A) Base RI'!R222</f>
        <v>4712.21</v>
      </c>
      <c r="O222" s="10">
        <f t="shared" si="19"/>
        <v>53254.571428571428</v>
      </c>
      <c r="P222" s="10">
        <f>+'A) Base RI'!M222</f>
        <v>37278.199999999997</v>
      </c>
      <c r="Q222" s="428">
        <f>'A) Base RI'!Z222</f>
        <v>0.7</v>
      </c>
      <c r="R222" s="420">
        <f t="shared" si="20"/>
        <v>796029.72412248678</v>
      </c>
      <c r="S222" s="410">
        <f>+'A) Base RI'!U222</f>
        <v>74</v>
      </c>
      <c r="T222" s="420">
        <f t="shared" si="21"/>
        <v>742033.85269391525</v>
      </c>
      <c r="U222" s="420">
        <f t="shared" si="22"/>
        <v>10757.15843408766</v>
      </c>
      <c r="V222" s="10">
        <f>+'A) Base RI'!P222</f>
        <v>6783.4</v>
      </c>
      <c r="W222" s="10">
        <f>+'A) Base RI'!Q222</f>
        <v>16997.2</v>
      </c>
      <c r="X222" s="10">
        <f>+'A) Base RI'!S222</f>
        <v>13223.5</v>
      </c>
      <c r="Y222" s="420">
        <f t="shared" si="23"/>
        <v>37004.1</v>
      </c>
      <c r="Z222" s="10">
        <f>+'A) Base RI'!O222</f>
        <v>27809.35</v>
      </c>
      <c r="AA222" s="10">
        <f>'A) Base RI'!V222</f>
        <v>404</v>
      </c>
    </row>
    <row r="223" spans="1:27" x14ac:dyDescent="0.25">
      <c r="A223" s="8">
        <f>'A) Base RI'!A223</f>
        <v>5754</v>
      </c>
      <c r="B223" s="32" t="str">
        <f>'A) Base RI'!B223</f>
        <v>Juriens</v>
      </c>
      <c r="C223" s="10">
        <f>'A) Base RI'!C223+'A) Base RI'!D223</f>
        <v>582363.94000000006</v>
      </c>
      <c r="D223" s="10">
        <f>'A) Base RI'!W223</f>
        <v>-1905.45</v>
      </c>
      <c r="E223" s="406">
        <f>'A) Base RI'!X223</f>
        <v>0</v>
      </c>
      <c r="F223" s="406">
        <f>'A) Base RI'!Y223</f>
        <v>-35.479999999999997</v>
      </c>
      <c r="G223" s="420">
        <f t="shared" si="18"/>
        <v>580423.01000000013</v>
      </c>
      <c r="H223" s="10">
        <f>+'A) Base RI'!E223</f>
        <v>0</v>
      </c>
      <c r="I223" s="10">
        <f>+'A) Base RI'!F223</f>
        <v>0</v>
      </c>
      <c r="J223" s="10">
        <f>+'A) Base RI'!G223+'A) Base RI'!H223+'A) Base RI'!I223</f>
        <v>2029.6591162539578</v>
      </c>
      <c r="K223" s="10">
        <f>+'A) Base RI'!J223</f>
        <v>0</v>
      </c>
      <c r="L223" s="10">
        <f>+'A) Base RI'!K223</f>
        <v>13714.27</v>
      </c>
      <c r="M223" s="10">
        <f>+'A) Base RI'!L223</f>
        <v>931</v>
      </c>
      <c r="N223" s="10">
        <f>+'A) Base RI'!R223</f>
        <v>0</v>
      </c>
      <c r="O223" s="10">
        <f t="shared" si="19"/>
        <v>38354.1</v>
      </c>
      <c r="P223" s="10">
        <f>+'A) Base RI'!M223</f>
        <v>38354.1</v>
      </c>
      <c r="Q223" s="428">
        <f>'A) Base RI'!Z223</f>
        <v>1</v>
      </c>
      <c r="R223" s="420">
        <f t="shared" si="20"/>
        <v>635452.03911625408</v>
      </c>
      <c r="S223" s="410">
        <f>+'A) Base RI'!U223</f>
        <v>79</v>
      </c>
      <c r="T223" s="420">
        <f t="shared" si="21"/>
        <v>596166.9391162541</v>
      </c>
      <c r="U223" s="420">
        <f t="shared" si="22"/>
        <v>8043.6966976741023</v>
      </c>
      <c r="V223" s="10">
        <f>+'A) Base RI'!P223</f>
        <v>0</v>
      </c>
      <c r="W223" s="10">
        <f>+'A) Base RI'!Q223</f>
        <v>8614.9</v>
      </c>
      <c r="X223" s="10">
        <f>+'A) Base RI'!S223</f>
        <v>0</v>
      </c>
      <c r="Y223" s="420">
        <f t="shared" si="23"/>
        <v>8614.9</v>
      </c>
      <c r="Z223" s="10">
        <f>+'A) Base RI'!O223</f>
        <v>1446.55</v>
      </c>
      <c r="AA223" s="10">
        <f>'A) Base RI'!V223</f>
        <v>308</v>
      </c>
    </row>
    <row r="224" spans="1:27" x14ac:dyDescent="0.25">
      <c r="A224" s="8">
        <f>'A) Base RI'!A224</f>
        <v>5755</v>
      </c>
      <c r="B224" s="32" t="str">
        <f>'A) Base RI'!B224</f>
        <v>Lignerolle</v>
      </c>
      <c r="C224" s="10">
        <f>'A) Base RI'!C224+'A) Base RI'!D224</f>
        <v>689195</v>
      </c>
      <c r="D224" s="10">
        <f>'A) Base RI'!W224</f>
        <v>-17680.38</v>
      </c>
      <c r="E224" s="406">
        <f>'A) Base RI'!X224</f>
        <v>0</v>
      </c>
      <c r="F224" s="406">
        <f>'A) Base RI'!Y224</f>
        <v>-16.329999999999998</v>
      </c>
      <c r="G224" s="420">
        <f t="shared" si="18"/>
        <v>671498.29</v>
      </c>
      <c r="H224" s="10">
        <f>+'A) Base RI'!E224</f>
        <v>0</v>
      </c>
      <c r="I224" s="10">
        <f>+'A) Base RI'!F224</f>
        <v>0</v>
      </c>
      <c r="J224" s="10">
        <f>+'A) Base RI'!G224+'A) Base RI'!H224+'A) Base RI'!I224</f>
        <v>10518.269162818164</v>
      </c>
      <c r="K224" s="10">
        <f>+'A) Base RI'!J224</f>
        <v>7604</v>
      </c>
      <c r="L224" s="10">
        <f>+'A) Base RI'!K224</f>
        <v>11297.85</v>
      </c>
      <c r="M224" s="10">
        <f>+'A) Base RI'!L224</f>
        <v>852.6</v>
      </c>
      <c r="N224" s="10">
        <f>+'A) Base RI'!R224</f>
        <v>449.88</v>
      </c>
      <c r="O224" s="10">
        <f t="shared" si="19"/>
        <v>58993.142857142855</v>
      </c>
      <c r="P224" s="10">
        <f>+'A) Base RI'!M224</f>
        <v>41295.199999999997</v>
      </c>
      <c r="Q224" s="428">
        <f>'A) Base RI'!Z224</f>
        <v>0.7</v>
      </c>
      <c r="R224" s="420">
        <f t="shared" si="20"/>
        <v>761214.03201996104</v>
      </c>
      <c r="S224" s="410">
        <f>+'A) Base RI'!U224</f>
        <v>80</v>
      </c>
      <c r="T224" s="420">
        <f t="shared" si="21"/>
        <v>701368.28916281823</v>
      </c>
      <c r="U224" s="420">
        <f t="shared" si="22"/>
        <v>9515.1754002495127</v>
      </c>
      <c r="V224" s="10">
        <f>+'A) Base RI'!P224</f>
        <v>0</v>
      </c>
      <c r="W224" s="10">
        <f>+'A) Base RI'!Q224</f>
        <v>22234.65</v>
      </c>
      <c r="X224" s="10">
        <f>+'A) Base RI'!S224</f>
        <v>8883.5</v>
      </c>
      <c r="Y224" s="420">
        <f t="shared" si="23"/>
        <v>31118.15</v>
      </c>
      <c r="Z224" s="10">
        <f>+'A) Base RI'!O224</f>
        <v>18805.45</v>
      </c>
      <c r="AA224" s="10">
        <f>'A) Base RI'!V224</f>
        <v>422</v>
      </c>
    </row>
    <row r="225" spans="1:27" x14ac:dyDescent="0.25">
      <c r="A225" s="8">
        <f>'A) Base RI'!A225</f>
        <v>5756</v>
      </c>
      <c r="B225" s="32" t="str">
        <f>'A) Base RI'!B225</f>
        <v>Montcherand</v>
      </c>
      <c r="C225" s="10">
        <f>'A) Base RI'!C225+'A) Base RI'!D225</f>
        <v>1125450.1099999999</v>
      </c>
      <c r="D225" s="10">
        <f>'A) Base RI'!W225</f>
        <v>-8166.04</v>
      </c>
      <c r="E225" s="406">
        <f>'A) Base RI'!X225</f>
        <v>0</v>
      </c>
      <c r="F225" s="406">
        <f>'A) Base RI'!Y225</f>
        <v>0</v>
      </c>
      <c r="G225" s="420">
        <f t="shared" si="18"/>
        <v>1117284.0699999998</v>
      </c>
      <c r="H225" s="10">
        <f>+'A) Base RI'!E225</f>
        <v>0</v>
      </c>
      <c r="I225" s="10">
        <f>+'A) Base RI'!F225</f>
        <v>0</v>
      </c>
      <c r="J225" s="10">
        <f>+'A) Base RI'!G225+'A) Base RI'!H225+'A) Base RI'!I225</f>
        <v>-30465.324422950096</v>
      </c>
      <c r="K225" s="10">
        <f>+'A) Base RI'!J225</f>
        <v>0</v>
      </c>
      <c r="L225" s="10">
        <f>+'A) Base RI'!K225</f>
        <v>13298.65</v>
      </c>
      <c r="M225" s="10">
        <f>+'A) Base RI'!L225</f>
        <v>214.3</v>
      </c>
      <c r="N225" s="10">
        <f>+'A) Base RI'!R225</f>
        <v>3430.66</v>
      </c>
      <c r="O225" s="10">
        <f t="shared" si="19"/>
        <v>82008.2</v>
      </c>
      <c r="P225" s="10">
        <f>+'A) Base RI'!M225</f>
        <v>82008.2</v>
      </c>
      <c r="Q225" s="428">
        <f>'A) Base RI'!Z225</f>
        <v>1</v>
      </c>
      <c r="R225" s="420">
        <f t="shared" si="20"/>
        <v>1185770.5555770495</v>
      </c>
      <c r="S225" s="410">
        <f>+'A) Base RI'!U225</f>
        <v>72</v>
      </c>
      <c r="T225" s="420">
        <f t="shared" si="21"/>
        <v>1103548.0555770495</v>
      </c>
      <c r="U225" s="420">
        <f t="shared" si="22"/>
        <v>16469.035494125688</v>
      </c>
      <c r="V225" s="10">
        <f>+'A) Base RI'!P225</f>
        <v>0</v>
      </c>
      <c r="W225" s="10">
        <f>+'A) Base RI'!Q225</f>
        <v>13260.8</v>
      </c>
      <c r="X225" s="10">
        <f>+'A) Base RI'!S225</f>
        <v>1978.45</v>
      </c>
      <c r="Y225" s="420">
        <f t="shared" si="23"/>
        <v>15239.25</v>
      </c>
      <c r="Z225" s="10">
        <f>+'A) Base RI'!O225</f>
        <v>22927.65</v>
      </c>
      <c r="AA225" s="10">
        <f>'A) Base RI'!V225</f>
        <v>489</v>
      </c>
    </row>
    <row r="226" spans="1:27" x14ac:dyDescent="0.25">
      <c r="A226" s="8">
        <f>'A) Base RI'!A226</f>
        <v>5757</v>
      </c>
      <c r="B226" s="32" t="str">
        <f>'A) Base RI'!B226</f>
        <v>Orbe</v>
      </c>
      <c r="C226" s="10">
        <f>'A) Base RI'!C226+'A) Base RI'!D226</f>
        <v>12031977.07</v>
      </c>
      <c r="D226" s="10">
        <f>'A) Base RI'!W226</f>
        <v>-315448.21000000002</v>
      </c>
      <c r="E226" s="406">
        <f>'A) Base RI'!X226</f>
        <v>0</v>
      </c>
      <c r="F226" s="406">
        <f>'A) Base RI'!Y226</f>
        <v>-464.95</v>
      </c>
      <c r="G226" s="420">
        <f t="shared" si="18"/>
        <v>11716063.91</v>
      </c>
      <c r="H226" s="10">
        <f>+'A) Base RI'!E226</f>
        <v>0</v>
      </c>
      <c r="I226" s="10">
        <f>+'A) Base RI'!F226</f>
        <v>0</v>
      </c>
      <c r="J226" s="10">
        <f>+'A) Base RI'!G226+'A) Base RI'!H226+'A) Base RI'!I226</f>
        <v>2145925.3671559431</v>
      </c>
      <c r="K226" s="10">
        <f>+'A) Base RI'!J226</f>
        <v>0</v>
      </c>
      <c r="L226" s="10">
        <f>+'A) Base RI'!K226</f>
        <v>382468.85</v>
      </c>
      <c r="M226" s="10">
        <f>+'A) Base RI'!L226</f>
        <v>88823.9</v>
      </c>
      <c r="N226" s="10">
        <f>+'A) Base RI'!R226</f>
        <v>159287.6</v>
      </c>
      <c r="O226" s="10">
        <f t="shared" si="19"/>
        <v>1281024.1499999999</v>
      </c>
      <c r="P226" s="10">
        <f>+'A) Base RI'!M226</f>
        <v>1281024.1499999999</v>
      </c>
      <c r="Q226" s="428">
        <f>'A) Base RI'!Z226</f>
        <v>1</v>
      </c>
      <c r="R226" s="420">
        <f t="shared" si="20"/>
        <v>15773593.777155943</v>
      </c>
      <c r="S226" s="410">
        <f>+'A) Base RI'!U226</f>
        <v>77</v>
      </c>
      <c r="T226" s="420">
        <f t="shared" si="21"/>
        <v>14403745.727155942</v>
      </c>
      <c r="U226" s="420">
        <f t="shared" si="22"/>
        <v>204851.86723579146</v>
      </c>
      <c r="V226" s="10">
        <f>+'A) Base RI'!P226</f>
        <v>355462.8</v>
      </c>
      <c r="W226" s="10">
        <f>+'A) Base RI'!Q226</f>
        <v>492875.3</v>
      </c>
      <c r="X226" s="10">
        <f>+'A) Base RI'!S226</f>
        <v>334359.05</v>
      </c>
      <c r="Y226" s="420">
        <f t="shared" si="23"/>
        <v>1182697.1499999999</v>
      </c>
      <c r="Z226" s="10">
        <f>+'A) Base RI'!O226</f>
        <v>2769162.05</v>
      </c>
      <c r="AA226" s="10">
        <f>'A) Base RI'!V226</f>
        <v>6942</v>
      </c>
    </row>
    <row r="227" spans="1:27" x14ac:dyDescent="0.25">
      <c r="A227" s="8">
        <f>'A) Base RI'!A227</f>
        <v>5758</v>
      </c>
      <c r="B227" s="32" t="str">
        <f>'A) Base RI'!B227</f>
        <v>La Praz</v>
      </c>
      <c r="C227" s="10">
        <f>'A) Base RI'!C227+'A) Base RI'!D227</f>
        <v>342850.74</v>
      </c>
      <c r="D227" s="10">
        <f>'A) Base RI'!W227</f>
        <v>-1057.51</v>
      </c>
      <c r="E227" s="406">
        <f>'A) Base RI'!X227</f>
        <v>0</v>
      </c>
      <c r="F227" s="406">
        <f>'A) Base RI'!Y227</f>
        <v>0</v>
      </c>
      <c r="G227" s="420">
        <f t="shared" si="18"/>
        <v>341793.23</v>
      </c>
      <c r="H227" s="10">
        <f>+'A) Base RI'!E227</f>
        <v>0</v>
      </c>
      <c r="I227" s="10">
        <f>+'A) Base RI'!F227</f>
        <v>980</v>
      </c>
      <c r="J227" s="10">
        <f>+'A) Base RI'!G227+'A) Base RI'!H227+'A) Base RI'!I227</f>
        <v>1801.552259998884</v>
      </c>
      <c r="K227" s="10">
        <f>+'A) Base RI'!J227</f>
        <v>0</v>
      </c>
      <c r="L227" s="10">
        <f>+'A) Base RI'!K227</f>
        <v>1215.27</v>
      </c>
      <c r="M227" s="10">
        <f>+'A) Base RI'!L227</f>
        <v>0</v>
      </c>
      <c r="N227" s="10">
        <f>+'A) Base RI'!R227</f>
        <v>0</v>
      </c>
      <c r="O227" s="10">
        <f t="shared" si="19"/>
        <v>23739.333333333336</v>
      </c>
      <c r="P227" s="10">
        <f>+'A) Base RI'!M227</f>
        <v>21365.4</v>
      </c>
      <c r="Q227" s="428">
        <f>'A) Base RI'!Z227</f>
        <v>0.9</v>
      </c>
      <c r="R227" s="420">
        <f t="shared" si="20"/>
        <v>369529.38559333218</v>
      </c>
      <c r="S227" s="410">
        <f>+'A) Base RI'!U227</f>
        <v>83</v>
      </c>
      <c r="T227" s="420">
        <f t="shared" si="21"/>
        <v>344810.05225999886</v>
      </c>
      <c r="U227" s="420">
        <f t="shared" si="22"/>
        <v>4452.1612722088212</v>
      </c>
      <c r="V227" s="10">
        <f>+'A) Base RI'!P227</f>
        <v>3013</v>
      </c>
      <c r="W227" s="10">
        <f>+'A) Base RI'!Q227</f>
        <v>31142.35</v>
      </c>
      <c r="X227" s="10">
        <f>+'A) Base RI'!S227</f>
        <v>31124.3</v>
      </c>
      <c r="Y227" s="420">
        <f t="shared" si="23"/>
        <v>65279.649999999994</v>
      </c>
      <c r="Z227" s="10">
        <f>+'A) Base RI'!O227</f>
        <v>0</v>
      </c>
      <c r="AA227" s="10">
        <f>'A) Base RI'!V227</f>
        <v>165</v>
      </c>
    </row>
    <row r="228" spans="1:27" x14ac:dyDescent="0.25">
      <c r="A228" s="8">
        <f>'A) Base RI'!A228</f>
        <v>5759</v>
      </c>
      <c r="B228" s="32" t="str">
        <f>'A) Base RI'!B228</f>
        <v>Premier</v>
      </c>
      <c r="C228" s="10">
        <f>'A) Base RI'!C228+'A) Base RI'!D228</f>
        <v>357602.4</v>
      </c>
      <c r="D228" s="10">
        <f>'A) Base RI'!W228</f>
        <v>-6732.12</v>
      </c>
      <c r="E228" s="406">
        <f>'A) Base RI'!X228</f>
        <v>0</v>
      </c>
      <c r="F228" s="406">
        <f>'A) Base RI'!Y228</f>
        <v>-29.68</v>
      </c>
      <c r="G228" s="420">
        <f t="shared" si="18"/>
        <v>350840.60000000003</v>
      </c>
      <c r="H228" s="10">
        <f>+'A) Base RI'!E228</f>
        <v>0</v>
      </c>
      <c r="I228" s="10">
        <f>+'A) Base RI'!F228</f>
        <v>0</v>
      </c>
      <c r="J228" s="10">
        <f>+'A) Base RI'!G228+'A) Base RI'!H228+'A) Base RI'!I228</f>
        <v>20.831955968812629</v>
      </c>
      <c r="K228" s="10">
        <f>+'A) Base RI'!J228</f>
        <v>0</v>
      </c>
      <c r="L228" s="10">
        <f>+'A) Base RI'!K228</f>
        <v>5748.19</v>
      </c>
      <c r="M228" s="10">
        <f>+'A) Base RI'!L228</f>
        <v>242.95</v>
      </c>
      <c r="N228" s="10">
        <f>+'A) Base RI'!R228</f>
        <v>813.8</v>
      </c>
      <c r="O228" s="10">
        <f t="shared" si="19"/>
        <v>26670.5</v>
      </c>
      <c r="P228" s="10">
        <f>+'A) Base RI'!M228</f>
        <v>26670.5</v>
      </c>
      <c r="Q228" s="428">
        <f>'A) Base RI'!Z228</f>
        <v>1</v>
      </c>
      <c r="R228" s="420">
        <f t="shared" si="20"/>
        <v>384336.87195596885</v>
      </c>
      <c r="S228" s="410">
        <f>+'A) Base RI'!U228</f>
        <v>81</v>
      </c>
      <c r="T228" s="420">
        <f t="shared" si="21"/>
        <v>357423.42195596884</v>
      </c>
      <c r="U228" s="420">
        <f t="shared" si="22"/>
        <v>4744.8996537773928</v>
      </c>
      <c r="V228" s="10">
        <f>+'A) Base RI'!P228</f>
        <v>0</v>
      </c>
      <c r="W228" s="10">
        <f>+'A) Base RI'!Q228</f>
        <v>37367</v>
      </c>
      <c r="X228" s="10">
        <f>+'A) Base RI'!S228</f>
        <v>22213.4</v>
      </c>
      <c r="Y228" s="420">
        <f t="shared" si="23"/>
        <v>59580.4</v>
      </c>
      <c r="Z228" s="10">
        <f>+'A) Base RI'!O228</f>
        <v>2720.8</v>
      </c>
      <c r="AA228" s="10">
        <f>'A) Base RI'!V228</f>
        <v>213</v>
      </c>
    </row>
    <row r="229" spans="1:27" x14ac:dyDescent="0.25">
      <c r="A229" s="8">
        <f>'A) Base RI'!A229</f>
        <v>5760</v>
      </c>
      <c r="B229" s="32" t="str">
        <f>'A) Base RI'!B229</f>
        <v>Rances</v>
      </c>
      <c r="C229" s="10">
        <f>'A) Base RI'!C229+'A) Base RI'!D229</f>
        <v>834066.66999999993</v>
      </c>
      <c r="D229" s="10">
        <f>'A) Base RI'!W229</f>
        <v>-16440.45</v>
      </c>
      <c r="E229" s="406">
        <f>'A) Base RI'!X229</f>
        <v>0</v>
      </c>
      <c r="F229" s="406">
        <f>'A) Base RI'!Y229</f>
        <v>-1362.07</v>
      </c>
      <c r="G229" s="420">
        <f t="shared" si="18"/>
        <v>816264.15</v>
      </c>
      <c r="H229" s="10">
        <f>+'A) Base RI'!E229</f>
        <v>0</v>
      </c>
      <c r="I229" s="10">
        <f>+'A) Base RI'!F229</f>
        <v>0</v>
      </c>
      <c r="J229" s="10">
        <f>+'A) Base RI'!G229+'A) Base RI'!H229+'A) Base RI'!I229</f>
        <v>2850.8942742929662</v>
      </c>
      <c r="K229" s="10">
        <f>+'A) Base RI'!J229</f>
        <v>0</v>
      </c>
      <c r="L229" s="10">
        <f>+'A) Base RI'!K229</f>
        <v>1336.93</v>
      </c>
      <c r="M229" s="10">
        <f>+'A) Base RI'!L229</f>
        <v>0</v>
      </c>
      <c r="N229" s="10">
        <f>+'A) Base RI'!R229</f>
        <v>752.95</v>
      </c>
      <c r="O229" s="10">
        <f t="shared" si="19"/>
        <v>69651.766666666663</v>
      </c>
      <c r="P229" s="10">
        <f>+'A) Base RI'!M229</f>
        <v>104477.65</v>
      </c>
      <c r="Q229" s="428">
        <f>'A) Base RI'!Z229</f>
        <v>1.5</v>
      </c>
      <c r="R229" s="420">
        <f t="shared" si="20"/>
        <v>890856.69094095961</v>
      </c>
      <c r="S229" s="410">
        <f>+'A) Base RI'!U229</f>
        <v>78</v>
      </c>
      <c r="T229" s="420">
        <f t="shared" si="21"/>
        <v>821204.92427429301</v>
      </c>
      <c r="U229" s="420">
        <f t="shared" si="22"/>
        <v>11421.2396274482</v>
      </c>
      <c r="V229" s="10">
        <f>+'A) Base RI'!P229</f>
        <v>15202.8</v>
      </c>
      <c r="W229" s="10">
        <f>+'A) Base RI'!Q229</f>
        <v>38335.199999999997</v>
      </c>
      <c r="X229" s="10">
        <f>+'A) Base RI'!S229</f>
        <v>22201.35</v>
      </c>
      <c r="Y229" s="420">
        <f t="shared" si="23"/>
        <v>75739.350000000006</v>
      </c>
      <c r="Z229" s="10">
        <f>+'A) Base RI'!O229</f>
        <v>17708.400000000001</v>
      </c>
      <c r="AA229" s="10">
        <f>'A) Base RI'!V229</f>
        <v>482</v>
      </c>
    </row>
    <row r="230" spans="1:27" x14ac:dyDescent="0.25">
      <c r="A230" s="8">
        <f>'A) Base RI'!A230</f>
        <v>5761</v>
      </c>
      <c r="B230" s="32" t="str">
        <f>'A) Base RI'!B230</f>
        <v>Romainmôtier-Envy</v>
      </c>
      <c r="C230" s="10">
        <f>'A) Base RI'!C230+'A) Base RI'!D230</f>
        <v>1082385.05</v>
      </c>
      <c r="D230" s="10">
        <f>'A) Base RI'!W230</f>
        <v>-36432.97</v>
      </c>
      <c r="E230" s="406">
        <f>'A) Base RI'!X230</f>
        <v>0</v>
      </c>
      <c r="F230" s="406">
        <f>'A) Base RI'!Y230</f>
        <v>0</v>
      </c>
      <c r="G230" s="420">
        <f t="shared" si="18"/>
        <v>1045952.0800000001</v>
      </c>
      <c r="H230" s="10">
        <f>+'A) Base RI'!E230</f>
        <v>0</v>
      </c>
      <c r="I230" s="10">
        <f>+'A) Base RI'!F230</f>
        <v>0</v>
      </c>
      <c r="J230" s="10">
        <f>+'A) Base RI'!G230+'A) Base RI'!H230+'A) Base RI'!I230</f>
        <v>28249.440603882511</v>
      </c>
      <c r="K230" s="10">
        <f>+'A) Base RI'!J230</f>
        <v>0</v>
      </c>
      <c r="L230" s="10">
        <f>+'A) Base RI'!K230</f>
        <v>12301.44</v>
      </c>
      <c r="M230" s="10">
        <f>+'A) Base RI'!L230</f>
        <v>-1363.45</v>
      </c>
      <c r="N230" s="10">
        <f>+'A) Base RI'!R230</f>
        <v>17663.939999999999</v>
      </c>
      <c r="O230" s="10">
        <f t="shared" si="19"/>
        <v>75535.636363636353</v>
      </c>
      <c r="P230" s="10">
        <f>+'A) Base RI'!M230</f>
        <v>83089.2</v>
      </c>
      <c r="Q230" s="428">
        <f>'A) Base RI'!Z230</f>
        <v>1.1000000000000001</v>
      </c>
      <c r="R230" s="420">
        <f t="shared" si="20"/>
        <v>1178339.086967519</v>
      </c>
      <c r="S230" s="410">
        <f>+'A) Base RI'!U230</f>
        <v>81</v>
      </c>
      <c r="T230" s="420">
        <f t="shared" si="21"/>
        <v>1104166.9006038825</v>
      </c>
      <c r="U230" s="420">
        <f t="shared" si="22"/>
        <v>14547.39613540147</v>
      </c>
      <c r="V230" s="10">
        <f>+'A) Base RI'!P230</f>
        <v>1307.5</v>
      </c>
      <c r="W230" s="10">
        <f>+'A) Base RI'!Q230</f>
        <v>38763.35</v>
      </c>
      <c r="X230" s="10">
        <f>+'A) Base RI'!S230</f>
        <v>43319.65</v>
      </c>
      <c r="Y230" s="420">
        <f t="shared" si="23"/>
        <v>83390.5</v>
      </c>
      <c r="Z230" s="10">
        <f>+'A) Base RI'!O230</f>
        <v>53214.400000000001</v>
      </c>
      <c r="AA230" s="10">
        <f>'A) Base RI'!V230</f>
        <v>540</v>
      </c>
    </row>
    <row r="231" spans="1:27" x14ac:dyDescent="0.25">
      <c r="A231" s="8">
        <f>'A) Base RI'!A231</f>
        <v>5762</v>
      </c>
      <c r="B231" s="32" t="str">
        <f>'A) Base RI'!B231</f>
        <v>Sergey</v>
      </c>
      <c r="C231" s="10">
        <f>'A) Base RI'!C231+'A) Base RI'!D231</f>
        <v>268223.14</v>
      </c>
      <c r="D231" s="10">
        <f>'A) Base RI'!W231</f>
        <v>-55.46</v>
      </c>
      <c r="E231" s="406">
        <f>'A) Base RI'!X231</f>
        <v>0</v>
      </c>
      <c r="F231" s="406">
        <f>'A) Base RI'!Y231</f>
        <v>0</v>
      </c>
      <c r="G231" s="420">
        <f t="shared" si="18"/>
        <v>268167.67999999999</v>
      </c>
      <c r="H231" s="10">
        <f>+'A) Base RI'!E231</f>
        <v>0</v>
      </c>
      <c r="I231" s="10">
        <f>+'A) Base RI'!F231</f>
        <v>0</v>
      </c>
      <c r="J231" s="10">
        <f>+'A) Base RI'!G231+'A) Base RI'!H231+'A) Base RI'!I231</f>
        <v>5097.506774559979</v>
      </c>
      <c r="K231" s="10">
        <f>+'A) Base RI'!J231</f>
        <v>0</v>
      </c>
      <c r="L231" s="10">
        <f>+'A) Base RI'!K231</f>
        <v>402.1</v>
      </c>
      <c r="M231" s="10">
        <f>+'A) Base RI'!L231</f>
        <v>75</v>
      </c>
      <c r="N231" s="10">
        <f>+'A) Base RI'!R231</f>
        <v>0</v>
      </c>
      <c r="O231" s="10">
        <f t="shared" si="19"/>
        <v>19828.599999999999</v>
      </c>
      <c r="P231" s="10">
        <f>+'A) Base RI'!M231</f>
        <v>19828.599999999999</v>
      </c>
      <c r="Q231" s="428">
        <f>'A) Base RI'!Z231</f>
        <v>1</v>
      </c>
      <c r="R231" s="420">
        <f t="shared" si="20"/>
        <v>293570.88677455991</v>
      </c>
      <c r="S231" s="410">
        <f>+'A) Base RI'!U231</f>
        <v>78</v>
      </c>
      <c r="T231" s="420">
        <f t="shared" si="21"/>
        <v>273667.28677455994</v>
      </c>
      <c r="U231" s="420">
        <f t="shared" si="22"/>
        <v>3763.729317622563</v>
      </c>
      <c r="V231" s="10">
        <f>+'A) Base RI'!P231</f>
        <v>0</v>
      </c>
      <c r="W231" s="10">
        <f>+'A) Base RI'!Q231</f>
        <v>1924.95</v>
      </c>
      <c r="X231" s="10">
        <f>+'A) Base RI'!S231</f>
        <v>746.75</v>
      </c>
      <c r="Y231" s="420">
        <f t="shared" si="23"/>
        <v>2671.7</v>
      </c>
      <c r="Z231" s="10">
        <f>+'A) Base RI'!O231</f>
        <v>2645.8</v>
      </c>
      <c r="AA231" s="10">
        <f>'A) Base RI'!V231</f>
        <v>146</v>
      </c>
    </row>
    <row r="232" spans="1:27" x14ac:dyDescent="0.25">
      <c r="A232" s="8">
        <f>'A) Base RI'!A232</f>
        <v>5763</v>
      </c>
      <c r="B232" s="32" t="str">
        <f>'A) Base RI'!B232</f>
        <v>Valeyres-sous-Rances</v>
      </c>
      <c r="C232" s="10">
        <f>'A) Base RI'!C232+'A) Base RI'!D232</f>
        <v>1241693.46</v>
      </c>
      <c r="D232" s="10">
        <f>'A) Base RI'!W232</f>
        <v>-2612.66</v>
      </c>
      <c r="E232" s="406">
        <f>'A) Base RI'!X232</f>
        <v>0</v>
      </c>
      <c r="F232" s="406">
        <f>'A) Base RI'!Y232</f>
        <v>-97.74</v>
      </c>
      <c r="G232" s="420">
        <f t="shared" si="18"/>
        <v>1238983.06</v>
      </c>
      <c r="H232" s="10">
        <f>+'A) Base RI'!E232</f>
        <v>0</v>
      </c>
      <c r="I232" s="10">
        <f>+'A) Base RI'!F232</f>
        <v>3300</v>
      </c>
      <c r="J232" s="10">
        <f>+'A) Base RI'!G232+'A) Base RI'!H232+'A) Base RI'!I232</f>
        <v>9145.7011266525442</v>
      </c>
      <c r="K232" s="10">
        <f>+'A) Base RI'!J232</f>
        <v>0</v>
      </c>
      <c r="L232" s="10">
        <f>+'A) Base RI'!K232</f>
        <v>17396.189999999999</v>
      </c>
      <c r="M232" s="10">
        <f>+'A) Base RI'!L232</f>
        <v>3554.35</v>
      </c>
      <c r="N232" s="10">
        <f>+'A) Base RI'!R232</f>
        <v>895.5</v>
      </c>
      <c r="O232" s="10">
        <f t="shared" si="19"/>
        <v>86290.95</v>
      </c>
      <c r="P232" s="10">
        <f>+'A) Base RI'!M232</f>
        <v>86290.95</v>
      </c>
      <c r="Q232" s="428">
        <f>'A) Base RI'!Z232</f>
        <v>1</v>
      </c>
      <c r="R232" s="420">
        <f t="shared" si="20"/>
        <v>1359565.7511266526</v>
      </c>
      <c r="S232" s="410">
        <f>+'A) Base RI'!U232</f>
        <v>65</v>
      </c>
      <c r="T232" s="420">
        <f t="shared" si="21"/>
        <v>1266420.4511266525</v>
      </c>
      <c r="U232" s="420">
        <f t="shared" si="22"/>
        <v>20916.396171179269</v>
      </c>
      <c r="V232" s="10">
        <f>+'A) Base RI'!P232</f>
        <v>0</v>
      </c>
      <c r="W232" s="10">
        <f>+'A) Base RI'!Q232</f>
        <v>6944.55</v>
      </c>
      <c r="X232" s="10">
        <f>+'A) Base RI'!S232</f>
        <v>-18894.849999999999</v>
      </c>
      <c r="Y232" s="420">
        <f t="shared" si="23"/>
        <v>-11950.3</v>
      </c>
      <c r="Z232" s="10">
        <f>+'A) Base RI'!O232</f>
        <v>37741.050000000003</v>
      </c>
      <c r="AA232" s="10">
        <f>'A) Base RI'!V232</f>
        <v>622</v>
      </c>
    </row>
    <row r="233" spans="1:27" x14ac:dyDescent="0.25">
      <c r="A233" s="8">
        <f>'A) Base RI'!A233</f>
        <v>5764</v>
      </c>
      <c r="B233" s="32" t="str">
        <f>'A) Base RI'!B233</f>
        <v>Vallorbe</v>
      </c>
      <c r="C233" s="10">
        <f>'A) Base RI'!C233+'A) Base RI'!D233</f>
        <v>5256853.99</v>
      </c>
      <c r="D233" s="10">
        <f>'A) Base RI'!W233</f>
        <v>-213166.29</v>
      </c>
      <c r="E233" s="406">
        <f>'A) Base RI'!X233</f>
        <v>0</v>
      </c>
      <c r="F233" s="406">
        <f>'A) Base RI'!Y233</f>
        <v>-385.34</v>
      </c>
      <c r="G233" s="420">
        <f t="shared" si="18"/>
        <v>5043302.3600000003</v>
      </c>
      <c r="H233" s="10">
        <f>+'A) Base RI'!E233</f>
        <v>0</v>
      </c>
      <c r="I233" s="10">
        <f>+'A) Base RI'!F233</f>
        <v>0</v>
      </c>
      <c r="J233" s="10">
        <f>+'A) Base RI'!G233+'A) Base RI'!H233+'A) Base RI'!I233</f>
        <v>346209.57764773211</v>
      </c>
      <c r="K233" s="10">
        <f>+'A) Base RI'!J233</f>
        <v>0</v>
      </c>
      <c r="L233" s="10">
        <f>+'A) Base RI'!K233</f>
        <v>199584.39</v>
      </c>
      <c r="M233" s="10">
        <f>+'A) Base RI'!L233</f>
        <v>27389.25</v>
      </c>
      <c r="N233" s="10">
        <f>+'A) Base RI'!R233</f>
        <v>42914.03</v>
      </c>
      <c r="O233" s="10">
        <f t="shared" si="19"/>
        <v>434829.6</v>
      </c>
      <c r="P233" s="10">
        <f>+'A) Base RI'!M233</f>
        <v>434829.6</v>
      </c>
      <c r="Q233" s="428">
        <f>'A) Base RI'!Z233</f>
        <v>1</v>
      </c>
      <c r="R233" s="420">
        <f t="shared" si="20"/>
        <v>6094229.2076477315</v>
      </c>
      <c r="S233" s="410">
        <f>+'A) Base RI'!U233</f>
        <v>73</v>
      </c>
      <c r="T233" s="420">
        <f t="shared" si="21"/>
        <v>5632010.3576477319</v>
      </c>
      <c r="U233" s="420">
        <f t="shared" si="22"/>
        <v>83482.591885585367</v>
      </c>
      <c r="V233" s="10">
        <f>+'A) Base RI'!P233</f>
        <v>39526.300000000003</v>
      </c>
      <c r="W233" s="10">
        <f>+'A) Base RI'!Q233</f>
        <v>153058.45000000001</v>
      </c>
      <c r="X233" s="10">
        <f>+'A) Base RI'!S233</f>
        <v>131337.29999999999</v>
      </c>
      <c r="Y233" s="420">
        <f t="shared" si="23"/>
        <v>323922.05</v>
      </c>
      <c r="Z233" s="10">
        <f>+'A) Base RI'!O233</f>
        <v>2339312.5499999998</v>
      </c>
      <c r="AA233" s="10">
        <f>'A) Base RI'!V233</f>
        <v>3852</v>
      </c>
    </row>
    <row r="234" spans="1:27" x14ac:dyDescent="0.25">
      <c r="A234" s="8">
        <f>'A) Base RI'!A234</f>
        <v>5765</v>
      </c>
      <c r="B234" s="32" t="str">
        <f>'A) Base RI'!B234</f>
        <v>Vaulion</v>
      </c>
      <c r="C234" s="10">
        <f>'A) Base RI'!C234+'A) Base RI'!D234</f>
        <v>735922.69</v>
      </c>
      <c r="D234" s="10">
        <f>'A) Base RI'!W234</f>
        <v>-29131.37</v>
      </c>
      <c r="E234" s="406">
        <f>'A) Base RI'!X234</f>
        <v>0</v>
      </c>
      <c r="F234" s="406">
        <f>'A) Base RI'!Y234</f>
        <v>-3.03</v>
      </c>
      <c r="G234" s="420">
        <f t="shared" si="18"/>
        <v>706788.28999999992</v>
      </c>
      <c r="H234" s="10">
        <f>+'A) Base RI'!E234</f>
        <v>0</v>
      </c>
      <c r="I234" s="10">
        <f>+'A) Base RI'!F234</f>
        <v>0</v>
      </c>
      <c r="J234" s="10">
        <f>+'A) Base RI'!G234+'A) Base RI'!H234+'A) Base RI'!I234</f>
        <v>7095.793829865921</v>
      </c>
      <c r="K234" s="10">
        <f>+'A) Base RI'!J234</f>
        <v>0</v>
      </c>
      <c r="L234" s="10">
        <f>+'A) Base RI'!K234</f>
        <v>13266.24</v>
      </c>
      <c r="M234" s="10">
        <f>+'A) Base RI'!L234</f>
        <v>0</v>
      </c>
      <c r="N234" s="10">
        <f>+'A) Base RI'!R234</f>
        <v>2574.25</v>
      </c>
      <c r="O234" s="10">
        <f t="shared" si="19"/>
        <v>61756.5</v>
      </c>
      <c r="P234" s="10">
        <f>+'A) Base RI'!M234</f>
        <v>30878.25</v>
      </c>
      <c r="Q234" s="428">
        <f>'A) Base RI'!Z234</f>
        <v>0.5</v>
      </c>
      <c r="R234" s="420">
        <f t="shared" si="20"/>
        <v>791481.07382986578</v>
      </c>
      <c r="S234" s="410">
        <f>+'A) Base RI'!U234</f>
        <v>81</v>
      </c>
      <c r="T234" s="420">
        <f t="shared" si="21"/>
        <v>729724.57382986578</v>
      </c>
      <c r="U234" s="420">
        <f t="shared" si="22"/>
        <v>9771.3712818501954</v>
      </c>
      <c r="V234" s="10">
        <f>+'A) Base RI'!P234</f>
        <v>7144.6</v>
      </c>
      <c r="W234" s="10">
        <f>+'A) Base RI'!Q234</f>
        <v>26719</v>
      </c>
      <c r="X234" s="10">
        <f>+'A) Base RI'!S234</f>
        <v>21557.05</v>
      </c>
      <c r="Y234" s="420">
        <f t="shared" si="23"/>
        <v>55420.649999999994</v>
      </c>
      <c r="Z234" s="10">
        <f>+'A) Base RI'!O234</f>
        <v>44268</v>
      </c>
      <c r="AA234" s="10">
        <f>'A) Base RI'!V234</f>
        <v>469</v>
      </c>
    </row>
    <row r="235" spans="1:27" x14ac:dyDescent="0.25">
      <c r="A235" s="8">
        <f>'A) Base RI'!A235</f>
        <v>5766</v>
      </c>
      <c r="B235" s="32" t="str">
        <f>'A) Base RI'!B235</f>
        <v>Vuiteboeuf</v>
      </c>
      <c r="C235" s="10">
        <f>'A) Base RI'!C235+'A) Base RI'!D235</f>
        <v>890706.48</v>
      </c>
      <c r="D235" s="10">
        <f>'A) Base RI'!W235</f>
        <v>-10140.41</v>
      </c>
      <c r="E235" s="406">
        <f>'A) Base RI'!X235</f>
        <v>0</v>
      </c>
      <c r="F235" s="406">
        <f>'A) Base RI'!Y235</f>
        <v>-11.92</v>
      </c>
      <c r="G235" s="420">
        <f t="shared" si="18"/>
        <v>880554.14999999991</v>
      </c>
      <c r="H235" s="10">
        <f>+'A) Base RI'!E235</f>
        <v>0</v>
      </c>
      <c r="I235" s="10">
        <f>+'A) Base RI'!F235</f>
        <v>0</v>
      </c>
      <c r="J235" s="10">
        <f>+'A) Base RI'!G235+'A) Base RI'!H235+'A) Base RI'!I235</f>
        <v>17833.055091687675</v>
      </c>
      <c r="K235" s="10">
        <f>+'A) Base RI'!J235</f>
        <v>0</v>
      </c>
      <c r="L235" s="10">
        <f>+'A) Base RI'!K235</f>
        <v>29140.080000000002</v>
      </c>
      <c r="M235" s="10">
        <f>+'A) Base RI'!L235</f>
        <v>3268.65</v>
      </c>
      <c r="N235" s="10">
        <f>+'A) Base RI'!R235</f>
        <v>1766.89</v>
      </c>
      <c r="O235" s="10">
        <f t="shared" si="19"/>
        <v>80525.357142857145</v>
      </c>
      <c r="P235" s="10">
        <f>+'A) Base RI'!M235</f>
        <v>56367.75</v>
      </c>
      <c r="Q235" s="428">
        <f>'A) Base RI'!Z235</f>
        <v>0.7</v>
      </c>
      <c r="R235" s="420">
        <f t="shared" si="20"/>
        <v>1013088.1822345448</v>
      </c>
      <c r="S235" s="410">
        <f>+'A) Base RI'!U235</f>
        <v>77</v>
      </c>
      <c r="T235" s="420">
        <f t="shared" si="21"/>
        <v>929294.17509168759</v>
      </c>
      <c r="U235" s="420">
        <f t="shared" si="22"/>
        <v>13156.989379669412</v>
      </c>
      <c r="V235" s="10">
        <f>+'A) Base RI'!P235</f>
        <v>0</v>
      </c>
      <c r="W235" s="10">
        <f>+'A) Base RI'!Q235</f>
        <v>31873.9</v>
      </c>
      <c r="X235" s="10">
        <f>+'A) Base RI'!S235</f>
        <v>10413.6</v>
      </c>
      <c r="Y235" s="420">
        <f t="shared" si="23"/>
        <v>42287.5</v>
      </c>
      <c r="Z235" s="10">
        <f>+'A) Base RI'!O235</f>
        <v>22902.3</v>
      </c>
      <c r="AA235" s="10">
        <f>'A) Base RI'!V235</f>
        <v>584</v>
      </c>
    </row>
    <row r="236" spans="1:27" x14ac:dyDescent="0.25">
      <c r="A236" s="8">
        <f>'A) Base RI'!A236</f>
        <v>5785</v>
      </c>
      <c r="B236" s="32" t="str">
        <f>'A) Base RI'!B236</f>
        <v>Corcelles-le-Jorat</v>
      </c>
      <c r="C236" s="10">
        <f>'A) Base RI'!C236+'A) Base RI'!D236</f>
        <v>1077290.43</v>
      </c>
      <c r="D236" s="10">
        <f>'A) Base RI'!W236</f>
        <v>-2855.19</v>
      </c>
      <c r="E236" s="406">
        <f>'A) Base RI'!X236</f>
        <v>0</v>
      </c>
      <c r="F236" s="406">
        <f>'A) Base RI'!Y236</f>
        <v>-244.89</v>
      </c>
      <c r="G236" s="420">
        <f t="shared" si="18"/>
        <v>1074190.3500000001</v>
      </c>
      <c r="H236" s="10">
        <f>+'A) Base RI'!E236</f>
        <v>0</v>
      </c>
      <c r="I236" s="10">
        <f>+'A) Base RI'!F236</f>
        <v>0</v>
      </c>
      <c r="J236" s="10">
        <f>+'A) Base RI'!G236+'A) Base RI'!H236+'A) Base RI'!I236</f>
        <v>8417.6807699317378</v>
      </c>
      <c r="K236" s="10">
        <f>+'A) Base RI'!J236</f>
        <v>0</v>
      </c>
      <c r="L236" s="10">
        <f>+'A) Base RI'!K236</f>
        <v>47042.95</v>
      </c>
      <c r="M236" s="10">
        <f>+'A) Base RI'!L236</f>
        <v>599.1</v>
      </c>
      <c r="N236" s="10">
        <f>+'A) Base RI'!R236</f>
        <v>0</v>
      </c>
      <c r="O236" s="10">
        <f t="shared" si="19"/>
        <v>68797.850000000006</v>
      </c>
      <c r="P236" s="10">
        <f>+'A) Base RI'!M236</f>
        <v>68797.850000000006</v>
      </c>
      <c r="Q236" s="428">
        <f>'A) Base RI'!Z236</f>
        <v>1</v>
      </c>
      <c r="R236" s="420">
        <f t="shared" si="20"/>
        <v>1199047.930769932</v>
      </c>
      <c r="S236" s="410">
        <f>+'A) Base RI'!U236</f>
        <v>77</v>
      </c>
      <c r="T236" s="420">
        <f t="shared" si="21"/>
        <v>1129650.9807699318</v>
      </c>
      <c r="U236" s="420">
        <f t="shared" si="22"/>
        <v>15572.051048960157</v>
      </c>
      <c r="V236" s="10">
        <f>+'A) Base RI'!P236</f>
        <v>0</v>
      </c>
      <c r="W236" s="10">
        <f>+'A) Base RI'!Q236</f>
        <v>34574.25</v>
      </c>
      <c r="X236" s="10">
        <f>+'A) Base RI'!S236</f>
        <v>16880</v>
      </c>
      <c r="Y236" s="420">
        <f t="shared" si="23"/>
        <v>51454.25</v>
      </c>
      <c r="Z236" s="10">
        <f>+'A) Base RI'!O236</f>
        <v>0</v>
      </c>
      <c r="AA236" s="10">
        <f>'A) Base RI'!V236</f>
        <v>445</v>
      </c>
    </row>
    <row r="237" spans="1:27" x14ac:dyDescent="0.25">
      <c r="A237" s="8">
        <f>'A) Base RI'!A237</f>
        <v>5788</v>
      </c>
      <c r="B237" s="32" t="str">
        <f>'A) Base RI'!B237</f>
        <v>Essertes</v>
      </c>
      <c r="C237" s="10">
        <f>'A) Base RI'!C237+'A) Base RI'!D237</f>
        <v>769597.54</v>
      </c>
      <c r="D237" s="10">
        <f>'A) Base RI'!W237</f>
        <v>-14843.16</v>
      </c>
      <c r="E237" s="406">
        <f>'A) Base RI'!X237</f>
        <v>0</v>
      </c>
      <c r="F237" s="406">
        <f>'A) Base RI'!Y237</f>
        <v>0</v>
      </c>
      <c r="G237" s="420">
        <f t="shared" si="18"/>
        <v>754754.38</v>
      </c>
      <c r="H237" s="10">
        <f>+'A) Base RI'!E237</f>
        <v>0</v>
      </c>
      <c r="I237" s="10">
        <f>+'A) Base RI'!F237</f>
        <v>0</v>
      </c>
      <c r="J237" s="10">
        <f>+'A) Base RI'!G237+'A) Base RI'!H237+'A) Base RI'!I237</f>
        <v>5706.7773211256927</v>
      </c>
      <c r="K237" s="10">
        <f>+'A) Base RI'!J237</f>
        <v>0</v>
      </c>
      <c r="L237" s="10">
        <f>+'A) Base RI'!K237</f>
        <v>30928.33</v>
      </c>
      <c r="M237" s="10">
        <f>+'A) Base RI'!L237</f>
        <v>2450.5</v>
      </c>
      <c r="N237" s="10">
        <f>+'A) Base RI'!R237</f>
        <v>0</v>
      </c>
      <c r="O237" s="10">
        <f t="shared" si="19"/>
        <v>61797.52</v>
      </c>
      <c r="P237" s="10">
        <f>+'A) Base RI'!M237</f>
        <v>77246.899999999994</v>
      </c>
      <c r="Q237" s="428">
        <f>'A) Base RI'!Z237</f>
        <v>1.25</v>
      </c>
      <c r="R237" s="420">
        <f t="shared" si="20"/>
        <v>855637.50732112571</v>
      </c>
      <c r="S237" s="410">
        <f>+'A) Base RI'!U237</f>
        <v>72</v>
      </c>
      <c r="T237" s="420">
        <f t="shared" si="21"/>
        <v>791389.48732112569</v>
      </c>
      <c r="U237" s="420">
        <f t="shared" si="22"/>
        <v>11883.854268348969</v>
      </c>
      <c r="V237" s="10">
        <f>+'A) Base RI'!P237</f>
        <v>3</v>
      </c>
      <c r="W237" s="10">
        <f>+'A) Base RI'!Q237</f>
        <v>29755</v>
      </c>
      <c r="X237" s="10">
        <f>+'A) Base RI'!S237</f>
        <v>16773.05</v>
      </c>
      <c r="Y237" s="420">
        <f t="shared" si="23"/>
        <v>46531.05</v>
      </c>
      <c r="Z237" s="10">
        <f>+'A) Base RI'!O237</f>
        <v>0</v>
      </c>
      <c r="AA237" s="10">
        <f>'A) Base RI'!V237</f>
        <v>374</v>
      </c>
    </row>
    <row r="238" spans="1:27" x14ac:dyDescent="0.25">
      <c r="A238" s="8">
        <f>'A) Base RI'!A238</f>
        <v>5790</v>
      </c>
      <c r="B238" s="32" t="str">
        <f>'A) Base RI'!B238</f>
        <v>Maracon</v>
      </c>
      <c r="C238" s="10">
        <f>'A) Base RI'!C238+'A) Base RI'!D238</f>
        <v>882562.31</v>
      </c>
      <c r="D238" s="10">
        <f>'A) Base RI'!W238</f>
        <v>-3469.62</v>
      </c>
      <c r="E238" s="406">
        <f>'A) Base RI'!X238</f>
        <v>0</v>
      </c>
      <c r="F238" s="406">
        <f>'A) Base RI'!Y238</f>
        <v>-123.43</v>
      </c>
      <c r="G238" s="420">
        <f t="shared" si="18"/>
        <v>878969.26</v>
      </c>
      <c r="H238" s="10">
        <f>+'A) Base RI'!E238</f>
        <v>0</v>
      </c>
      <c r="I238" s="10">
        <f>+'A) Base RI'!F238</f>
        <v>0</v>
      </c>
      <c r="J238" s="10">
        <f>+'A) Base RI'!G238+'A) Base RI'!H238+'A) Base RI'!I238</f>
        <v>4147.5435741983392</v>
      </c>
      <c r="K238" s="10">
        <f>+'A) Base RI'!J238</f>
        <v>0</v>
      </c>
      <c r="L238" s="10">
        <f>+'A) Base RI'!K238</f>
        <v>37556.47</v>
      </c>
      <c r="M238" s="10">
        <f>+'A) Base RI'!L238</f>
        <v>4128</v>
      </c>
      <c r="N238" s="10">
        <f>+'A) Base RI'!R238</f>
        <v>0</v>
      </c>
      <c r="O238" s="10">
        <f t="shared" si="19"/>
        <v>82667.199999999997</v>
      </c>
      <c r="P238" s="10">
        <f>+'A) Base RI'!M238</f>
        <v>82667.199999999997</v>
      </c>
      <c r="Q238" s="428">
        <f>'A) Base RI'!Z238</f>
        <v>1</v>
      </c>
      <c r="R238" s="420">
        <f t="shared" si="20"/>
        <v>1007468.4735741983</v>
      </c>
      <c r="S238" s="410">
        <f>+'A) Base RI'!U238</f>
        <v>76</v>
      </c>
      <c r="T238" s="420">
        <f t="shared" si="21"/>
        <v>920673.27357419836</v>
      </c>
      <c r="U238" s="420">
        <f t="shared" si="22"/>
        <v>13256.164125976293</v>
      </c>
      <c r="V238" s="10">
        <f>+'A) Base RI'!P238</f>
        <v>0</v>
      </c>
      <c r="W238" s="10">
        <f>+'A) Base RI'!Q238</f>
        <v>111342.15</v>
      </c>
      <c r="X238" s="10">
        <f>+'A) Base RI'!S238</f>
        <v>19566</v>
      </c>
      <c r="Y238" s="420">
        <f t="shared" si="23"/>
        <v>130908.15</v>
      </c>
      <c r="Z238" s="10">
        <f>+'A) Base RI'!O238</f>
        <v>10203.049999999999</v>
      </c>
      <c r="AA238" s="10">
        <f>'A) Base RI'!V238</f>
        <v>492</v>
      </c>
    </row>
    <row r="239" spans="1:27" x14ac:dyDescent="0.25">
      <c r="A239" s="8">
        <f>'A) Base RI'!A239</f>
        <v>5792</v>
      </c>
      <c r="B239" s="32" t="str">
        <f>'A) Base RI'!B239</f>
        <v>Montpreveyres</v>
      </c>
      <c r="C239" s="10">
        <f>'A) Base RI'!C239+'A) Base RI'!D239</f>
        <v>1301684.1499999999</v>
      </c>
      <c r="D239" s="10">
        <f>'A) Base RI'!W239</f>
        <v>-15056.05</v>
      </c>
      <c r="E239" s="406">
        <f>'A) Base RI'!X239</f>
        <v>0</v>
      </c>
      <c r="F239" s="406">
        <f>'A) Base RI'!Y239</f>
        <v>-21.06</v>
      </c>
      <c r="G239" s="420">
        <f t="shared" si="18"/>
        <v>1286607.0399999998</v>
      </c>
      <c r="H239" s="10">
        <f>+'A) Base RI'!E239</f>
        <v>0</v>
      </c>
      <c r="I239" s="10">
        <f>+'A) Base RI'!F239</f>
        <v>0</v>
      </c>
      <c r="J239" s="10">
        <f>+'A) Base RI'!G239+'A) Base RI'!H239+'A) Base RI'!I239</f>
        <v>4904.3711325849417</v>
      </c>
      <c r="K239" s="10">
        <f>+'A) Base RI'!J239</f>
        <v>0</v>
      </c>
      <c r="L239" s="10">
        <f>+'A) Base RI'!K239</f>
        <v>29087.37</v>
      </c>
      <c r="M239" s="10">
        <f>+'A) Base RI'!L239</f>
        <v>2682</v>
      </c>
      <c r="N239" s="10">
        <f>+'A) Base RI'!R239</f>
        <v>9674.76</v>
      </c>
      <c r="O239" s="10">
        <f t="shared" si="19"/>
        <v>108982.75</v>
      </c>
      <c r="P239" s="10">
        <f>+'A) Base RI'!M239</f>
        <v>108982.75</v>
      </c>
      <c r="Q239" s="428">
        <f>'A) Base RI'!Z239</f>
        <v>1</v>
      </c>
      <c r="R239" s="420">
        <f t="shared" si="20"/>
        <v>1441938.2911325849</v>
      </c>
      <c r="S239" s="410">
        <f>+'A) Base RI'!U239</f>
        <v>77</v>
      </c>
      <c r="T239" s="420">
        <f t="shared" si="21"/>
        <v>1330273.5411325849</v>
      </c>
      <c r="U239" s="420">
        <f t="shared" si="22"/>
        <v>18726.471313410195</v>
      </c>
      <c r="V239" s="10">
        <f>+'A) Base RI'!P239</f>
        <v>0</v>
      </c>
      <c r="W239" s="10">
        <f>+'A) Base RI'!Q239</f>
        <v>113292.7</v>
      </c>
      <c r="X239" s="10">
        <f>+'A) Base RI'!S239</f>
        <v>27873.05</v>
      </c>
      <c r="Y239" s="420">
        <f t="shared" si="23"/>
        <v>141165.75</v>
      </c>
      <c r="Z239" s="10">
        <f>+'A) Base RI'!O239</f>
        <v>16.149999999999999</v>
      </c>
      <c r="AA239" s="10">
        <f>'A) Base RI'!V239</f>
        <v>643</v>
      </c>
    </row>
    <row r="240" spans="1:27" x14ac:dyDescent="0.25">
      <c r="A240" s="8">
        <f>'A) Base RI'!A240</f>
        <v>5798</v>
      </c>
      <c r="B240" s="32" t="str">
        <f>'A) Base RI'!B240</f>
        <v>Ropraz</v>
      </c>
      <c r="C240" s="10">
        <f>'A) Base RI'!C240+'A) Base RI'!D240</f>
        <v>950444.7</v>
      </c>
      <c r="D240" s="10">
        <f>'A) Base RI'!W240</f>
        <v>-8736.27</v>
      </c>
      <c r="E240" s="406">
        <f>'A) Base RI'!X240</f>
        <v>0</v>
      </c>
      <c r="F240" s="406">
        <f>'A) Base RI'!Y240</f>
        <v>-66.56</v>
      </c>
      <c r="G240" s="420">
        <f t="shared" si="18"/>
        <v>941641.86999999988</v>
      </c>
      <c r="H240" s="10">
        <f>+'A) Base RI'!E240</f>
        <v>0</v>
      </c>
      <c r="I240" s="10">
        <f>+'A) Base RI'!F240</f>
        <v>0</v>
      </c>
      <c r="J240" s="10">
        <f>+'A) Base RI'!G240+'A) Base RI'!H240+'A) Base RI'!I240</f>
        <v>9164.591693437269</v>
      </c>
      <c r="K240" s="10">
        <f>+'A) Base RI'!J240</f>
        <v>0</v>
      </c>
      <c r="L240" s="10">
        <f>+'A) Base RI'!K240</f>
        <v>30285.200000000001</v>
      </c>
      <c r="M240" s="10">
        <f>+'A) Base RI'!L240</f>
        <v>4079.5</v>
      </c>
      <c r="N240" s="10">
        <f>+'A) Base RI'!R240</f>
        <v>2945.2</v>
      </c>
      <c r="O240" s="10">
        <f t="shared" si="19"/>
        <v>75591.3</v>
      </c>
      <c r="P240" s="10">
        <f>+'A) Base RI'!M240</f>
        <v>37795.65</v>
      </c>
      <c r="Q240" s="428">
        <f>'A) Base RI'!Z240</f>
        <v>0.5</v>
      </c>
      <c r="R240" s="420">
        <f t="shared" si="20"/>
        <v>1063707.661693437</v>
      </c>
      <c r="S240" s="410">
        <f>+'A) Base RI'!U240</f>
        <v>77.5</v>
      </c>
      <c r="T240" s="420">
        <f t="shared" si="21"/>
        <v>984036.86169343709</v>
      </c>
      <c r="U240" s="420">
        <f t="shared" si="22"/>
        <v>13725.260150883058</v>
      </c>
      <c r="V240" s="10">
        <f>+'A) Base RI'!P240</f>
        <v>20443.2</v>
      </c>
      <c r="W240" s="10">
        <f>+'A) Base RI'!Q240</f>
        <v>61510.75</v>
      </c>
      <c r="X240" s="10">
        <f>+'A) Base RI'!S240</f>
        <v>11393.1</v>
      </c>
      <c r="Y240" s="420">
        <f t="shared" si="23"/>
        <v>93347.05</v>
      </c>
      <c r="Z240" s="10">
        <f>+'A) Base RI'!O240</f>
        <v>7800.35</v>
      </c>
      <c r="AA240" s="10">
        <f>'A) Base RI'!V240</f>
        <v>494</v>
      </c>
    </row>
    <row r="241" spans="1:27" x14ac:dyDescent="0.25">
      <c r="A241" s="8">
        <f>'A) Base RI'!A241</f>
        <v>5799</v>
      </c>
      <c r="B241" s="32" t="str">
        <f>'A) Base RI'!B241</f>
        <v>Servion</v>
      </c>
      <c r="C241" s="10">
        <f>'A) Base RI'!C241+'A) Base RI'!D241</f>
        <v>4271453.41</v>
      </c>
      <c r="D241" s="10">
        <f>'A) Base RI'!W241</f>
        <v>-22582.12</v>
      </c>
      <c r="E241" s="406">
        <f>'A) Base RI'!X241</f>
        <v>0</v>
      </c>
      <c r="F241" s="406">
        <f>'A) Base RI'!Y241</f>
        <v>-239.74</v>
      </c>
      <c r="G241" s="420">
        <f t="shared" si="18"/>
        <v>4248631.55</v>
      </c>
      <c r="H241" s="10">
        <f>+'A) Base RI'!E241</f>
        <v>0</v>
      </c>
      <c r="I241" s="10">
        <f>+'A) Base RI'!F241</f>
        <v>0</v>
      </c>
      <c r="J241" s="10">
        <f>+'A) Base RI'!G241+'A) Base RI'!H241+'A) Base RI'!I241</f>
        <v>54569.477899494406</v>
      </c>
      <c r="K241" s="10">
        <f>+'A) Base RI'!J241</f>
        <v>0</v>
      </c>
      <c r="L241" s="10">
        <f>+'A) Base RI'!K241</f>
        <v>49829.599999999999</v>
      </c>
      <c r="M241" s="10">
        <f>+'A) Base RI'!L241</f>
        <v>15188.2</v>
      </c>
      <c r="N241" s="10">
        <f>+'A) Base RI'!R241</f>
        <v>10763.61</v>
      </c>
      <c r="O241" s="10">
        <f t="shared" si="19"/>
        <v>362185.35</v>
      </c>
      <c r="P241" s="10">
        <f>+'A) Base RI'!M241</f>
        <v>362185.35</v>
      </c>
      <c r="Q241" s="428">
        <f>'A) Base RI'!Z241</f>
        <v>1</v>
      </c>
      <c r="R241" s="420">
        <f t="shared" si="20"/>
        <v>4741167.7878994942</v>
      </c>
      <c r="S241" s="410">
        <f>+'A) Base RI'!U241</f>
        <v>69</v>
      </c>
      <c r="T241" s="420">
        <f t="shared" si="21"/>
        <v>4363794.2378994944</v>
      </c>
      <c r="U241" s="420">
        <f t="shared" si="22"/>
        <v>68712.576636224549</v>
      </c>
      <c r="V241" s="10">
        <f>+'A) Base RI'!P241</f>
        <v>230859.9</v>
      </c>
      <c r="W241" s="10">
        <f>+'A) Base RI'!Q241</f>
        <v>225102.85</v>
      </c>
      <c r="X241" s="10">
        <f>+'A) Base RI'!S241</f>
        <v>166727.35</v>
      </c>
      <c r="Y241" s="420">
        <f t="shared" si="23"/>
        <v>622690.1</v>
      </c>
      <c r="Z241" s="10">
        <f>+'A) Base RI'!O241</f>
        <v>22437.1</v>
      </c>
      <c r="AA241" s="10">
        <f>'A) Base RI'!V241</f>
        <v>1942</v>
      </c>
    </row>
    <row r="242" spans="1:27" x14ac:dyDescent="0.25">
      <c r="A242" s="8">
        <f>'A) Base RI'!A242</f>
        <v>5803</v>
      </c>
      <c r="B242" s="32" t="str">
        <f>'A) Base RI'!B242</f>
        <v>Vulliens</v>
      </c>
      <c r="C242" s="10">
        <f>'A) Base RI'!C242+'A) Base RI'!D242</f>
        <v>1180909.02</v>
      </c>
      <c r="D242" s="10">
        <f>'A) Base RI'!W242</f>
        <v>-2626.78</v>
      </c>
      <c r="E242" s="406">
        <f>'A) Base RI'!X242</f>
        <v>0</v>
      </c>
      <c r="F242" s="406">
        <f>'A) Base RI'!Y242</f>
        <v>-2.21</v>
      </c>
      <c r="G242" s="420">
        <f t="shared" si="18"/>
        <v>1178280.03</v>
      </c>
      <c r="H242" s="10">
        <f>+'A) Base RI'!E242</f>
        <v>0</v>
      </c>
      <c r="I242" s="10">
        <f>+'A) Base RI'!F242</f>
        <v>0</v>
      </c>
      <c r="J242" s="10">
        <f>+'A) Base RI'!G242+'A) Base RI'!H242+'A) Base RI'!I242</f>
        <v>7414.2229837609129</v>
      </c>
      <c r="K242" s="10">
        <f>+'A) Base RI'!J242</f>
        <v>0</v>
      </c>
      <c r="L242" s="10">
        <f>+'A) Base RI'!K242</f>
        <v>15537.11</v>
      </c>
      <c r="M242" s="10">
        <f>+'A) Base RI'!L242</f>
        <v>0</v>
      </c>
      <c r="N242" s="10">
        <f>+'A) Base RI'!R242</f>
        <v>0</v>
      </c>
      <c r="O242" s="10">
        <f t="shared" si="19"/>
        <v>89383.65</v>
      </c>
      <c r="P242" s="10">
        <f>+'A) Base RI'!M242</f>
        <v>89383.65</v>
      </c>
      <c r="Q242" s="428">
        <f>'A) Base RI'!Z242</f>
        <v>1</v>
      </c>
      <c r="R242" s="420">
        <f t="shared" si="20"/>
        <v>1290615.012983761</v>
      </c>
      <c r="S242" s="410">
        <f>+'A) Base RI'!U242</f>
        <v>78</v>
      </c>
      <c r="T242" s="420">
        <f t="shared" si="21"/>
        <v>1201231.3629837611</v>
      </c>
      <c r="U242" s="420">
        <f t="shared" si="22"/>
        <v>16546.34632030463</v>
      </c>
      <c r="V242" s="10">
        <f>+'A) Base RI'!P242</f>
        <v>0</v>
      </c>
      <c r="W242" s="10">
        <f>+'A) Base RI'!Q242</f>
        <v>118559.95</v>
      </c>
      <c r="X242" s="10">
        <f>+'A) Base RI'!S242</f>
        <v>12630</v>
      </c>
      <c r="Y242" s="420">
        <f t="shared" si="23"/>
        <v>131189.95000000001</v>
      </c>
      <c r="Z242" s="10">
        <f>+'A) Base RI'!O242</f>
        <v>0</v>
      </c>
      <c r="AA242" s="10">
        <f>'A) Base RI'!V242</f>
        <v>595</v>
      </c>
    </row>
    <row r="243" spans="1:27" x14ac:dyDescent="0.25">
      <c r="A243" s="8">
        <f>'A) Base RI'!A243</f>
        <v>5804</v>
      </c>
      <c r="B243" s="32" t="str">
        <f>'A) Base RI'!B243</f>
        <v>Jorat-Menthue</v>
      </c>
      <c r="C243" s="10">
        <f>'A) Base RI'!C243+'A) Base RI'!D243</f>
        <v>3185449.98</v>
      </c>
      <c r="D243" s="10">
        <f>'A) Base RI'!W243</f>
        <v>-108086.48</v>
      </c>
      <c r="E243" s="406">
        <f>'A) Base RI'!X243</f>
        <v>0</v>
      </c>
      <c r="F243" s="406">
        <f>'A) Base RI'!Y243</f>
        <v>-96.32</v>
      </c>
      <c r="G243" s="420">
        <f t="shared" si="18"/>
        <v>3077267.18</v>
      </c>
      <c r="H243" s="10">
        <f>+'A) Base RI'!E243</f>
        <v>0</v>
      </c>
      <c r="I243" s="10">
        <f>+'A) Base RI'!F243</f>
        <v>0</v>
      </c>
      <c r="J243" s="10">
        <f>+'A) Base RI'!G243+'A) Base RI'!H243+'A) Base RI'!I243</f>
        <v>7301.575182194998</v>
      </c>
      <c r="K243" s="10">
        <f>+'A) Base RI'!J243</f>
        <v>0</v>
      </c>
      <c r="L243" s="10">
        <f>+'A) Base RI'!K243</f>
        <v>63919.16</v>
      </c>
      <c r="M243" s="10">
        <f>+'A) Base RI'!L243</f>
        <v>2028.1</v>
      </c>
      <c r="N243" s="10">
        <f>+'A) Base RI'!R243</f>
        <v>12784.31</v>
      </c>
      <c r="O243" s="10">
        <f t="shared" si="19"/>
        <v>257016.35</v>
      </c>
      <c r="P243" s="10">
        <f>+'A) Base RI'!M243</f>
        <v>257016.35</v>
      </c>
      <c r="Q243" s="428">
        <f>'A) Base RI'!Z243</f>
        <v>1</v>
      </c>
      <c r="R243" s="420">
        <f t="shared" si="20"/>
        <v>3420316.6751821954</v>
      </c>
      <c r="S243" s="410">
        <f>+'A) Base RI'!U243</f>
        <v>72</v>
      </c>
      <c r="T243" s="420">
        <f t="shared" si="21"/>
        <v>3161272.2251821952</v>
      </c>
      <c r="U243" s="420">
        <f t="shared" si="22"/>
        <v>47504.398266419383</v>
      </c>
      <c r="V243" s="10">
        <f>+'A) Base RI'!P243</f>
        <v>8057.55</v>
      </c>
      <c r="W243" s="10">
        <f>+'A) Base RI'!Q243</f>
        <v>65212.5</v>
      </c>
      <c r="X243" s="10">
        <f>+'A) Base RI'!S243</f>
        <v>23597.9</v>
      </c>
      <c r="Y243" s="420">
        <f t="shared" si="23"/>
        <v>96867.950000000012</v>
      </c>
      <c r="Z243" s="10">
        <f>+'A) Base RI'!O243</f>
        <v>5038.1000000000004</v>
      </c>
      <c r="AA243" s="10">
        <f>'A) Base RI'!V243</f>
        <v>1586</v>
      </c>
    </row>
    <row r="244" spans="1:27" x14ac:dyDescent="0.25">
      <c r="A244" s="8">
        <f>'A) Base RI'!A244</f>
        <v>5805</v>
      </c>
      <c r="B244" s="32" t="str">
        <f>'A) Base RI'!B244</f>
        <v>Oron</v>
      </c>
      <c r="C244" s="10">
        <f>'A) Base RI'!C244+'A) Base RI'!D244</f>
        <v>9015873.5</v>
      </c>
      <c r="D244" s="10">
        <f>'A) Base RI'!W244</f>
        <v>-303244.34999999998</v>
      </c>
      <c r="E244" s="406">
        <f>'A) Base RI'!X244</f>
        <v>0</v>
      </c>
      <c r="F244" s="406">
        <f>'A) Base RI'!Y244</f>
        <v>-525.83000000000004</v>
      </c>
      <c r="G244" s="420">
        <f t="shared" si="18"/>
        <v>8712103.3200000003</v>
      </c>
      <c r="H244" s="10">
        <f>+'A) Base RI'!E244</f>
        <v>0</v>
      </c>
      <c r="I244" s="10">
        <f>+'A) Base RI'!F244</f>
        <v>0</v>
      </c>
      <c r="J244" s="10">
        <f>+'A) Base RI'!G244+'A) Base RI'!H244+'A) Base RI'!I244</f>
        <v>587849.76882243878</v>
      </c>
      <c r="K244" s="10">
        <f>+'A) Base RI'!J244</f>
        <v>0</v>
      </c>
      <c r="L244" s="10">
        <f>+'A) Base RI'!K244</f>
        <v>173382.53</v>
      </c>
      <c r="M244" s="10">
        <f>+'A) Base RI'!L244</f>
        <v>87534.8</v>
      </c>
      <c r="N244" s="10">
        <f>+'A) Base RI'!R244</f>
        <v>75929.83</v>
      </c>
      <c r="O244" s="10">
        <f t="shared" si="19"/>
        <v>879836.04545454541</v>
      </c>
      <c r="P244" s="10">
        <f>+'A) Base RI'!M244</f>
        <v>967819.65</v>
      </c>
      <c r="Q244" s="428">
        <f>'A) Base RI'!Z244</f>
        <v>1.1000000000000001</v>
      </c>
      <c r="R244" s="420">
        <f t="shared" si="20"/>
        <v>10516636.294276984</v>
      </c>
      <c r="S244" s="410">
        <f>+'A) Base RI'!U244</f>
        <v>69</v>
      </c>
      <c r="T244" s="420">
        <f t="shared" si="21"/>
        <v>9549265.4488224387</v>
      </c>
      <c r="U244" s="420">
        <f t="shared" si="22"/>
        <v>152415.01875763744</v>
      </c>
      <c r="V244" s="10">
        <f>+'A) Base RI'!P244</f>
        <v>443187.5</v>
      </c>
      <c r="W244" s="10">
        <f>+'A) Base RI'!Q244</f>
        <v>452989.3</v>
      </c>
      <c r="X244" s="10">
        <f>+'A) Base RI'!S244</f>
        <v>294095.75</v>
      </c>
      <c r="Y244" s="420">
        <f t="shared" si="23"/>
        <v>1190272.55</v>
      </c>
      <c r="Z244" s="10">
        <f>+'A) Base RI'!O244</f>
        <v>71863.5</v>
      </c>
      <c r="AA244" s="10">
        <f>'A) Base RI'!V244</f>
        <v>5501</v>
      </c>
    </row>
    <row r="245" spans="1:27" x14ac:dyDescent="0.25">
      <c r="A245" s="8">
        <f>'A) Base RI'!A245</f>
        <v>5806</v>
      </c>
      <c r="B245" s="32" t="str">
        <f>'A) Base RI'!B245</f>
        <v>Jorat-Mézières</v>
      </c>
      <c r="C245" s="10">
        <f>'A) Base RI'!C245+'A) Base RI'!D245</f>
        <v>6172743.8399999999</v>
      </c>
      <c r="D245" s="10">
        <f>'A) Base RI'!W245</f>
        <v>-86193.34</v>
      </c>
      <c r="E245" s="406">
        <f>'A) Base RI'!X245</f>
        <v>0</v>
      </c>
      <c r="F245" s="406">
        <f>'A) Base RI'!Y245</f>
        <v>-329.98</v>
      </c>
      <c r="G245" s="420">
        <f t="shared" si="18"/>
        <v>6086220.5199999996</v>
      </c>
      <c r="H245" s="10">
        <f>+'A) Base RI'!E245</f>
        <v>0</v>
      </c>
      <c r="I245" s="10">
        <f>+'A) Base RI'!F245</f>
        <v>0</v>
      </c>
      <c r="J245" s="10">
        <f>+'A) Base RI'!G245+'A) Base RI'!H245+'A) Base RI'!I245</f>
        <v>84861.531640011715</v>
      </c>
      <c r="K245" s="10">
        <f>+'A) Base RI'!J245</f>
        <v>54947.5</v>
      </c>
      <c r="L245" s="10">
        <f>+'A) Base RI'!K245</f>
        <v>61537.65</v>
      </c>
      <c r="M245" s="10">
        <f>+'A) Base RI'!L245</f>
        <v>22111.9</v>
      </c>
      <c r="N245" s="10">
        <f>+'A) Base RI'!R245</f>
        <v>29906.52</v>
      </c>
      <c r="O245" s="10">
        <f t="shared" si="19"/>
        <v>487312.2</v>
      </c>
      <c r="P245" s="10">
        <f>+'A) Base RI'!M245</f>
        <v>487312.2</v>
      </c>
      <c r="Q245" s="428">
        <f>'A) Base RI'!Z245</f>
        <v>1</v>
      </c>
      <c r="R245" s="420">
        <f t="shared" si="20"/>
        <v>6826897.8216400119</v>
      </c>
      <c r="S245" s="410">
        <f>+'A) Base RI'!U245</f>
        <v>76</v>
      </c>
      <c r="T245" s="420">
        <f t="shared" si="21"/>
        <v>6317473.7216400113</v>
      </c>
      <c r="U245" s="420">
        <f t="shared" si="22"/>
        <v>89827.60291631594</v>
      </c>
      <c r="V245" s="10">
        <f>+'A) Base RI'!P245</f>
        <v>198523.9</v>
      </c>
      <c r="W245" s="10">
        <f>+'A) Base RI'!Q245</f>
        <v>224496.8</v>
      </c>
      <c r="X245" s="10">
        <f>+'A) Base RI'!S245</f>
        <v>236140.25</v>
      </c>
      <c r="Y245" s="420">
        <f t="shared" si="23"/>
        <v>659160.94999999995</v>
      </c>
      <c r="Z245" s="10">
        <f>+'A) Base RI'!O245</f>
        <v>38920.85</v>
      </c>
      <c r="AA245" s="10">
        <f>'A) Base RI'!V245</f>
        <v>2869</v>
      </c>
    </row>
    <row r="246" spans="1:27" x14ac:dyDescent="0.25">
      <c r="A246" s="8">
        <f>'A) Base RI'!A246</f>
        <v>5812</v>
      </c>
      <c r="B246" s="32" t="str">
        <f>'A) Base RI'!B246</f>
        <v>Champtauroz</v>
      </c>
      <c r="C246" s="10">
        <f>'A) Base RI'!C246+'A) Base RI'!D246</f>
        <v>183869.07</v>
      </c>
      <c r="D246" s="10">
        <f>'A) Base RI'!W246</f>
        <v>-13299.86</v>
      </c>
      <c r="E246" s="406">
        <f>'A) Base RI'!X246</f>
        <v>0</v>
      </c>
      <c r="F246" s="406">
        <f>'A) Base RI'!Y246</f>
        <v>0</v>
      </c>
      <c r="G246" s="420">
        <f t="shared" si="18"/>
        <v>170569.21000000002</v>
      </c>
      <c r="H246" s="10">
        <f>+'A) Base RI'!E246</f>
        <v>0</v>
      </c>
      <c r="I246" s="10">
        <f>+'A) Base RI'!F246</f>
        <v>0</v>
      </c>
      <c r="J246" s="10">
        <f>+'A) Base RI'!G246+'A) Base RI'!H246+'A) Base RI'!I246</f>
        <v>1158.0021269931408</v>
      </c>
      <c r="K246" s="10">
        <f>+'A) Base RI'!J246</f>
        <v>0</v>
      </c>
      <c r="L246" s="10">
        <f>+'A) Base RI'!K246</f>
        <v>0</v>
      </c>
      <c r="M246" s="10">
        <f>+'A) Base RI'!L246</f>
        <v>613</v>
      </c>
      <c r="N246" s="10">
        <f>+'A) Base RI'!R246</f>
        <v>0</v>
      </c>
      <c r="O246" s="10">
        <f t="shared" si="19"/>
        <v>14997.125</v>
      </c>
      <c r="P246" s="10">
        <f>+'A) Base RI'!M246</f>
        <v>11997.7</v>
      </c>
      <c r="Q246" s="428">
        <f>'A) Base RI'!Z246</f>
        <v>0.8</v>
      </c>
      <c r="R246" s="420">
        <f t="shared" si="20"/>
        <v>187337.33712699317</v>
      </c>
      <c r="S246" s="410">
        <f>+'A) Base RI'!U246</f>
        <v>77</v>
      </c>
      <c r="T246" s="420">
        <f t="shared" si="21"/>
        <v>171727.21212699317</v>
      </c>
      <c r="U246" s="420">
        <f t="shared" si="22"/>
        <v>2432.9524302206905</v>
      </c>
      <c r="V246" s="10">
        <f>+'A) Base RI'!P246</f>
        <v>0</v>
      </c>
      <c r="W246" s="10">
        <f>+'A) Base RI'!Q246</f>
        <v>16434.150000000001</v>
      </c>
      <c r="X246" s="10">
        <f>+'A) Base RI'!S246</f>
        <v>4469.2</v>
      </c>
      <c r="Y246" s="420">
        <f t="shared" si="23"/>
        <v>20903.350000000002</v>
      </c>
      <c r="Z246" s="10">
        <f>+'A) Base RI'!O246</f>
        <v>0</v>
      </c>
      <c r="AA246" s="10">
        <f>'A) Base RI'!V246</f>
        <v>122</v>
      </c>
    </row>
    <row r="247" spans="1:27" x14ac:dyDescent="0.25">
      <c r="A247" s="8">
        <f>'A) Base RI'!A247</f>
        <v>5813</v>
      </c>
      <c r="B247" s="32" t="str">
        <f>'A) Base RI'!B247</f>
        <v>Chevroux</v>
      </c>
      <c r="C247" s="10">
        <f>'A) Base RI'!C247+'A) Base RI'!D247</f>
        <v>789454.65</v>
      </c>
      <c r="D247" s="10">
        <f>'A) Base RI'!W247</f>
        <v>-1102.45</v>
      </c>
      <c r="E247" s="406">
        <f>'A) Base RI'!X247</f>
        <v>0</v>
      </c>
      <c r="F247" s="406">
        <f>'A) Base RI'!Y247</f>
        <v>-9.0500000000000007</v>
      </c>
      <c r="G247" s="420">
        <f t="shared" si="18"/>
        <v>788343.15</v>
      </c>
      <c r="H247" s="10">
        <f>+'A) Base RI'!E247</f>
        <v>0</v>
      </c>
      <c r="I247" s="10">
        <f>+'A) Base RI'!F247</f>
        <v>3020</v>
      </c>
      <c r="J247" s="10">
        <f>+'A) Base RI'!G247+'A) Base RI'!H247+'A) Base RI'!I247</f>
        <v>22075.032227362874</v>
      </c>
      <c r="K247" s="10">
        <f>+'A) Base RI'!J247</f>
        <v>0</v>
      </c>
      <c r="L247" s="10">
        <f>+'A) Base RI'!K247</f>
        <v>5164.9799999999996</v>
      </c>
      <c r="M247" s="10">
        <f>+'A) Base RI'!L247</f>
        <v>0</v>
      </c>
      <c r="N247" s="10">
        <f>+'A) Base RI'!R247</f>
        <v>-2179.37</v>
      </c>
      <c r="O247" s="10">
        <f t="shared" si="19"/>
        <v>82462.583333333343</v>
      </c>
      <c r="P247" s="10">
        <f>+'A) Base RI'!M247</f>
        <v>98955.1</v>
      </c>
      <c r="Q247" s="428">
        <f>'A) Base RI'!Z247</f>
        <v>1.2</v>
      </c>
      <c r="R247" s="420">
        <f t="shared" si="20"/>
        <v>898886.37556069624</v>
      </c>
      <c r="S247" s="410">
        <f>+'A) Base RI'!U247</f>
        <v>70</v>
      </c>
      <c r="T247" s="420">
        <f t="shared" si="21"/>
        <v>813403.79222736286</v>
      </c>
      <c r="U247" s="420">
        <f t="shared" si="22"/>
        <v>12841.233936581375</v>
      </c>
      <c r="V247" s="10">
        <f>+'A) Base RI'!P247</f>
        <v>108057.8</v>
      </c>
      <c r="W247" s="10">
        <f>+'A) Base RI'!Q247</f>
        <v>30593.45</v>
      </c>
      <c r="X247" s="10">
        <f>+'A) Base RI'!S247</f>
        <v>33904.85</v>
      </c>
      <c r="Y247" s="420">
        <f t="shared" si="23"/>
        <v>172556.1</v>
      </c>
      <c r="Z247" s="10">
        <f>+'A) Base RI'!O247</f>
        <v>0</v>
      </c>
      <c r="AA247" s="10">
        <f>'A) Base RI'!V247</f>
        <v>480</v>
      </c>
    </row>
    <row r="248" spans="1:27" x14ac:dyDescent="0.25">
      <c r="A248" s="8">
        <f>'A) Base RI'!A248</f>
        <v>5816</v>
      </c>
      <c r="B248" s="32" t="str">
        <f>'A) Base RI'!B248</f>
        <v>Corcelles-près-Payerne</v>
      </c>
      <c r="C248" s="10">
        <f>'A) Base RI'!C248+'A) Base RI'!D248</f>
        <v>3438893.36</v>
      </c>
      <c r="D248" s="10">
        <f>'A) Base RI'!W248</f>
        <v>-171902.18</v>
      </c>
      <c r="E248" s="406">
        <f>'A) Base RI'!X248</f>
        <v>0</v>
      </c>
      <c r="F248" s="406">
        <f>'A) Base RI'!Y248</f>
        <v>-5.25</v>
      </c>
      <c r="G248" s="420">
        <f t="shared" si="18"/>
        <v>3266985.9299999997</v>
      </c>
      <c r="H248" s="10">
        <f>+'A) Base RI'!E248</f>
        <v>0</v>
      </c>
      <c r="I248" s="10">
        <f>+'A) Base RI'!F248</f>
        <v>0</v>
      </c>
      <c r="J248" s="10">
        <f>+'A) Base RI'!G248+'A) Base RI'!H248+'A) Base RI'!I248</f>
        <v>125550.22070436606</v>
      </c>
      <c r="K248" s="10">
        <f>+'A) Base RI'!J248</f>
        <v>0</v>
      </c>
      <c r="L248" s="10">
        <f>+'A) Base RI'!K248</f>
        <v>184926.58</v>
      </c>
      <c r="M248" s="10">
        <f>+'A) Base RI'!L248</f>
        <v>38400.550000000003</v>
      </c>
      <c r="N248" s="10">
        <f>+'A) Base RI'!R248</f>
        <v>32903.730000000003</v>
      </c>
      <c r="O248" s="10">
        <f t="shared" si="19"/>
        <v>334856.6428571429</v>
      </c>
      <c r="P248" s="10">
        <f>+'A) Base RI'!M248</f>
        <v>234399.65</v>
      </c>
      <c r="Q248" s="428">
        <f>'A) Base RI'!Z248</f>
        <v>0.7</v>
      </c>
      <c r="R248" s="420">
        <f t="shared" si="20"/>
        <v>3983623.6535615083</v>
      </c>
      <c r="S248" s="410">
        <f>+'A) Base RI'!U248</f>
        <v>72</v>
      </c>
      <c r="T248" s="420">
        <f t="shared" si="21"/>
        <v>3610366.4607043657</v>
      </c>
      <c r="U248" s="420">
        <f t="shared" si="22"/>
        <v>55328.106299465391</v>
      </c>
      <c r="V248" s="10">
        <f>+'A) Base RI'!P248</f>
        <v>6500.4</v>
      </c>
      <c r="W248" s="10">
        <f>+'A) Base RI'!Q248</f>
        <v>148533.85</v>
      </c>
      <c r="X248" s="10">
        <f>+'A) Base RI'!S248</f>
        <v>101749.85</v>
      </c>
      <c r="Y248" s="420">
        <f t="shared" si="23"/>
        <v>256784.1</v>
      </c>
      <c r="Z248" s="10">
        <f>+'A) Base RI'!O248</f>
        <v>7944.55</v>
      </c>
      <c r="AA248" s="10">
        <f>'A) Base RI'!V248</f>
        <v>2479</v>
      </c>
    </row>
    <row r="249" spans="1:27" x14ac:dyDescent="0.25">
      <c r="A249" s="8">
        <f>'A) Base RI'!A249</f>
        <v>5817</v>
      </c>
      <c r="B249" s="32" t="str">
        <f>'A) Base RI'!B249</f>
        <v>Grandcour</v>
      </c>
      <c r="C249" s="10">
        <f>'A) Base RI'!C249+'A) Base RI'!D249</f>
        <v>1688482.2000000002</v>
      </c>
      <c r="D249" s="10">
        <f>'A) Base RI'!W249</f>
        <v>-47617.56</v>
      </c>
      <c r="E249" s="406">
        <f>'A) Base RI'!X249</f>
        <v>0</v>
      </c>
      <c r="F249" s="406">
        <f>'A) Base RI'!Y249</f>
        <v>-5.0199999999999996</v>
      </c>
      <c r="G249" s="420">
        <f t="shared" si="18"/>
        <v>1640859.62</v>
      </c>
      <c r="H249" s="10">
        <f>+'A) Base RI'!E249</f>
        <v>0</v>
      </c>
      <c r="I249" s="10">
        <f>+'A) Base RI'!F249</f>
        <v>5250</v>
      </c>
      <c r="J249" s="10">
        <f>+'A) Base RI'!G249+'A) Base RI'!H249+'A) Base RI'!I249</f>
        <v>16371.86832971987</v>
      </c>
      <c r="K249" s="10">
        <f>+'A) Base RI'!J249</f>
        <v>0</v>
      </c>
      <c r="L249" s="10">
        <f>+'A) Base RI'!K249</f>
        <v>21506.38</v>
      </c>
      <c r="M249" s="10">
        <f>+'A) Base RI'!L249</f>
        <v>6302.65</v>
      </c>
      <c r="N249" s="10">
        <f>+'A) Base RI'!R249</f>
        <v>1216.1099999999999</v>
      </c>
      <c r="O249" s="10">
        <f t="shared" si="19"/>
        <v>110760.5</v>
      </c>
      <c r="P249" s="10">
        <f>+'A) Base RI'!M249</f>
        <v>110760.5</v>
      </c>
      <c r="Q249" s="428">
        <f>'A) Base RI'!Z249</f>
        <v>1</v>
      </c>
      <c r="R249" s="420">
        <f t="shared" si="20"/>
        <v>1802267.1283297199</v>
      </c>
      <c r="S249" s="410">
        <f>+'A) Base RI'!U249</f>
        <v>77</v>
      </c>
      <c r="T249" s="420">
        <f t="shared" si="21"/>
        <v>1679953.97832972</v>
      </c>
      <c r="U249" s="420">
        <f t="shared" si="22"/>
        <v>23406.066601684674</v>
      </c>
      <c r="V249" s="10">
        <f>+'A) Base RI'!P249</f>
        <v>163854</v>
      </c>
      <c r="W249" s="10">
        <f>+'A) Base RI'!Q249</f>
        <v>59338.25</v>
      </c>
      <c r="X249" s="10">
        <f>+'A) Base RI'!S249</f>
        <v>43570.9</v>
      </c>
      <c r="Y249" s="420">
        <f t="shared" si="23"/>
        <v>266763.15000000002</v>
      </c>
      <c r="Z249" s="10">
        <f>+'A) Base RI'!O249</f>
        <v>0</v>
      </c>
      <c r="AA249" s="10">
        <f>'A) Base RI'!V249</f>
        <v>929</v>
      </c>
    </row>
    <row r="250" spans="1:27" x14ac:dyDescent="0.25">
      <c r="A250" s="8">
        <f>'A) Base RI'!A250</f>
        <v>5819</v>
      </c>
      <c r="B250" s="32" t="str">
        <f>'A) Base RI'!B250</f>
        <v>Henniez</v>
      </c>
      <c r="C250" s="10">
        <f>'A) Base RI'!C250+'A) Base RI'!D250</f>
        <v>691664.06</v>
      </c>
      <c r="D250" s="10">
        <f>'A) Base RI'!W250</f>
        <v>-28333.69</v>
      </c>
      <c r="E250" s="406">
        <f>'A) Base RI'!X250</f>
        <v>0</v>
      </c>
      <c r="F250" s="406">
        <f>'A) Base RI'!Y250</f>
        <v>-42.79</v>
      </c>
      <c r="G250" s="420">
        <f t="shared" si="18"/>
        <v>663287.58000000007</v>
      </c>
      <c r="H250" s="10">
        <f>+'A) Base RI'!E250</f>
        <v>0</v>
      </c>
      <c r="I250" s="10">
        <f>+'A) Base RI'!F250</f>
        <v>0</v>
      </c>
      <c r="J250" s="10">
        <f>+'A) Base RI'!G250+'A) Base RI'!H250+'A) Base RI'!I250</f>
        <v>96414.940975910038</v>
      </c>
      <c r="K250" s="10">
        <f>+'A) Base RI'!J250</f>
        <v>0</v>
      </c>
      <c r="L250" s="10">
        <f>+'A) Base RI'!K250</f>
        <v>12719.06</v>
      </c>
      <c r="M250" s="10">
        <f>+'A) Base RI'!L250</f>
        <v>1942.95</v>
      </c>
      <c r="N250" s="10">
        <f>+'A) Base RI'!R250</f>
        <v>1133.3699999999999</v>
      </c>
      <c r="O250" s="10">
        <f t="shared" si="19"/>
        <v>82763.649999999994</v>
      </c>
      <c r="P250" s="10">
        <f>+'A) Base RI'!M250</f>
        <v>82763.649999999994</v>
      </c>
      <c r="Q250" s="428">
        <f>'A) Base RI'!Z250</f>
        <v>1</v>
      </c>
      <c r="R250" s="420">
        <f t="shared" si="20"/>
        <v>858261.55097591016</v>
      </c>
      <c r="S250" s="410">
        <f>+'A) Base RI'!U250</f>
        <v>69</v>
      </c>
      <c r="T250" s="420">
        <f t="shared" si="21"/>
        <v>773554.95097591018</v>
      </c>
      <c r="U250" s="420">
        <f t="shared" si="22"/>
        <v>12438.573202549422</v>
      </c>
      <c r="V250" s="10">
        <f>+'A) Base RI'!P250</f>
        <v>18931.400000000001</v>
      </c>
      <c r="W250" s="10">
        <f>+'A) Base RI'!Q250</f>
        <v>22358.6</v>
      </c>
      <c r="X250" s="10">
        <f>+'A) Base RI'!S250</f>
        <v>23548.5</v>
      </c>
      <c r="Y250" s="420">
        <f t="shared" si="23"/>
        <v>64838.5</v>
      </c>
      <c r="Z250" s="10">
        <f>+'A) Base RI'!O250</f>
        <v>19038.25</v>
      </c>
      <c r="AA250" s="10">
        <f>'A) Base RI'!V250</f>
        <v>341</v>
      </c>
    </row>
    <row r="251" spans="1:27" x14ac:dyDescent="0.25">
      <c r="A251" s="8">
        <f>'A) Base RI'!A251</f>
        <v>5821</v>
      </c>
      <c r="B251" s="32" t="str">
        <f>'A) Base RI'!B251</f>
        <v>Missy</v>
      </c>
      <c r="C251" s="10">
        <f>'A) Base RI'!C251+'A) Base RI'!D251</f>
        <v>550444.55000000005</v>
      </c>
      <c r="D251" s="10">
        <f>'A) Base RI'!W251</f>
        <v>-668.16</v>
      </c>
      <c r="E251" s="406">
        <f>'A) Base RI'!X251</f>
        <v>0</v>
      </c>
      <c r="F251" s="406">
        <f>'A) Base RI'!Y251</f>
        <v>-51.3</v>
      </c>
      <c r="G251" s="420">
        <f t="shared" si="18"/>
        <v>549725.09</v>
      </c>
      <c r="H251" s="10">
        <f>+'A) Base RI'!E251</f>
        <v>0</v>
      </c>
      <c r="I251" s="10">
        <f>+'A) Base RI'!F251</f>
        <v>2030</v>
      </c>
      <c r="J251" s="10">
        <f>+'A) Base RI'!G251+'A) Base RI'!H251+'A) Base RI'!I251</f>
        <v>2905.4373180074863</v>
      </c>
      <c r="K251" s="10">
        <f>+'A) Base RI'!J251</f>
        <v>0</v>
      </c>
      <c r="L251" s="10">
        <f>+'A) Base RI'!K251</f>
        <v>11941.58</v>
      </c>
      <c r="M251" s="10">
        <f>+'A) Base RI'!L251</f>
        <v>1311.65</v>
      </c>
      <c r="N251" s="10">
        <f>+'A) Base RI'!R251</f>
        <v>0</v>
      </c>
      <c r="O251" s="10">
        <f t="shared" si="19"/>
        <v>49531.7</v>
      </c>
      <c r="P251" s="10">
        <f>+'A) Base RI'!M251</f>
        <v>49531.7</v>
      </c>
      <c r="Q251" s="428">
        <f>'A) Base RI'!Z251</f>
        <v>1</v>
      </c>
      <c r="R251" s="420">
        <f t="shared" si="20"/>
        <v>617445.45731800736</v>
      </c>
      <c r="S251" s="410">
        <f>+'A) Base RI'!U251</f>
        <v>72</v>
      </c>
      <c r="T251" s="420">
        <f t="shared" si="21"/>
        <v>564572.10731800739</v>
      </c>
      <c r="U251" s="420">
        <f t="shared" si="22"/>
        <v>8575.631351638991</v>
      </c>
      <c r="V251" s="10">
        <f>+'A) Base RI'!P251</f>
        <v>6269.6</v>
      </c>
      <c r="W251" s="10">
        <f>+'A) Base RI'!Q251</f>
        <v>6503.7</v>
      </c>
      <c r="X251" s="10">
        <f>+'A) Base RI'!S251</f>
        <v>17438.75</v>
      </c>
      <c r="Y251" s="420">
        <f t="shared" si="23"/>
        <v>30212.05</v>
      </c>
      <c r="Z251" s="10">
        <f>+'A) Base RI'!O251</f>
        <v>0</v>
      </c>
      <c r="AA251" s="10">
        <f>'A) Base RI'!V251</f>
        <v>368</v>
      </c>
    </row>
    <row r="252" spans="1:27" x14ac:dyDescent="0.25">
      <c r="A252" s="8">
        <f>'A) Base RI'!A252</f>
        <v>5822</v>
      </c>
      <c r="B252" s="32" t="str">
        <f>'A) Base RI'!B252</f>
        <v>Payerne</v>
      </c>
      <c r="C252" s="10">
        <f>'A) Base RI'!C252+'A) Base RI'!D252</f>
        <v>14956970.77</v>
      </c>
      <c r="D252" s="10">
        <f>'A) Base RI'!W252</f>
        <v>-640420.86</v>
      </c>
      <c r="E252" s="406">
        <f>'A) Base RI'!X252</f>
        <v>0</v>
      </c>
      <c r="F252" s="406">
        <f>'A) Base RI'!Y252</f>
        <v>-547.98</v>
      </c>
      <c r="G252" s="420">
        <f t="shared" si="18"/>
        <v>14316001.93</v>
      </c>
      <c r="H252" s="10">
        <f>+'A) Base RI'!E252</f>
        <v>0</v>
      </c>
      <c r="I252" s="10">
        <f>+'A) Base RI'!F252</f>
        <v>0</v>
      </c>
      <c r="J252" s="10">
        <f>+'A) Base RI'!G252+'A) Base RI'!H252+'A) Base RI'!I252</f>
        <v>1182404.5392516945</v>
      </c>
      <c r="K252" s="10">
        <f>+'A) Base RI'!J252</f>
        <v>0</v>
      </c>
      <c r="L252" s="10">
        <f>+'A) Base RI'!K252</f>
        <v>666696.86</v>
      </c>
      <c r="M252" s="10">
        <f>+'A) Base RI'!L252</f>
        <v>192225.3</v>
      </c>
      <c r="N252" s="10">
        <f>+'A) Base RI'!R252</f>
        <v>84157.4</v>
      </c>
      <c r="O252" s="10">
        <f t="shared" si="19"/>
        <v>1327217.3</v>
      </c>
      <c r="P252" s="10">
        <f>+'A) Base RI'!M252</f>
        <v>1327217.3</v>
      </c>
      <c r="Q252" s="428">
        <f>'A) Base RI'!Z252</f>
        <v>1</v>
      </c>
      <c r="R252" s="420">
        <f t="shared" si="20"/>
        <v>17768703.329251695</v>
      </c>
      <c r="S252" s="410">
        <f>+'A) Base RI'!U252</f>
        <v>75</v>
      </c>
      <c r="T252" s="420">
        <f t="shared" si="21"/>
        <v>16249260.729251694</v>
      </c>
      <c r="U252" s="420">
        <f t="shared" si="22"/>
        <v>236916.04439002261</v>
      </c>
      <c r="V252" s="10">
        <f>+'A) Base RI'!P252</f>
        <v>420748.7</v>
      </c>
      <c r="W252" s="10">
        <f>+'A) Base RI'!Q252</f>
        <v>687566.8</v>
      </c>
      <c r="X252" s="10">
        <f>+'A) Base RI'!S252</f>
        <v>335449.8</v>
      </c>
      <c r="Y252" s="420">
        <f t="shared" si="23"/>
        <v>1443765.3</v>
      </c>
      <c r="Z252" s="10">
        <f>+'A) Base RI'!O252</f>
        <v>67583.05</v>
      </c>
      <c r="AA252" s="10">
        <f>'A) Base RI'!V252</f>
        <v>9971</v>
      </c>
    </row>
    <row r="253" spans="1:27" x14ac:dyDescent="0.25">
      <c r="A253" s="8">
        <f>'A) Base RI'!A253</f>
        <v>5827</v>
      </c>
      <c r="B253" s="32" t="str">
        <f>'A) Base RI'!B253</f>
        <v>Trey</v>
      </c>
      <c r="C253" s="10">
        <f>'A) Base RI'!C253+'A) Base RI'!D253</f>
        <v>513120.56</v>
      </c>
      <c r="D253" s="10">
        <f>'A) Base RI'!W253</f>
        <v>-11539.65</v>
      </c>
      <c r="E253" s="406">
        <f>'A) Base RI'!X253</f>
        <v>0</v>
      </c>
      <c r="F253" s="406">
        <f>'A) Base RI'!Y253</f>
        <v>0</v>
      </c>
      <c r="G253" s="420">
        <f t="shared" si="18"/>
        <v>501580.91</v>
      </c>
      <c r="H253" s="10">
        <f>+'A) Base RI'!E253</f>
        <v>0</v>
      </c>
      <c r="I253" s="10">
        <f>+'A) Base RI'!F253</f>
        <v>0</v>
      </c>
      <c r="J253" s="10">
        <f>+'A) Base RI'!G253+'A) Base RI'!H253+'A) Base RI'!I253</f>
        <v>14610.926889688526</v>
      </c>
      <c r="K253" s="10">
        <f>+'A) Base RI'!J253</f>
        <v>0</v>
      </c>
      <c r="L253" s="10">
        <f>+'A) Base RI'!K253</f>
        <v>14639.52</v>
      </c>
      <c r="M253" s="10">
        <f>+'A) Base RI'!L253</f>
        <v>-709.65</v>
      </c>
      <c r="N253" s="10">
        <f>+'A) Base RI'!R253</f>
        <v>53.52</v>
      </c>
      <c r="O253" s="10">
        <f t="shared" si="19"/>
        <v>36354.050000000003</v>
      </c>
      <c r="P253" s="10">
        <f>+'A) Base RI'!M253</f>
        <v>36354.050000000003</v>
      </c>
      <c r="Q253" s="428">
        <f>'A) Base RI'!Z253</f>
        <v>1</v>
      </c>
      <c r="R253" s="420">
        <f t="shared" si="20"/>
        <v>566529.27688968857</v>
      </c>
      <c r="S253" s="410">
        <f>+'A) Base RI'!U253</f>
        <v>80</v>
      </c>
      <c r="T253" s="420">
        <f t="shared" si="21"/>
        <v>530884.87688968854</v>
      </c>
      <c r="U253" s="420">
        <f t="shared" si="22"/>
        <v>7081.6159611211069</v>
      </c>
      <c r="V253" s="10">
        <f>+'A) Base RI'!P253</f>
        <v>28587.599999999999</v>
      </c>
      <c r="W253" s="10">
        <f>+'A) Base RI'!Q253</f>
        <v>9667.9</v>
      </c>
      <c r="X253" s="10">
        <f>+'A) Base RI'!S253</f>
        <v>0</v>
      </c>
      <c r="Y253" s="420">
        <f t="shared" si="23"/>
        <v>38255.5</v>
      </c>
      <c r="Z253" s="10">
        <f>+'A) Base RI'!O253</f>
        <v>0</v>
      </c>
      <c r="AA253" s="10">
        <f>'A) Base RI'!V253</f>
        <v>267</v>
      </c>
    </row>
    <row r="254" spans="1:27" x14ac:dyDescent="0.25">
      <c r="A254" s="8">
        <f>'A) Base RI'!A254</f>
        <v>5828</v>
      </c>
      <c r="B254" s="32" t="str">
        <f>'A) Base RI'!B254</f>
        <v>Treytorrens (Payerne)</v>
      </c>
      <c r="C254" s="10">
        <f>'A) Base RI'!C254+'A) Base RI'!D254</f>
        <v>212112.96</v>
      </c>
      <c r="D254" s="10">
        <f>'A) Base RI'!W254</f>
        <v>-2925.75</v>
      </c>
      <c r="E254" s="406">
        <f>'A) Base RI'!X254</f>
        <v>0</v>
      </c>
      <c r="F254" s="406">
        <f>'A) Base RI'!Y254</f>
        <v>0</v>
      </c>
      <c r="G254" s="420">
        <f t="shared" si="18"/>
        <v>209187.21</v>
      </c>
      <c r="H254" s="10">
        <f>+'A) Base RI'!E254</f>
        <v>0</v>
      </c>
      <c r="I254" s="10">
        <f>+'A) Base RI'!F254</f>
        <v>0</v>
      </c>
      <c r="J254" s="10">
        <f>+'A) Base RI'!G254+'A) Base RI'!H254+'A) Base RI'!I254</f>
        <v>342.45776637188777</v>
      </c>
      <c r="K254" s="10">
        <f>+'A) Base RI'!J254</f>
        <v>0</v>
      </c>
      <c r="L254" s="10">
        <f>+'A) Base RI'!K254</f>
        <v>140.04</v>
      </c>
      <c r="M254" s="10">
        <f>+'A) Base RI'!L254</f>
        <v>0</v>
      </c>
      <c r="N254" s="10">
        <f>+'A) Base RI'!R254</f>
        <v>0</v>
      </c>
      <c r="O254" s="10">
        <f t="shared" si="19"/>
        <v>14882.633333333333</v>
      </c>
      <c r="P254" s="10">
        <f>+'A) Base RI'!M254</f>
        <v>22323.95</v>
      </c>
      <c r="Q254" s="428">
        <f>'A) Base RI'!Z254</f>
        <v>1.5</v>
      </c>
      <c r="R254" s="420">
        <f t="shared" si="20"/>
        <v>224552.34109970523</v>
      </c>
      <c r="S254" s="410">
        <f>+'A) Base RI'!U254</f>
        <v>84</v>
      </c>
      <c r="T254" s="420">
        <f t="shared" si="21"/>
        <v>209669.7077663719</v>
      </c>
      <c r="U254" s="420">
        <f t="shared" si="22"/>
        <v>2673.2421559488716</v>
      </c>
      <c r="V254" s="10">
        <f>+'A) Base RI'!P254</f>
        <v>848.7</v>
      </c>
      <c r="W254" s="10">
        <f>+'A) Base RI'!Q254</f>
        <v>7007.6</v>
      </c>
      <c r="X254" s="10">
        <f>+'A) Base RI'!S254</f>
        <v>14019.6</v>
      </c>
      <c r="Y254" s="420">
        <f t="shared" si="23"/>
        <v>21875.9</v>
      </c>
      <c r="Z254" s="10">
        <f>+'A) Base RI'!O254</f>
        <v>0</v>
      </c>
      <c r="AA254" s="10">
        <f>'A) Base RI'!V254</f>
        <v>119</v>
      </c>
    </row>
    <row r="255" spans="1:27" x14ac:dyDescent="0.25">
      <c r="A255" s="8">
        <f>'A) Base RI'!A255</f>
        <v>5830</v>
      </c>
      <c r="B255" s="32" t="str">
        <f>'A) Base RI'!B255</f>
        <v>Villarzel</v>
      </c>
      <c r="C255" s="10">
        <f>'A) Base RI'!C255+'A) Base RI'!D255</f>
        <v>877404.76</v>
      </c>
      <c r="D255" s="10">
        <f>'A) Base RI'!W255</f>
        <v>-8971.84</v>
      </c>
      <c r="E255" s="406">
        <f>'A) Base RI'!X255</f>
        <v>0</v>
      </c>
      <c r="F255" s="406">
        <f>'A) Base RI'!Y255</f>
        <v>-0.32</v>
      </c>
      <c r="G255" s="420">
        <f t="shared" si="18"/>
        <v>868432.60000000009</v>
      </c>
      <c r="H255" s="10">
        <f>+'A) Base RI'!E255</f>
        <v>0</v>
      </c>
      <c r="I255" s="10">
        <f>+'A) Base RI'!F255</f>
        <v>0</v>
      </c>
      <c r="J255" s="10">
        <f>+'A) Base RI'!G255+'A) Base RI'!H255+'A) Base RI'!I255</f>
        <v>2299.1580543362243</v>
      </c>
      <c r="K255" s="10">
        <f>+'A) Base RI'!J255</f>
        <v>0</v>
      </c>
      <c r="L255" s="10">
        <f>+'A) Base RI'!K255</f>
        <v>14595.19</v>
      </c>
      <c r="M255" s="10">
        <f>+'A) Base RI'!L255</f>
        <v>188.7</v>
      </c>
      <c r="N255" s="10">
        <f>+'A) Base RI'!R255</f>
        <v>16141.64</v>
      </c>
      <c r="O255" s="10">
        <f t="shared" si="19"/>
        <v>55629.7</v>
      </c>
      <c r="P255" s="10">
        <f>+'A) Base RI'!M255</f>
        <v>55629.7</v>
      </c>
      <c r="Q255" s="428">
        <f>'A) Base RI'!Z255</f>
        <v>1</v>
      </c>
      <c r="R255" s="420">
        <f t="shared" si="20"/>
        <v>957286.98805433617</v>
      </c>
      <c r="S255" s="410">
        <f>+'A) Base RI'!U255</f>
        <v>79</v>
      </c>
      <c r="T255" s="420">
        <f t="shared" si="21"/>
        <v>901468.58805433626</v>
      </c>
      <c r="U255" s="420">
        <f t="shared" si="22"/>
        <v>12117.556810814382</v>
      </c>
      <c r="V255" s="10">
        <f>+'A) Base RI'!P255</f>
        <v>0</v>
      </c>
      <c r="W255" s="10">
        <f>+'A) Base RI'!Q255</f>
        <v>31680</v>
      </c>
      <c r="X255" s="10">
        <f>+'A) Base RI'!S255</f>
        <v>26408.15</v>
      </c>
      <c r="Y255" s="420">
        <f t="shared" si="23"/>
        <v>58088.15</v>
      </c>
      <c r="Z255" s="10">
        <f>+'A) Base RI'!O255</f>
        <v>0</v>
      </c>
      <c r="AA255" s="10">
        <f>'A) Base RI'!V255</f>
        <v>446</v>
      </c>
    </row>
    <row r="256" spans="1:27" x14ac:dyDescent="0.25">
      <c r="A256" s="8">
        <f>'A) Base RI'!A256</f>
        <v>5831</v>
      </c>
      <c r="B256" s="32" t="str">
        <f>'A) Base RI'!B256</f>
        <v>Valbroye</v>
      </c>
      <c r="C256" s="10">
        <f>'A) Base RI'!C256+'A) Base RI'!D256</f>
        <v>5295396.43</v>
      </c>
      <c r="D256" s="10">
        <f>'A) Base RI'!W256</f>
        <v>-131749.88</v>
      </c>
      <c r="E256" s="406">
        <f>'A) Base RI'!X256</f>
        <v>0</v>
      </c>
      <c r="F256" s="406">
        <f>'A) Base RI'!Y256</f>
        <v>-255.42</v>
      </c>
      <c r="G256" s="420">
        <f t="shared" si="18"/>
        <v>5163391.13</v>
      </c>
      <c r="H256" s="10">
        <f>+'A) Base RI'!E256</f>
        <v>0</v>
      </c>
      <c r="I256" s="10">
        <f>+'A) Base RI'!F256</f>
        <v>0</v>
      </c>
      <c r="J256" s="10">
        <f>+'A) Base RI'!G256+'A) Base RI'!H256+'A) Base RI'!I256</f>
        <v>250020.8862996448</v>
      </c>
      <c r="K256" s="10">
        <f>+'A) Base RI'!J256</f>
        <v>0</v>
      </c>
      <c r="L256" s="10">
        <f>+'A) Base RI'!K256</f>
        <v>186928.65</v>
      </c>
      <c r="M256" s="10">
        <f>+'A) Base RI'!L256</f>
        <v>19910.3</v>
      </c>
      <c r="N256" s="10">
        <f>+'A) Base RI'!R256</f>
        <v>52794.77</v>
      </c>
      <c r="O256" s="10">
        <f t="shared" si="19"/>
        <v>433540.58333333337</v>
      </c>
      <c r="P256" s="10">
        <f>+'A) Base RI'!M256</f>
        <v>260124.35</v>
      </c>
      <c r="Q256" s="428">
        <f>'A) Base RI'!Z256</f>
        <v>0.6</v>
      </c>
      <c r="R256" s="420">
        <f t="shared" si="20"/>
        <v>6106586.3196329772</v>
      </c>
      <c r="S256" s="410">
        <f>+'A) Base RI'!U256</f>
        <v>73</v>
      </c>
      <c r="T256" s="420">
        <f t="shared" si="21"/>
        <v>5653135.4362996444</v>
      </c>
      <c r="U256" s="420">
        <f t="shared" si="22"/>
        <v>83651.867392232569</v>
      </c>
      <c r="V256" s="10">
        <f>+'A) Base RI'!P256</f>
        <v>176316.15</v>
      </c>
      <c r="W256" s="10">
        <f>+'A) Base RI'!Q256</f>
        <v>256060.7</v>
      </c>
      <c r="X256" s="10">
        <f>+'A) Base RI'!S256</f>
        <v>245583.95</v>
      </c>
      <c r="Y256" s="420">
        <f t="shared" si="23"/>
        <v>677960.8</v>
      </c>
      <c r="Z256" s="10">
        <f>+'A) Base RI'!O256</f>
        <v>18680.75</v>
      </c>
      <c r="AA256" s="10">
        <f>'A) Base RI'!V256</f>
        <v>3174</v>
      </c>
    </row>
    <row r="257" spans="1:27" x14ac:dyDescent="0.25">
      <c r="A257" s="8">
        <f>'A) Base RI'!A257</f>
        <v>5841</v>
      </c>
      <c r="B257" s="32" t="str">
        <f>'A) Base RI'!B257</f>
        <v>Château-d'Oex</v>
      </c>
      <c r="C257" s="10">
        <f>'A) Base RI'!C257+'A) Base RI'!D257</f>
        <v>7128649.3200000003</v>
      </c>
      <c r="D257" s="10">
        <f>'A) Base RI'!W257</f>
        <v>-90835.23</v>
      </c>
      <c r="E257" s="406">
        <f>'A) Base RI'!X257</f>
        <v>0</v>
      </c>
      <c r="F257" s="406">
        <f>'A) Base RI'!Y257</f>
        <v>-981.09</v>
      </c>
      <c r="G257" s="420">
        <f t="shared" si="18"/>
        <v>7036833</v>
      </c>
      <c r="H257" s="10">
        <f>+'A) Base RI'!E257</f>
        <v>0</v>
      </c>
      <c r="I257" s="10">
        <f>+'A) Base RI'!F257</f>
        <v>0</v>
      </c>
      <c r="J257" s="10">
        <f>+'A) Base RI'!G257+'A) Base RI'!H257+'A) Base RI'!I257</f>
        <v>396563.61363313702</v>
      </c>
      <c r="K257" s="10">
        <f>+'A) Base RI'!J257</f>
        <v>877263.5</v>
      </c>
      <c r="L257" s="10">
        <f>+'A) Base RI'!K257</f>
        <v>288446.65999999997</v>
      </c>
      <c r="M257" s="10">
        <f>+'A) Base RI'!L257</f>
        <v>7931.3</v>
      </c>
      <c r="N257" s="10">
        <f>+'A) Base RI'!R257</f>
        <v>31709.94</v>
      </c>
      <c r="O257" s="10">
        <f t="shared" si="19"/>
        <v>1014147</v>
      </c>
      <c r="P257" s="10">
        <f>+'A) Base RI'!M257</f>
        <v>1521220.5</v>
      </c>
      <c r="Q257" s="428">
        <f>'A) Base RI'!Z257</f>
        <v>1.5</v>
      </c>
      <c r="R257" s="420">
        <f t="shared" si="20"/>
        <v>9652895.0136331376</v>
      </c>
      <c r="S257" s="410">
        <f>+'A) Base RI'!U257</f>
        <v>83</v>
      </c>
      <c r="T257" s="420">
        <f t="shared" si="21"/>
        <v>8630816.7136331368</v>
      </c>
      <c r="U257" s="420">
        <f t="shared" si="22"/>
        <v>116299.93992329082</v>
      </c>
      <c r="V257" s="10">
        <f>+'A) Base RI'!P257</f>
        <v>399110.5</v>
      </c>
      <c r="W257" s="10">
        <f>+'A) Base RI'!Q257</f>
        <v>364905.85</v>
      </c>
      <c r="X257" s="10">
        <f>+'A) Base RI'!S257</f>
        <v>234119.35</v>
      </c>
      <c r="Y257" s="420">
        <f t="shared" si="23"/>
        <v>998135.7</v>
      </c>
      <c r="Z257" s="10">
        <f>+'A) Base RI'!O257</f>
        <v>5396.8</v>
      </c>
      <c r="AA257" s="10">
        <f>'A) Base RI'!V257</f>
        <v>3460</v>
      </c>
    </row>
    <row r="258" spans="1:27" x14ac:dyDescent="0.25">
      <c r="A258" s="8">
        <f>'A) Base RI'!A258</f>
        <v>5842</v>
      </c>
      <c r="B258" s="32" t="str">
        <f>'A) Base RI'!B258</f>
        <v>Rossinière</v>
      </c>
      <c r="C258" s="10">
        <f>'A) Base RI'!C258+'A) Base RI'!D258</f>
        <v>1147833.42</v>
      </c>
      <c r="D258" s="10">
        <f>'A) Base RI'!W258</f>
        <v>-3538.6</v>
      </c>
      <c r="E258" s="406">
        <f>'A) Base RI'!X258</f>
        <v>0</v>
      </c>
      <c r="F258" s="406">
        <f>'A) Base RI'!Y258</f>
        <v>-479.24</v>
      </c>
      <c r="G258" s="420">
        <f t="shared" si="18"/>
        <v>1143815.5799999998</v>
      </c>
      <c r="H258" s="10">
        <f>+'A) Base RI'!E258</f>
        <v>0</v>
      </c>
      <c r="I258" s="10">
        <f>+'A) Base RI'!F258</f>
        <v>0</v>
      </c>
      <c r="J258" s="10">
        <f>+'A) Base RI'!G258+'A) Base RI'!H258+'A) Base RI'!I258</f>
        <v>9104.4430832960243</v>
      </c>
      <c r="K258" s="10">
        <f>+'A) Base RI'!J258</f>
        <v>32242.85</v>
      </c>
      <c r="L258" s="10">
        <f>+'A) Base RI'!K258</f>
        <v>20403.900000000001</v>
      </c>
      <c r="M258" s="10">
        <f>+'A) Base RI'!L258</f>
        <v>369.65</v>
      </c>
      <c r="N258" s="10">
        <f>+'A) Base RI'!R258</f>
        <v>6051.37</v>
      </c>
      <c r="O258" s="10">
        <f t="shared" si="19"/>
        <v>91643.733333333337</v>
      </c>
      <c r="P258" s="10">
        <f>+'A) Base RI'!M258</f>
        <v>137465.60000000001</v>
      </c>
      <c r="Q258" s="428">
        <f>'A) Base RI'!Z258</f>
        <v>1.5</v>
      </c>
      <c r="R258" s="420">
        <f t="shared" si="20"/>
        <v>1303631.5264166293</v>
      </c>
      <c r="S258" s="410">
        <f>+'A) Base RI'!U258</f>
        <v>81</v>
      </c>
      <c r="T258" s="420">
        <f t="shared" si="21"/>
        <v>1211618.143083296</v>
      </c>
      <c r="U258" s="420">
        <f t="shared" si="22"/>
        <v>16094.216375513943</v>
      </c>
      <c r="V258" s="10">
        <f>+'A) Base RI'!P258</f>
        <v>27000</v>
      </c>
      <c r="W258" s="10">
        <f>+'A) Base RI'!Q258</f>
        <v>54790.15</v>
      </c>
      <c r="X258" s="10">
        <f>+'A) Base RI'!S258</f>
        <v>28913.25</v>
      </c>
      <c r="Y258" s="420">
        <f t="shared" si="23"/>
        <v>110703.4</v>
      </c>
      <c r="Z258" s="10">
        <f>+'A) Base RI'!O258</f>
        <v>0</v>
      </c>
      <c r="AA258" s="10">
        <f>'A) Base RI'!V258</f>
        <v>548</v>
      </c>
    </row>
    <row r="259" spans="1:27" x14ac:dyDescent="0.25">
      <c r="A259" s="8">
        <f>'A) Base RI'!A259</f>
        <v>5843</v>
      </c>
      <c r="B259" s="32" t="str">
        <f>'A) Base RI'!B259</f>
        <v>Rougemont</v>
      </c>
      <c r="C259" s="10">
        <f>'A) Base RI'!C259+'A) Base RI'!D259</f>
        <v>4552104.38</v>
      </c>
      <c r="D259" s="10">
        <f>'A) Base RI'!W259</f>
        <v>-77651.62</v>
      </c>
      <c r="E259" s="406">
        <f>'A) Base RI'!X259</f>
        <v>0</v>
      </c>
      <c r="F259" s="406">
        <f>'A) Base RI'!Y259</f>
        <v>-2621.62</v>
      </c>
      <c r="G259" s="420">
        <f t="shared" si="18"/>
        <v>4471831.1399999997</v>
      </c>
      <c r="H259" s="10">
        <f>+'A) Base RI'!E259</f>
        <v>0</v>
      </c>
      <c r="I259" s="10">
        <f>+'A) Base RI'!F259</f>
        <v>0</v>
      </c>
      <c r="J259" s="10">
        <f>+'A) Base RI'!G259+'A) Base RI'!H259+'A) Base RI'!I259</f>
        <v>241934.89001921058</v>
      </c>
      <c r="K259" s="10">
        <f>+'A) Base RI'!J259</f>
        <v>1352956.19</v>
      </c>
      <c r="L259" s="10">
        <f>+'A) Base RI'!K259</f>
        <v>101221.48</v>
      </c>
      <c r="M259" s="10">
        <f>+'A) Base RI'!L259</f>
        <v>17979.400000000001</v>
      </c>
      <c r="N259" s="10">
        <f>+'A) Base RI'!R259</f>
        <v>15843.49</v>
      </c>
      <c r="O259" s="10">
        <f t="shared" si="19"/>
        <v>765215.1333333333</v>
      </c>
      <c r="P259" s="10">
        <f>+'A) Base RI'!M259</f>
        <v>1147822.7</v>
      </c>
      <c r="Q259" s="428">
        <f>'A) Base RI'!Z259</f>
        <v>1.5</v>
      </c>
      <c r="R259" s="420">
        <f t="shared" si="20"/>
        <v>6966981.723352544</v>
      </c>
      <c r="S259" s="410">
        <f>+'A) Base RI'!U259</f>
        <v>74</v>
      </c>
      <c r="T259" s="420">
        <f t="shared" si="21"/>
        <v>6183787.1900192108</v>
      </c>
      <c r="U259" s="420">
        <f t="shared" si="22"/>
        <v>94148.401666926264</v>
      </c>
      <c r="V259" s="10">
        <f>+'A) Base RI'!P259</f>
        <v>216096.3</v>
      </c>
      <c r="W259" s="10">
        <f>+'A) Base RI'!Q259</f>
        <v>626154.1</v>
      </c>
      <c r="X259" s="10">
        <f>+'A) Base RI'!S259</f>
        <v>417944.25</v>
      </c>
      <c r="Y259" s="420">
        <f t="shared" si="23"/>
        <v>1260194.6499999999</v>
      </c>
      <c r="Z259" s="10">
        <f>+'A) Base RI'!O259</f>
        <v>0</v>
      </c>
      <c r="AA259" s="10">
        <f>'A) Base RI'!V259</f>
        <v>882</v>
      </c>
    </row>
    <row r="260" spans="1:27" x14ac:dyDescent="0.25">
      <c r="A260" s="8">
        <f>'A) Base RI'!A260</f>
        <v>5851</v>
      </c>
      <c r="B260" s="32" t="str">
        <f>'A) Base RI'!B260</f>
        <v>Allaman</v>
      </c>
      <c r="C260" s="10">
        <f>'A) Base RI'!C260+'A) Base RI'!D260</f>
        <v>1345692.1700000002</v>
      </c>
      <c r="D260" s="10">
        <f>'A) Base RI'!W260</f>
        <v>-61802.16</v>
      </c>
      <c r="E260" s="406">
        <f>'A) Base RI'!X260</f>
        <v>0</v>
      </c>
      <c r="F260" s="406">
        <f>'A) Base RI'!Y260</f>
        <v>-227.32</v>
      </c>
      <c r="G260" s="420">
        <f t="shared" si="18"/>
        <v>1283662.6900000002</v>
      </c>
      <c r="H260" s="10">
        <f>+'A) Base RI'!E260</f>
        <v>0</v>
      </c>
      <c r="I260" s="10">
        <f>+'A) Base RI'!F260</f>
        <v>0</v>
      </c>
      <c r="J260" s="10">
        <f>+'A) Base RI'!G260+'A) Base RI'!H260+'A) Base RI'!I260</f>
        <v>75043.525631562079</v>
      </c>
      <c r="K260" s="10">
        <f>+'A) Base RI'!J260</f>
        <v>75789.25</v>
      </c>
      <c r="L260" s="10">
        <f>+'A) Base RI'!K260</f>
        <v>103031.22</v>
      </c>
      <c r="M260" s="10">
        <f>+'A) Base RI'!L260</f>
        <v>29049.3</v>
      </c>
      <c r="N260" s="10">
        <f>+'A) Base RI'!R260</f>
        <v>1348.36</v>
      </c>
      <c r="O260" s="10">
        <f t="shared" si="19"/>
        <v>219764.40909090909</v>
      </c>
      <c r="P260" s="10">
        <f>+'A) Base RI'!M260</f>
        <v>241740.85</v>
      </c>
      <c r="Q260" s="428">
        <f>'A) Base RI'!Z260</f>
        <v>1.1000000000000001</v>
      </c>
      <c r="R260" s="420">
        <f t="shared" si="20"/>
        <v>1787688.7547224716</v>
      </c>
      <c r="S260" s="410">
        <f>+'A) Base RI'!U260</f>
        <v>62</v>
      </c>
      <c r="T260" s="420">
        <f t="shared" si="21"/>
        <v>1538875.0456315624</v>
      </c>
      <c r="U260" s="420">
        <f t="shared" si="22"/>
        <v>28833.689592297927</v>
      </c>
      <c r="V260" s="10">
        <f>+'A) Base RI'!P260</f>
        <v>173965.4</v>
      </c>
      <c r="W260" s="10">
        <f>+'A) Base RI'!Q260</f>
        <v>135740</v>
      </c>
      <c r="X260" s="10">
        <f>+'A) Base RI'!S260</f>
        <v>231824.3</v>
      </c>
      <c r="Y260" s="420">
        <f t="shared" si="23"/>
        <v>541529.69999999995</v>
      </c>
      <c r="Z260" s="10">
        <f>+'A) Base RI'!O260</f>
        <v>45630.25</v>
      </c>
      <c r="AA260" s="10">
        <f>'A) Base RI'!V260</f>
        <v>434</v>
      </c>
    </row>
    <row r="261" spans="1:27" x14ac:dyDescent="0.25">
      <c r="A261" s="8">
        <f>'A) Base RI'!A261</f>
        <v>5852</v>
      </c>
      <c r="B261" s="32" t="str">
        <f>'A) Base RI'!B261</f>
        <v>Bursinel</v>
      </c>
      <c r="C261" s="10">
        <f>'A) Base RI'!C261+'A) Base RI'!D261</f>
        <v>2086545.3800000001</v>
      </c>
      <c r="D261" s="10">
        <f>'A) Base RI'!W261</f>
        <v>-103747.23</v>
      </c>
      <c r="E261" s="406">
        <f>'A) Base RI'!X261</f>
        <v>0</v>
      </c>
      <c r="F261" s="406">
        <f>'A) Base RI'!Y261</f>
        <v>-9437.8799999999992</v>
      </c>
      <c r="G261" s="420">
        <f t="shared" si="18"/>
        <v>1973360.2700000003</v>
      </c>
      <c r="H261" s="10">
        <f>+'A) Base RI'!E261</f>
        <v>0</v>
      </c>
      <c r="I261" s="10">
        <f>+'A) Base RI'!F261</f>
        <v>0</v>
      </c>
      <c r="J261" s="10">
        <f>+'A) Base RI'!G261+'A) Base RI'!H261+'A) Base RI'!I261</f>
        <v>20581.359231763297</v>
      </c>
      <c r="K261" s="10">
        <f>+'A) Base RI'!J261</f>
        <v>336538.95</v>
      </c>
      <c r="L261" s="10">
        <f>+'A) Base RI'!K261</f>
        <v>85066.9</v>
      </c>
      <c r="M261" s="10">
        <f>+'A) Base RI'!L261</f>
        <v>7929.85</v>
      </c>
      <c r="N261" s="10">
        <f>+'A) Base RI'!R261</f>
        <v>0</v>
      </c>
      <c r="O261" s="10">
        <f t="shared" si="19"/>
        <v>176607.5</v>
      </c>
      <c r="P261" s="10">
        <f>+'A) Base RI'!M261</f>
        <v>176607.5</v>
      </c>
      <c r="Q261" s="428">
        <f>'A) Base RI'!Z261</f>
        <v>1</v>
      </c>
      <c r="R261" s="420">
        <f t="shared" si="20"/>
        <v>2600084.8292317637</v>
      </c>
      <c r="S261" s="410">
        <f>+'A) Base RI'!U261</f>
        <v>65.5</v>
      </c>
      <c r="T261" s="420">
        <f t="shared" si="21"/>
        <v>2415547.4792317636</v>
      </c>
      <c r="U261" s="420">
        <f t="shared" si="22"/>
        <v>39695.951591324636</v>
      </c>
      <c r="V261" s="10">
        <f>+'A) Base RI'!P261</f>
        <v>0</v>
      </c>
      <c r="W261" s="10">
        <f>+'A) Base RI'!Q261</f>
        <v>90200</v>
      </c>
      <c r="X261" s="10">
        <f>+'A) Base RI'!S261</f>
        <v>216384.5</v>
      </c>
      <c r="Y261" s="420">
        <f t="shared" si="23"/>
        <v>306584.5</v>
      </c>
      <c r="Z261" s="10">
        <f>+'A) Base RI'!O261</f>
        <v>10718.8</v>
      </c>
      <c r="AA261" s="10">
        <f>'A) Base RI'!V261</f>
        <v>471</v>
      </c>
    </row>
    <row r="262" spans="1:27" x14ac:dyDescent="0.25">
      <c r="A262" s="8">
        <f>'A) Base RI'!A262</f>
        <v>5853</v>
      </c>
      <c r="B262" s="32" t="str">
        <f>'A) Base RI'!B262</f>
        <v>Bursins</v>
      </c>
      <c r="C262" s="10">
        <f>'A) Base RI'!C262+'A) Base RI'!D262</f>
        <v>2231209.94</v>
      </c>
      <c r="D262" s="10">
        <f>'A) Base RI'!W262</f>
        <v>-16761.8</v>
      </c>
      <c r="E262" s="406">
        <f>'A) Base RI'!X262</f>
        <v>0</v>
      </c>
      <c r="F262" s="406">
        <f>'A) Base RI'!Y262</f>
        <v>-120.24</v>
      </c>
      <c r="G262" s="420">
        <f t="shared" si="18"/>
        <v>2214327.9</v>
      </c>
      <c r="H262" s="10">
        <f>+'A) Base RI'!E262</f>
        <v>0</v>
      </c>
      <c r="I262" s="10">
        <f>+'A) Base RI'!F262</f>
        <v>0</v>
      </c>
      <c r="J262" s="10">
        <f>+'A) Base RI'!G262+'A) Base RI'!H262+'A) Base RI'!I262</f>
        <v>42527.311250000079</v>
      </c>
      <c r="K262" s="10">
        <f>+'A) Base RI'!J262</f>
        <v>78834.009999999995</v>
      </c>
      <c r="L262" s="10">
        <f>+'A) Base RI'!K262</f>
        <v>22188.67</v>
      </c>
      <c r="M262" s="10">
        <f>+'A) Base RI'!L262</f>
        <v>17397.650000000001</v>
      </c>
      <c r="N262" s="10">
        <f>+'A) Base RI'!R262</f>
        <v>30029.69</v>
      </c>
      <c r="O262" s="10">
        <f t="shared" si="19"/>
        <v>191231.2</v>
      </c>
      <c r="P262" s="10">
        <f>+'A) Base RI'!M262</f>
        <v>191231.2</v>
      </c>
      <c r="Q262" s="428">
        <f>'A) Base RI'!Z262</f>
        <v>1</v>
      </c>
      <c r="R262" s="420">
        <f t="shared" si="20"/>
        <v>2596536.4312499999</v>
      </c>
      <c r="S262" s="410">
        <f>+'A) Base RI'!U262</f>
        <v>71</v>
      </c>
      <c r="T262" s="420">
        <f t="shared" si="21"/>
        <v>2387907.5812499998</v>
      </c>
      <c r="U262" s="420">
        <f t="shared" si="22"/>
        <v>36570.93565140845</v>
      </c>
      <c r="V262" s="10">
        <f>+'A) Base RI'!P262</f>
        <v>6452.7</v>
      </c>
      <c r="W262" s="10">
        <f>+'A) Base RI'!Q262</f>
        <v>168975.3</v>
      </c>
      <c r="X262" s="10">
        <f>+'A) Base RI'!S262</f>
        <v>96499.5</v>
      </c>
      <c r="Y262" s="420">
        <f t="shared" si="23"/>
        <v>271927.5</v>
      </c>
      <c r="Z262" s="10">
        <f>+'A) Base RI'!O262</f>
        <v>64233</v>
      </c>
      <c r="AA262" s="10">
        <f>'A) Base RI'!V262</f>
        <v>752</v>
      </c>
    </row>
    <row r="263" spans="1:27" x14ac:dyDescent="0.25">
      <c r="A263" s="8">
        <f>'A) Base RI'!A263</f>
        <v>5854</v>
      </c>
      <c r="B263" s="32" t="str">
        <f>'A) Base RI'!B263</f>
        <v>Burtigny</v>
      </c>
      <c r="C263" s="10">
        <f>'A) Base RI'!C263+'A) Base RI'!D263</f>
        <v>1098133.1299999999</v>
      </c>
      <c r="D263" s="10">
        <f>'A) Base RI'!W263</f>
        <v>-3476.85</v>
      </c>
      <c r="E263" s="406">
        <f>'A) Base RI'!X263</f>
        <v>0</v>
      </c>
      <c r="F263" s="406">
        <f>'A) Base RI'!Y263</f>
        <v>-226.34</v>
      </c>
      <c r="G263" s="420">
        <f t="shared" si="18"/>
        <v>1094429.9399999997</v>
      </c>
      <c r="H263" s="10">
        <f>+'A) Base RI'!E263</f>
        <v>0</v>
      </c>
      <c r="I263" s="10">
        <f>+'A) Base RI'!F263</f>
        <v>0</v>
      </c>
      <c r="J263" s="10">
        <f>+'A) Base RI'!G263+'A) Base RI'!H263+'A) Base RI'!I263</f>
        <v>13912.316914537301</v>
      </c>
      <c r="K263" s="10">
        <f>+'A) Base RI'!J263</f>
        <v>0</v>
      </c>
      <c r="L263" s="10">
        <f>+'A) Base RI'!K263</f>
        <v>20694.900000000001</v>
      </c>
      <c r="M263" s="10">
        <f>+'A) Base RI'!L263</f>
        <v>1034.7</v>
      </c>
      <c r="N263" s="10">
        <f>+'A) Base RI'!R263</f>
        <v>14183.27</v>
      </c>
      <c r="O263" s="10">
        <f t="shared" si="19"/>
        <v>70686.96666666666</v>
      </c>
      <c r="P263" s="10">
        <f>+'A) Base RI'!M263</f>
        <v>106030.45</v>
      </c>
      <c r="Q263" s="428">
        <f>'A) Base RI'!Z263</f>
        <v>1.5</v>
      </c>
      <c r="R263" s="420">
        <f t="shared" si="20"/>
        <v>1214942.0935812034</v>
      </c>
      <c r="S263" s="410">
        <f>+'A) Base RI'!U263</f>
        <v>80</v>
      </c>
      <c r="T263" s="420">
        <f t="shared" si="21"/>
        <v>1143220.4269145369</v>
      </c>
      <c r="U263" s="420">
        <f t="shared" si="22"/>
        <v>15186.776169765042</v>
      </c>
      <c r="V263" s="10">
        <f>+'A) Base RI'!P263</f>
        <v>69033.7</v>
      </c>
      <c r="W263" s="10">
        <f>+'A) Base RI'!Q263</f>
        <v>92334.3</v>
      </c>
      <c r="X263" s="10">
        <f>+'A) Base RI'!S263</f>
        <v>49137.65</v>
      </c>
      <c r="Y263" s="420">
        <f t="shared" si="23"/>
        <v>210505.65</v>
      </c>
      <c r="Z263" s="10">
        <f>+'A) Base RI'!O263</f>
        <v>23521.05</v>
      </c>
      <c r="AA263" s="10">
        <f>'A) Base RI'!V263</f>
        <v>391</v>
      </c>
    </row>
    <row r="264" spans="1:27" x14ac:dyDescent="0.25">
      <c r="A264" s="8">
        <f>'A) Base RI'!A264</f>
        <v>5855</v>
      </c>
      <c r="B264" s="32" t="str">
        <f>'A) Base RI'!B264</f>
        <v>Dully</v>
      </c>
      <c r="C264" s="10">
        <f>'A) Base RI'!C264+'A) Base RI'!D264</f>
        <v>3717736.19</v>
      </c>
      <c r="D264" s="10">
        <f>'A) Base RI'!W264</f>
        <v>-17142.34</v>
      </c>
      <c r="E264" s="406">
        <f>'A) Base RI'!X264</f>
        <v>0</v>
      </c>
      <c r="F264" s="406">
        <f>'A) Base RI'!Y264</f>
        <v>-3260.56</v>
      </c>
      <c r="G264" s="420">
        <f t="shared" ref="G264:G315" si="24">SUM(C264:F264)</f>
        <v>3697333.29</v>
      </c>
      <c r="H264" s="10">
        <f>+'A) Base RI'!E264</f>
        <v>0</v>
      </c>
      <c r="I264" s="10">
        <f>+'A) Base RI'!F264</f>
        <v>0</v>
      </c>
      <c r="J264" s="10">
        <f>+'A) Base RI'!G264+'A) Base RI'!H264+'A) Base RI'!I264</f>
        <v>27461.799421413467</v>
      </c>
      <c r="K264" s="10">
        <f>+'A) Base RI'!J264</f>
        <v>412342.11</v>
      </c>
      <c r="L264" s="10">
        <f>+'A) Base RI'!K264</f>
        <v>-22101.73</v>
      </c>
      <c r="M264" s="10">
        <f>+'A) Base RI'!L264</f>
        <v>12192.5</v>
      </c>
      <c r="N264" s="10">
        <f>+'A) Base RI'!R264</f>
        <v>11883.67</v>
      </c>
      <c r="O264" s="10">
        <f t="shared" ref="O264:O315" si="25">(P264/Q264)*1</f>
        <v>338000.5</v>
      </c>
      <c r="P264" s="10">
        <f>+'A) Base RI'!M264</f>
        <v>169000.25</v>
      </c>
      <c r="Q264" s="428">
        <f>'A) Base RI'!Z264</f>
        <v>0.5</v>
      </c>
      <c r="R264" s="420">
        <f t="shared" ref="R264:R315" si="26">SUM(G264:O264)</f>
        <v>4477112.1394214127</v>
      </c>
      <c r="S264" s="410">
        <f>+'A) Base RI'!U264</f>
        <v>49</v>
      </c>
      <c r="T264" s="420">
        <f t="shared" ref="T264:T315" si="27">(G264+H264+J264+K264+L264+N264)</f>
        <v>4126919.1394214132</v>
      </c>
      <c r="U264" s="420">
        <f t="shared" ref="U264:U315" si="28">R264/S264</f>
        <v>91369.635498396179</v>
      </c>
      <c r="V264" s="10">
        <f>+'A) Base RI'!P264</f>
        <v>0.69999999995343298</v>
      </c>
      <c r="W264" s="10">
        <f>+'A) Base RI'!Q264</f>
        <v>262229.34999999998</v>
      </c>
      <c r="X264" s="10">
        <f>+'A) Base RI'!S264</f>
        <v>330249.75</v>
      </c>
      <c r="Y264" s="420">
        <f t="shared" ref="Y264:Y315" si="29">SUM(V264:X264)</f>
        <v>592479.79999999993</v>
      </c>
      <c r="Z264" s="10">
        <f>+'A) Base RI'!O264</f>
        <v>1160.95</v>
      </c>
      <c r="AA264" s="10">
        <f>'A) Base RI'!V264</f>
        <v>635</v>
      </c>
    </row>
    <row r="265" spans="1:27" x14ac:dyDescent="0.25">
      <c r="A265" s="8">
        <f>'A) Base RI'!A265</f>
        <v>5856</v>
      </c>
      <c r="B265" s="32" t="str">
        <f>'A) Base RI'!B265</f>
        <v>Essertines-sur-Rolle</v>
      </c>
      <c r="C265" s="10">
        <f>'A) Base RI'!C265+'A) Base RI'!D265</f>
        <v>2153270.94</v>
      </c>
      <c r="D265" s="10">
        <f>'A) Base RI'!W265</f>
        <v>-4277.72</v>
      </c>
      <c r="E265" s="406">
        <f>'A) Base RI'!X265</f>
        <v>0</v>
      </c>
      <c r="F265" s="406">
        <f>'A) Base RI'!Y265</f>
        <v>-271.45999999999998</v>
      </c>
      <c r="G265" s="420">
        <f t="shared" si="24"/>
        <v>2148721.7599999998</v>
      </c>
      <c r="H265" s="10">
        <f>+'A) Base RI'!E265</f>
        <v>0</v>
      </c>
      <c r="I265" s="10">
        <f>+'A) Base RI'!F265</f>
        <v>0</v>
      </c>
      <c r="J265" s="10">
        <f>+'A) Base RI'!G265+'A) Base RI'!H265+'A) Base RI'!I265</f>
        <v>4929.0426770732047</v>
      </c>
      <c r="K265" s="10">
        <f>+'A) Base RI'!J265</f>
        <v>172935.55</v>
      </c>
      <c r="L265" s="10">
        <f>+'A) Base RI'!K265</f>
        <v>37871.51</v>
      </c>
      <c r="M265" s="10">
        <f>+'A) Base RI'!L265</f>
        <v>2398.75</v>
      </c>
      <c r="N265" s="10">
        <f>+'A) Base RI'!R265</f>
        <v>-7.5</v>
      </c>
      <c r="O265" s="10">
        <f t="shared" si="25"/>
        <v>176573.76923076922</v>
      </c>
      <c r="P265" s="10">
        <f>+'A) Base RI'!M265</f>
        <v>229545.9</v>
      </c>
      <c r="Q265" s="428">
        <f>'A) Base RI'!Z265</f>
        <v>1.3</v>
      </c>
      <c r="R265" s="420">
        <f t="shared" si="26"/>
        <v>2543422.8819078417</v>
      </c>
      <c r="S265" s="410">
        <f>+'A) Base RI'!U265</f>
        <v>68</v>
      </c>
      <c r="T265" s="420">
        <f t="shared" si="27"/>
        <v>2364450.3626770726</v>
      </c>
      <c r="U265" s="420">
        <f t="shared" si="28"/>
        <v>37403.277675115321</v>
      </c>
      <c r="V265" s="10">
        <f>+'A) Base RI'!P265</f>
        <v>11350</v>
      </c>
      <c r="W265" s="10">
        <f>+'A) Base RI'!Q265</f>
        <v>242828.65</v>
      </c>
      <c r="X265" s="10">
        <f>+'A) Base RI'!S265</f>
        <v>102942.95</v>
      </c>
      <c r="Y265" s="420">
        <f t="shared" si="29"/>
        <v>357121.6</v>
      </c>
      <c r="Z265" s="10">
        <f>+'A) Base RI'!O265</f>
        <v>11104.25</v>
      </c>
      <c r="AA265" s="10">
        <f>'A) Base RI'!V265</f>
        <v>726</v>
      </c>
    </row>
    <row r="266" spans="1:27" x14ac:dyDescent="0.25">
      <c r="A266" s="8">
        <f>'A) Base RI'!A266</f>
        <v>5857</v>
      </c>
      <c r="B266" s="32" t="str">
        <f>'A) Base RI'!B266</f>
        <v>Gilly</v>
      </c>
      <c r="C266" s="10">
        <f>'A) Base RI'!C266+'A) Base RI'!D266</f>
        <v>5226984.2200000007</v>
      </c>
      <c r="D266" s="10">
        <f>'A) Base RI'!W266</f>
        <v>-19129.23</v>
      </c>
      <c r="E266" s="406">
        <f>'A) Base RI'!X266</f>
        <v>0</v>
      </c>
      <c r="F266" s="406">
        <f>'A) Base RI'!Y266</f>
        <v>-157.94</v>
      </c>
      <c r="G266" s="420">
        <f t="shared" si="24"/>
        <v>5207697.05</v>
      </c>
      <c r="H266" s="10">
        <f>+'A) Base RI'!E266</f>
        <v>0</v>
      </c>
      <c r="I266" s="10">
        <f>+'A) Base RI'!F266</f>
        <v>0</v>
      </c>
      <c r="J266" s="10">
        <f>+'A) Base RI'!G266+'A) Base RI'!H266+'A) Base RI'!I266</f>
        <v>101221.46310587047</v>
      </c>
      <c r="K266" s="10">
        <f>+'A) Base RI'!J266</f>
        <v>0</v>
      </c>
      <c r="L266" s="10">
        <f>+'A) Base RI'!K266</f>
        <v>150792.66</v>
      </c>
      <c r="M266" s="10">
        <f>+'A) Base RI'!L266</f>
        <v>1711.65</v>
      </c>
      <c r="N266" s="10">
        <f>+'A) Base RI'!R266</f>
        <v>4026.37</v>
      </c>
      <c r="O266" s="10">
        <f t="shared" si="25"/>
        <v>384836.2</v>
      </c>
      <c r="P266" s="10">
        <f>+'A) Base RI'!M266</f>
        <v>384836.2</v>
      </c>
      <c r="Q266" s="428">
        <f>'A) Base RI'!Z266</f>
        <v>1</v>
      </c>
      <c r="R266" s="420">
        <f t="shared" si="26"/>
        <v>5850285.393105871</v>
      </c>
      <c r="S266" s="410">
        <f>+'A) Base RI'!U266</f>
        <v>66</v>
      </c>
      <c r="T266" s="420">
        <f t="shared" si="27"/>
        <v>5463737.5431058705</v>
      </c>
      <c r="U266" s="420">
        <f t="shared" si="28"/>
        <v>88640.687774331382</v>
      </c>
      <c r="V266" s="10">
        <f>+'A) Base RI'!P266</f>
        <v>22099.200000000001</v>
      </c>
      <c r="W266" s="10">
        <f>+'A) Base RI'!Q266</f>
        <v>297434.90000000002</v>
      </c>
      <c r="X266" s="10">
        <f>+'A) Base RI'!S266</f>
        <v>39875.699999999997</v>
      </c>
      <c r="Y266" s="420">
        <f t="shared" si="29"/>
        <v>359409.80000000005</v>
      </c>
      <c r="Z266" s="10">
        <f>+'A) Base RI'!O266</f>
        <v>85330</v>
      </c>
      <c r="AA266" s="10">
        <f>'A) Base RI'!V266</f>
        <v>1324</v>
      </c>
    </row>
    <row r="267" spans="1:27" x14ac:dyDescent="0.25">
      <c r="A267" s="8">
        <f>'A) Base RI'!A267</f>
        <v>5858</v>
      </c>
      <c r="B267" s="32" t="str">
        <f>'A) Base RI'!B267</f>
        <v>Luins</v>
      </c>
      <c r="C267" s="10">
        <f>'A) Base RI'!C267+'A) Base RI'!D267</f>
        <v>2250819</v>
      </c>
      <c r="D267" s="10">
        <f>'A) Base RI'!W267</f>
        <v>-38156.839999999997</v>
      </c>
      <c r="E267" s="406">
        <f>'A) Base RI'!X267</f>
        <v>0</v>
      </c>
      <c r="F267" s="406">
        <f>'A) Base RI'!Y267</f>
        <v>-1594.73</v>
      </c>
      <c r="G267" s="420">
        <f t="shared" si="24"/>
        <v>2211067.4300000002</v>
      </c>
      <c r="H267" s="10">
        <f>+'A) Base RI'!E267</f>
        <v>0</v>
      </c>
      <c r="I267" s="10">
        <f>+'A) Base RI'!F267</f>
        <v>0</v>
      </c>
      <c r="J267" s="10">
        <f>+'A) Base RI'!G267+'A) Base RI'!H267+'A) Base RI'!I267</f>
        <v>6649.8424650255256</v>
      </c>
      <c r="K267" s="10">
        <f>+'A) Base RI'!J267</f>
        <v>180933.6</v>
      </c>
      <c r="L267" s="10">
        <f>+'A) Base RI'!K267</f>
        <v>78846.94</v>
      </c>
      <c r="M267" s="10">
        <f>+'A) Base RI'!L267</f>
        <v>1344.9</v>
      </c>
      <c r="N267" s="10">
        <f>+'A) Base RI'!R267</f>
        <v>1408.85</v>
      </c>
      <c r="O267" s="10">
        <f t="shared" si="25"/>
        <v>146597.16666666666</v>
      </c>
      <c r="P267" s="10">
        <f>+'A) Base RI'!M267</f>
        <v>219895.75</v>
      </c>
      <c r="Q267" s="428">
        <f>'A) Base RI'!Z267</f>
        <v>1.5</v>
      </c>
      <c r="R267" s="420">
        <f t="shared" si="26"/>
        <v>2626848.7291316921</v>
      </c>
      <c r="S267" s="410">
        <f>+'A) Base RI'!U267</f>
        <v>60</v>
      </c>
      <c r="T267" s="420">
        <f t="shared" si="27"/>
        <v>2478906.6624650257</v>
      </c>
      <c r="U267" s="420">
        <f t="shared" si="28"/>
        <v>43780.812152194871</v>
      </c>
      <c r="V267" s="10">
        <f>+'A) Base RI'!P267</f>
        <v>20428.5</v>
      </c>
      <c r="W267" s="10">
        <f>+'A) Base RI'!Q267</f>
        <v>124139.55</v>
      </c>
      <c r="X267" s="10">
        <f>+'A) Base RI'!S267</f>
        <v>33400.6</v>
      </c>
      <c r="Y267" s="420">
        <f t="shared" si="29"/>
        <v>177968.65</v>
      </c>
      <c r="Z267" s="10">
        <f>+'A) Base RI'!O267</f>
        <v>7432.25</v>
      </c>
      <c r="AA267" s="10">
        <f>'A) Base RI'!V267</f>
        <v>613</v>
      </c>
    </row>
    <row r="268" spans="1:27" x14ac:dyDescent="0.25">
      <c r="A268" s="8">
        <f>'A) Base RI'!A268</f>
        <v>5859</v>
      </c>
      <c r="B268" s="32" t="str">
        <f>'A) Base RI'!B268</f>
        <v>Mont-sur-Rolle</v>
      </c>
      <c r="C268" s="10">
        <f>'A) Base RI'!C268+'A) Base RI'!D268</f>
        <v>8365663.21</v>
      </c>
      <c r="D268" s="10">
        <f>'A) Base RI'!W268</f>
        <v>-88744.65</v>
      </c>
      <c r="E268" s="406">
        <f>'A) Base RI'!X268</f>
        <v>0</v>
      </c>
      <c r="F268" s="406">
        <f>'A) Base RI'!Y268</f>
        <v>-118597.85</v>
      </c>
      <c r="G268" s="420">
        <f t="shared" si="24"/>
        <v>8158320.71</v>
      </c>
      <c r="H268" s="10">
        <f>+'A) Base RI'!E268</f>
        <v>0</v>
      </c>
      <c r="I268" s="10">
        <f>+'A) Base RI'!F268</f>
        <v>0</v>
      </c>
      <c r="J268" s="10">
        <f>+'A) Base RI'!G268+'A) Base RI'!H268+'A) Base RI'!I268</f>
        <v>64678.40748064185</v>
      </c>
      <c r="K268" s="10">
        <f>+'A) Base RI'!J268</f>
        <v>291693.2</v>
      </c>
      <c r="L268" s="10">
        <f>+'A) Base RI'!K268</f>
        <v>62782.34</v>
      </c>
      <c r="M268" s="10">
        <f>+'A) Base RI'!L268</f>
        <v>20687.150000000001</v>
      </c>
      <c r="N268" s="10">
        <f>+'A) Base RI'!R268</f>
        <v>21230.16</v>
      </c>
      <c r="O268" s="10">
        <f t="shared" si="25"/>
        <v>636858.65</v>
      </c>
      <c r="P268" s="10">
        <f>+'A) Base RI'!M268</f>
        <v>636858.65</v>
      </c>
      <c r="Q268" s="428">
        <f>'A) Base RI'!Z268</f>
        <v>1</v>
      </c>
      <c r="R268" s="420">
        <f t="shared" si="26"/>
        <v>9256250.6174806431</v>
      </c>
      <c r="S268" s="410">
        <f>+'A) Base RI'!U268</f>
        <v>65</v>
      </c>
      <c r="T268" s="420">
        <f t="shared" si="27"/>
        <v>8598704.8174806423</v>
      </c>
      <c r="U268" s="420">
        <f t="shared" si="28"/>
        <v>142403.85565354835</v>
      </c>
      <c r="V268" s="10">
        <f>+'A) Base RI'!P268</f>
        <v>14913.2</v>
      </c>
      <c r="W268" s="10">
        <f>+'A) Base RI'!Q268</f>
        <v>288927.25</v>
      </c>
      <c r="X268" s="10">
        <f>+'A) Base RI'!S268</f>
        <v>172250.8</v>
      </c>
      <c r="Y268" s="420">
        <f t="shared" si="29"/>
        <v>476091.25</v>
      </c>
      <c r="Z268" s="10">
        <f>+'A) Base RI'!O268</f>
        <v>71576.649999999994</v>
      </c>
      <c r="AA268" s="10">
        <f>'A) Base RI'!V268</f>
        <v>2651</v>
      </c>
    </row>
    <row r="269" spans="1:27" x14ac:dyDescent="0.25">
      <c r="A269" s="8">
        <f>'A) Base RI'!A269</f>
        <v>5860</v>
      </c>
      <c r="B269" s="32" t="str">
        <f>'A) Base RI'!B269</f>
        <v>Perroy</v>
      </c>
      <c r="C269" s="10">
        <f>'A) Base RI'!C269+'A) Base RI'!D269</f>
        <v>4962063.09</v>
      </c>
      <c r="D269" s="10">
        <f>'A) Base RI'!W269</f>
        <v>-64603.16</v>
      </c>
      <c r="E269" s="406">
        <f>'A) Base RI'!X269</f>
        <v>0</v>
      </c>
      <c r="F269" s="406">
        <f>'A) Base RI'!Y269</f>
        <v>-10354.84</v>
      </c>
      <c r="G269" s="420">
        <f t="shared" si="24"/>
        <v>4887105.09</v>
      </c>
      <c r="H269" s="10">
        <f>+'A) Base RI'!E269</f>
        <v>0</v>
      </c>
      <c r="I269" s="10">
        <f>+'A) Base RI'!F269</f>
        <v>0</v>
      </c>
      <c r="J269" s="10">
        <f>+'A) Base RI'!G269+'A) Base RI'!H269+'A) Base RI'!I269</f>
        <v>50860.966558338179</v>
      </c>
      <c r="K269" s="10">
        <f>+'A) Base RI'!J269</f>
        <v>244794.25</v>
      </c>
      <c r="L269" s="10">
        <f>+'A) Base RI'!K269</f>
        <v>14905.56</v>
      </c>
      <c r="M269" s="10">
        <f>+'A) Base RI'!L269</f>
        <v>28333.55</v>
      </c>
      <c r="N269" s="10">
        <f>+'A) Base RI'!R269</f>
        <v>1591.89</v>
      </c>
      <c r="O269" s="10">
        <f t="shared" si="25"/>
        <v>482049.9615384615</v>
      </c>
      <c r="P269" s="10">
        <f>+'A) Base RI'!M269</f>
        <v>626664.94999999995</v>
      </c>
      <c r="Q269" s="428">
        <f>'A) Base RI'!Z269</f>
        <v>1.3</v>
      </c>
      <c r="R269" s="420">
        <f t="shared" si="26"/>
        <v>5709641.268096799</v>
      </c>
      <c r="S269" s="410">
        <f>+'A) Base RI'!U269</f>
        <v>60</v>
      </c>
      <c r="T269" s="420">
        <f t="shared" si="27"/>
        <v>5199257.7565583372</v>
      </c>
      <c r="U269" s="420">
        <f t="shared" si="28"/>
        <v>95160.687801613312</v>
      </c>
      <c r="V269" s="10">
        <f>+'A) Base RI'!P269</f>
        <v>375398.3</v>
      </c>
      <c r="W269" s="10">
        <f>+'A) Base RI'!Q269</f>
        <v>328301.45</v>
      </c>
      <c r="X269" s="10">
        <f>+'A) Base RI'!S269</f>
        <v>397746.65</v>
      </c>
      <c r="Y269" s="420">
        <f t="shared" si="29"/>
        <v>1101446.3999999999</v>
      </c>
      <c r="Z269" s="10">
        <f>+'A) Base RI'!O269</f>
        <v>18029.7</v>
      </c>
      <c r="AA269" s="10">
        <f>'A) Base RI'!V269</f>
        <v>1542</v>
      </c>
    </row>
    <row r="270" spans="1:27" x14ac:dyDescent="0.25">
      <c r="A270" s="8">
        <f>'A) Base RI'!A270</f>
        <v>5861</v>
      </c>
      <c r="B270" s="32" t="str">
        <f>'A) Base RI'!B270</f>
        <v>Rolle</v>
      </c>
      <c r="C270" s="10">
        <f>'A) Base RI'!C270+'A) Base RI'!D270</f>
        <v>14965569.6</v>
      </c>
      <c r="D270" s="10">
        <f>'A) Base RI'!W270</f>
        <v>-192694.72</v>
      </c>
      <c r="E270" s="406">
        <f>'A) Base RI'!X270</f>
        <v>0</v>
      </c>
      <c r="F270" s="406">
        <f>'A) Base RI'!Y270</f>
        <v>-26213.64</v>
      </c>
      <c r="G270" s="420">
        <f t="shared" si="24"/>
        <v>14746661.239999998</v>
      </c>
      <c r="H270" s="10">
        <f>+'A) Base RI'!E270</f>
        <v>0</v>
      </c>
      <c r="I270" s="10">
        <f>+'A) Base RI'!F270</f>
        <v>0</v>
      </c>
      <c r="J270" s="10">
        <f>+'A) Base RI'!G270+'A) Base RI'!H270+'A) Base RI'!I270</f>
        <v>14734484.901646741</v>
      </c>
      <c r="K270" s="10">
        <f>+'A) Base RI'!J270</f>
        <v>833727.05</v>
      </c>
      <c r="L270" s="10">
        <f>+'A) Base RI'!K270</f>
        <v>1772922.15</v>
      </c>
      <c r="M270" s="10">
        <f>+'A) Base RI'!L270</f>
        <v>307582.84999999998</v>
      </c>
      <c r="N270" s="10">
        <f>+'A) Base RI'!R270</f>
        <v>19576.349999999999</v>
      </c>
      <c r="O270" s="10">
        <f t="shared" si="25"/>
        <v>1751677.05</v>
      </c>
      <c r="P270" s="10">
        <f>+'A) Base RI'!M270</f>
        <v>1751677.05</v>
      </c>
      <c r="Q270" s="428">
        <f>'A) Base RI'!Z270</f>
        <v>1</v>
      </c>
      <c r="R270" s="420">
        <f t="shared" si="26"/>
        <v>34166631.591646738</v>
      </c>
      <c r="S270" s="410">
        <f>+'A) Base RI'!U270</f>
        <v>59.5</v>
      </c>
      <c r="T270" s="420">
        <f t="shared" si="27"/>
        <v>32107371.69164674</v>
      </c>
      <c r="U270" s="420">
        <f t="shared" si="28"/>
        <v>574229.10238061741</v>
      </c>
      <c r="V270" s="10">
        <f>+'A) Base RI'!P270</f>
        <v>496198.5</v>
      </c>
      <c r="W270" s="10">
        <f>+'A) Base RI'!Q270</f>
        <v>566715.9</v>
      </c>
      <c r="X270" s="10">
        <f>+'A) Base RI'!S270</f>
        <v>450711.05</v>
      </c>
      <c r="Y270" s="420">
        <f t="shared" si="29"/>
        <v>1513625.45</v>
      </c>
      <c r="Z270" s="10">
        <f>+'A) Base RI'!O270</f>
        <v>813428.4</v>
      </c>
      <c r="AA270" s="10">
        <f>'A) Base RI'!V270</f>
        <v>6246</v>
      </c>
    </row>
    <row r="271" spans="1:27" x14ac:dyDescent="0.25">
      <c r="A271" s="8">
        <f>'A) Base RI'!A271</f>
        <v>5862</v>
      </c>
      <c r="B271" s="32" t="str">
        <f>'A) Base RI'!B271</f>
        <v>Tartegnin</v>
      </c>
      <c r="C271" s="10">
        <f>'A) Base RI'!C271+'A) Base RI'!D271</f>
        <v>932377.54999999993</v>
      </c>
      <c r="D271" s="10">
        <f>'A) Base RI'!W271</f>
        <v>-7443.52</v>
      </c>
      <c r="E271" s="406">
        <f>'A) Base RI'!X271</f>
        <v>0</v>
      </c>
      <c r="F271" s="406">
        <f>'A) Base RI'!Y271</f>
        <v>-0.82</v>
      </c>
      <c r="G271" s="420">
        <f t="shared" si="24"/>
        <v>924933.21</v>
      </c>
      <c r="H271" s="10">
        <f>+'A) Base RI'!E271</f>
        <v>0</v>
      </c>
      <c r="I271" s="10">
        <f>+'A) Base RI'!F271</f>
        <v>0</v>
      </c>
      <c r="J271" s="10">
        <f>+'A) Base RI'!G271+'A) Base RI'!H271+'A) Base RI'!I271</f>
        <v>7580.7532128961702</v>
      </c>
      <c r="K271" s="10">
        <f>+'A) Base RI'!J271</f>
        <v>0</v>
      </c>
      <c r="L271" s="10">
        <f>+'A) Base RI'!K271</f>
        <v>9167.89</v>
      </c>
      <c r="M271" s="10">
        <f>+'A) Base RI'!L271</f>
        <v>0</v>
      </c>
      <c r="N271" s="10">
        <f>+'A) Base RI'!R271</f>
        <v>0</v>
      </c>
      <c r="O271" s="10">
        <f t="shared" si="25"/>
        <v>49401.4</v>
      </c>
      <c r="P271" s="10">
        <f>+'A) Base RI'!M271</f>
        <v>49401.4</v>
      </c>
      <c r="Q271" s="428">
        <f>'A) Base RI'!Z271</f>
        <v>1</v>
      </c>
      <c r="R271" s="420">
        <f t="shared" si="26"/>
        <v>991083.25321289618</v>
      </c>
      <c r="S271" s="410">
        <f>+'A) Base RI'!U271</f>
        <v>81</v>
      </c>
      <c r="T271" s="420">
        <f t="shared" si="27"/>
        <v>941681.85321289615</v>
      </c>
      <c r="U271" s="420">
        <f t="shared" si="28"/>
        <v>12235.59571867773</v>
      </c>
      <c r="V271" s="10">
        <f>+'A) Base RI'!P271</f>
        <v>22662.3</v>
      </c>
      <c r="W271" s="10">
        <f>+'A) Base RI'!Q271</f>
        <v>21719.5</v>
      </c>
      <c r="X271" s="10">
        <f>+'A) Base RI'!S271</f>
        <v>1414.6</v>
      </c>
      <c r="Y271" s="420">
        <f t="shared" si="29"/>
        <v>45796.4</v>
      </c>
      <c r="Z271" s="10">
        <f>+'A) Base RI'!O271</f>
        <v>5277.5</v>
      </c>
      <c r="AA271" s="10">
        <f>'A) Base RI'!V271</f>
        <v>246</v>
      </c>
    </row>
    <row r="272" spans="1:27" x14ac:dyDescent="0.25">
      <c r="A272" s="8">
        <f>'A) Base RI'!A272</f>
        <v>5863</v>
      </c>
      <c r="B272" s="32" t="str">
        <f>'A) Base RI'!B272</f>
        <v>Vinzel</v>
      </c>
      <c r="C272" s="10">
        <f>'A) Base RI'!C272+'A) Base RI'!D272</f>
        <v>1295612.0900000001</v>
      </c>
      <c r="D272" s="10">
        <f>'A) Base RI'!W272</f>
        <v>-2201.67</v>
      </c>
      <c r="E272" s="406">
        <f>'A) Base RI'!X272</f>
        <v>0</v>
      </c>
      <c r="F272" s="406">
        <f>'A) Base RI'!Y272</f>
        <v>-1014.39</v>
      </c>
      <c r="G272" s="420">
        <f t="shared" si="24"/>
        <v>1292396.0300000003</v>
      </c>
      <c r="H272" s="10">
        <f>+'A) Base RI'!E272</f>
        <v>0</v>
      </c>
      <c r="I272" s="10">
        <f>+'A) Base RI'!F272</f>
        <v>0</v>
      </c>
      <c r="J272" s="10">
        <f>+'A) Base RI'!G272+'A) Base RI'!H272+'A) Base RI'!I272</f>
        <v>20884.208223081376</v>
      </c>
      <c r="K272" s="10">
        <f>+'A) Base RI'!J272</f>
        <v>85746.6</v>
      </c>
      <c r="L272" s="10">
        <f>+'A) Base RI'!K272</f>
        <v>17146.02</v>
      </c>
      <c r="M272" s="10">
        <f>+'A) Base RI'!L272</f>
        <v>2004.9</v>
      </c>
      <c r="N272" s="10">
        <f>+'A) Base RI'!R272</f>
        <v>2753.84</v>
      </c>
      <c r="O272" s="10">
        <f t="shared" si="25"/>
        <v>79509</v>
      </c>
      <c r="P272" s="10">
        <f>+'A) Base RI'!M272</f>
        <v>79509</v>
      </c>
      <c r="Q272" s="428">
        <f>'A) Base RI'!Z272</f>
        <v>1</v>
      </c>
      <c r="R272" s="420">
        <f t="shared" si="26"/>
        <v>1500440.5982230818</v>
      </c>
      <c r="S272" s="410">
        <f>+'A) Base RI'!U272</f>
        <v>67</v>
      </c>
      <c r="T272" s="420">
        <f t="shared" si="27"/>
        <v>1418926.6982230819</v>
      </c>
      <c r="U272" s="420">
        <f t="shared" si="28"/>
        <v>22394.635794374353</v>
      </c>
      <c r="V272" s="10">
        <f>+'A) Base RI'!P272</f>
        <v>0</v>
      </c>
      <c r="W272" s="10">
        <f>+'A) Base RI'!Q272</f>
        <v>32169.7</v>
      </c>
      <c r="X272" s="10">
        <f>+'A) Base RI'!S272</f>
        <v>23668.3</v>
      </c>
      <c r="Y272" s="420">
        <f t="shared" si="29"/>
        <v>55838</v>
      </c>
      <c r="Z272" s="10">
        <f>+'A) Base RI'!O272</f>
        <v>19069.650000000001</v>
      </c>
      <c r="AA272" s="10">
        <f>'A) Base RI'!V272</f>
        <v>358</v>
      </c>
    </row>
    <row r="273" spans="1:27" x14ac:dyDescent="0.25">
      <c r="A273" s="8">
        <f>'A) Base RI'!A273</f>
        <v>5871</v>
      </c>
      <c r="B273" s="32" t="str">
        <f>'A) Base RI'!B273</f>
        <v>L'Abbaye</v>
      </c>
      <c r="C273" s="10">
        <f>'A) Base RI'!C273+'A) Base RI'!D273</f>
        <v>3249751.58</v>
      </c>
      <c r="D273" s="10">
        <f>'A) Base RI'!W273</f>
        <v>-111215.38</v>
      </c>
      <c r="E273" s="406">
        <f>'A) Base RI'!X273</f>
        <v>0</v>
      </c>
      <c r="F273" s="406">
        <f>'A) Base RI'!Y273</f>
        <v>-172.63</v>
      </c>
      <c r="G273" s="420">
        <f t="shared" si="24"/>
        <v>3138363.5700000003</v>
      </c>
      <c r="H273" s="10">
        <f>+'A) Base RI'!E273</f>
        <v>0</v>
      </c>
      <c r="I273" s="10">
        <f>+'A) Base RI'!F273</f>
        <v>0</v>
      </c>
      <c r="J273" s="10">
        <f>+'A) Base RI'!G273+'A) Base RI'!H273+'A) Base RI'!I273</f>
        <v>6889.5274716736267</v>
      </c>
      <c r="K273" s="10">
        <f>+'A) Base RI'!J273</f>
        <v>0</v>
      </c>
      <c r="L273" s="10">
        <f>+'A) Base RI'!K273</f>
        <v>37925.01</v>
      </c>
      <c r="M273" s="10">
        <f>+'A) Base RI'!L273</f>
        <v>2764.6</v>
      </c>
      <c r="N273" s="10">
        <f>+'A) Base RI'!R273</f>
        <v>16658.060000000001</v>
      </c>
      <c r="O273" s="10">
        <f t="shared" si="25"/>
        <v>250978.5</v>
      </c>
      <c r="P273" s="10">
        <f>+'A) Base RI'!M273</f>
        <v>250978.5</v>
      </c>
      <c r="Q273" s="428">
        <f>'A) Base RI'!Z273</f>
        <v>1</v>
      </c>
      <c r="R273" s="420">
        <f t="shared" si="26"/>
        <v>3453579.2674716739</v>
      </c>
      <c r="S273" s="410">
        <f>+'A) Base RI'!U273</f>
        <v>77.31</v>
      </c>
      <c r="T273" s="420">
        <f t="shared" si="27"/>
        <v>3199836.1674716738</v>
      </c>
      <c r="U273" s="420">
        <f t="shared" si="28"/>
        <v>44671.831166364944</v>
      </c>
      <c r="V273" s="10">
        <f>+'A) Base RI'!P273</f>
        <v>12161.85</v>
      </c>
      <c r="W273" s="10">
        <f>+'A) Base RI'!Q273</f>
        <v>69345.3</v>
      </c>
      <c r="X273" s="10">
        <f>+'A) Base RI'!S273</f>
        <v>94301.8</v>
      </c>
      <c r="Y273" s="420">
        <f t="shared" si="29"/>
        <v>175808.95</v>
      </c>
      <c r="Z273" s="10">
        <f>+'A) Base RI'!O273</f>
        <v>637841.15</v>
      </c>
      <c r="AA273" s="10">
        <f>'A) Base RI'!V273</f>
        <v>1481</v>
      </c>
    </row>
    <row r="274" spans="1:27" x14ac:dyDescent="0.25">
      <c r="A274" s="8">
        <f>'A) Base RI'!A274</f>
        <v>5872</v>
      </c>
      <c r="B274" s="32" t="str">
        <f>'A) Base RI'!B274</f>
        <v>Le Chenit</v>
      </c>
      <c r="C274" s="10">
        <f>'A) Base RI'!C274+'A) Base RI'!D274</f>
        <v>8033278.1999999993</v>
      </c>
      <c r="D274" s="10">
        <f>'A) Base RI'!W274</f>
        <v>-142424.26999999999</v>
      </c>
      <c r="E274" s="406">
        <f>'A) Base RI'!X274</f>
        <v>0</v>
      </c>
      <c r="F274" s="406">
        <f>'A) Base RI'!Y274</f>
        <v>-1355.09</v>
      </c>
      <c r="G274" s="420">
        <f t="shared" si="24"/>
        <v>7889498.8399999999</v>
      </c>
      <c r="H274" s="10">
        <f>+'A) Base RI'!E274</f>
        <v>0</v>
      </c>
      <c r="I274" s="10">
        <f>+'A) Base RI'!F274</f>
        <v>0</v>
      </c>
      <c r="J274" s="10">
        <f>+'A) Base RI'!G274+'A) Base RI'!H274+'A) Base RI'!I274</f>
        <v>2501763.1156922937</v>
      </c>
      <c r="K274" s="10">
        <f>+'A) Base RI'!J274</f>
        <v>0</v>
      </c>
      <c r="L274" s="10">
        <f>+'A) Base RI'!K274</f>
        <v>347418.71</v>
      </c>
      <c r="M274" s="10">
        <f>+'A) Base RI'!L274</f>
        <v>35154.800000000003</v>
      </c>
      <c r="N274" s="10">
        <f>+'A) Base RI'!R274</f>
        <v>58176.24</v>
      </c>
      <c r="O274" s="10">
        <f t="shared" si="25"/>
        <v>713475.35714285716</v>
      </c>
      <c r="P274" s="10">
        <f>+'A) Base RI'!M274</f>
        <v>499432.75</v>
      </c>
      <c r="Q274" s="428">
        <f>'A) Base RI'!Z274</f>
        <v>0.7</v>
      </c>
      <c r="R274" s="420">
        <f t="shared" si="26"/>
        <v>11545487.062835151</v>
      </c>
      <c r="S274" s="410">
        <f>+'A) Base RI'!U274</f>
        <v>68.12</v>
      </c>
      <c r="T274" s="420">
        <f t="shared" si="27"/>
        <v>10796856.905692294</v>
      </c>
      <c r="U274" s="420">
        <f t="shared" si="28"/>
        <v>169487.47890245376</v>
      </c>
      <c r="V274" s="10">
        <f>+'A) Base RI'!P274</f>
        <v>507812.95</v>
      </c>
      <c r="W274" s="10">
        <f>+'A) Base RI'!Q274</f>
        <v>292160.55</v>
      </c>
      <c r="X274" s="10">
        <f>+'A) Base RI'!S274</f>
        <v>187702.95</v>
      </c>
      <c r="Y274" s="420">
        <f t="shared" si="29"/>
        <v>987676.45</v>
      </c>
      <c r="Z274" s="10">
        <f>+'A) Base RI'!O274</f>
        <v>6604922.2999999998</v>
      </c>
      <c r="AA274" s="10">
        <f>'A) Base RI'!V274</f>
        <v>4605</v>
      </c>
    </row>
    <row r="275" spans="1:27" x14ac:dyDescent="0.25">
      <c r="A275" s="8">
        <f>'A) Base RI'!A275</f>
        <v>5873</v>
      </c>
      <c r="B275" s="32" t="str">
        <f>'A) Base RI'!B275</f>
        <v>Le Lieu</v>
      </c>
      <c r="C275" s="10">
        <f>'A) Base RI'!C275+'A) Base RI'!D275</f>
        <v>1800582.27</v>
      </c>
      <c r="D275" s="10">
        <f>'A) Base RI'!W275</f>
        <v>-27723.65</v>
      </c>
      <c r="E275" s="406">
        <f>'A) Base RI'!X275</f>
        <v>0</v>
      </c>
      <c r="F275" s="406">
        <f>'A) Base RI'!Y275</f>
        <v>-187.1</v>
      </c>
      <c r="G275" s="420">
        <f t="shared" si="24"/>
        <v>1772671.52</v>
      </c>
      <c r="H275" s="10">
        <f>+'A) Base RI'!E275</f>
        <v>0</v>
      </c>
      <c r="I275" s="10">
        <f>+'A) Base RI'!F275</f>
        <v>0</v>
      </c>
      <c r="J275" s="10">
        <f>+'A) Base RI'!G275+'A) Base RI'!H275+'A) Base RI'!I275</f>
        <v>153593.02296476089</v>
      </c>
      <c r="K275" s="10">
        <f>+'A) Base RI'!J275</f>
        <v>0</v>
      </c>
      <c r="L275" s="10">
        <f>+'A) Base RI'!K275</f>
        <v>27735.759999999998</v>
      </c>
      <c r="M275" s="10">
        <f>+'A) Base RI'!L275</f>
        <v>0</v>
      </c>
      <c r="N275" s="10">
        <f>+'A) Base RI'!R275</f>
        <v>3346.62</v>
      </c>
      <c r="O275" s="10">
        <f t="shared" si="25"/>
        <v>140227.66666666669</v>
      </c>
      <c r="P275" s="10">
        <f>+'A) Base RI'!M275</f>
        <v>84136.6</v>
      </c>
      <c r="Q275" s="428">
        <f>'A) Base RI'!Z275</f>
        <v>0.6</v>
      </c>
      <c r="R275" s="420">
        <f t="shared" si="26"/>
        <v>2097574.5896314275</v>
      </c>
      <c r="S275" s="410">
        <f>+'A) Base RI'!U275</f>
        <v>70</v>
      </c>
      <c r="T275" s="420">
        <f t="shared" si="27"/>
        <v>1957346.922964761</v>
      </c>
      <c r="U275" s="420">
        <f t="shared" si="28"/>
        <v>29965.351280448966</v>
      </c>
      <c r="V275" s="10">
        <f>+'A) Base RI'!P275</f>
        <v>5444.9</v>
      </c>
      <c r="W275" s="10">
        <f>+'A) Base RI'!Q275</f>
        <v>67569.5</v>
      </c>
      <c r="X275" s="10">
        <f>+'A) Base RI'!S275</f>
        <v>55900.25</v>
      </c>
      <c r="Y275" s="420">
        <f t="shared" si="29"/>
        <v>128914.65</v>
      </c>
      <c r="Z275" s="10">
        <f>+'A) Base RI'!O275</f>
        <v>740316.8</v>
      </c>
      <c r="AA275" s="10">
        <f>'A) Base RI'!V275</f>
        <v>875</v>
      </c>
    </row>
    <row r="276" spans="1:27" x14ac:dyDescent="0.25">
      <c r="A276" s="8">
        <f>'A) Base RI'!A276</f>
        <v>5881</v>
      </c>
      <c r="B276" s="32" t="str">
        <f>'A) Base RI'!B276</f>
        <v>Blonay</v>
      </c>
      <c r="C276" s="10">
        <f>'A) Base RI'!C276+'A) Base RI'!D276</f>
        <v>20471184.129999999</v>
      </c>
      <c r="D276" s="10">
        <f>'A) Base RI'!W276</f>
        <v>-352252.89</v>
      </c>
      <c r="E276" s="406">
        <f>'A) Base RI'!X276</f>
        <v>0</v>
      </c>
      <c r="F276" s="406">
        <f>'A) Base RI'!Y276</f>
        <v>-33453.49</v>
      </c>
      <c r="G276" s="420">
        <f t="shared" si="24"/>
        <v>20085477.75</v>
      </c>
      <c r="H276" s="10">
        <f>+'A) Base RI'!E276</f>
        <v>0</v>
      </c>
      <c r="I276" s="10">
        <f>+'A) Base RI'!F276</f>
        <v>0</v>
      </c>
      <c r="J276" s="10">
        <f>+'A) Base RI'!G276+'A) Base RI'!H276+'A) Base RI'!I276</f>
        <v>254286.18824477805</v>
      </c>
      <c r="K276" s="10">
        <f>+'A) Base RI'!J276</f>
        <v>799779.98</v>
      </c>
      <c r="L276" s="10">
        <f>+'A) Base RI'!K276</f>
        <v>176657.79</v>
      </c>
      <c r="M276" s="10">
        <f>+'A) Base RI'!L276</f>
        <v>73316.649999999994</v>
      </c>
      <c r="N276" s="10">
        <f>+'A) Base RI'!R276</f>
        <v>67886.2</v>
      </c>
      <c r="O276" s="10">
        <f t="shared" si="25"/>
        <v>1633917.7</v>
      </c>
      <c r="P276" s="10">
        <f>+'A) Base RI'!M276</f>
        <v>1633917.7</v>
      </c>
      <c r="Q276" s="428">
        <f>'A) Base RI'!Z276</f>
        <v>1</v>
      </c>
      <c r="R276" s="420">
        <f t="shared" si="26"/>
        <v>23091322.258244775</v>
      </c>
      <c r="S276" s="410">
        <f>+'A) Base RI'!U276</f>
        <v>70</v>
      </c>
      <c r="T276" s="420">
        <f t="shared" si="27"/>
        <v>21384087.908244777</v>
      </c>
      <c r="U276" s="420">
        <f t="shared" si="28"/>
        <v>329876.03226063965</v>
      </c>
      <c r="V276" s="10">
        <f>+'A) Base RI'!P276</f>
        <v>120481.9</v>
      </c>
      <c r="W276" s="10">
        <f>+'A) Base RI'!Q276</f>
        <v>713559.3</v>
      </c>
      <c r="X276" s="10">
        <f>+'A) Base RI'!S276</f>
        <v>511661.15</v>
      </c>
      <c r="Y276" s="420">
        <f t="shared" si="29"/>
        <v>1345702.35</v>
      </c>
      <c r="Z276" s="10">
        <f>+'A) Base RI'!O276</f>
        <v>85521.8</v>
      </c>
      <c r="AA276" s="10">
        <f>'A) Base RI'!V276</f>
        <v>6175</v>
      </c>
    </row>
    <row r="277" spans="1:27" x14ac:dyDescent="0.25">
      <c r="A277" s="8">
        <f>'A) Base RI'!A277</f>
        <v>5882</v>
      </c>
      <c r="B277" s="32" t="str">
        <f>'A) Base RI'!B277</f>
        <v>Chardonne</v>
      </c>
      <c r="C277" s="10">
        <f>'A) Base RI'!C277+'A) Base RI'!D277</f>
        <v>9392112.4700000007</v>
      </c>
      <c r="D277" s="10">
        <f>'A) Base RI'!W277</f>
        <v>-111644.38</v>
      </c>
      <c r="E277" s="406">
        <f>'A) Base RI'!X277</f>
        <v>0</v>
      </c>
      <c r="F277" s="406">
        <f>'A) Base RI'!Y277</f>
        <v>-1095.95</v>
      </c>
      <c r="G277" s="420">
        <f t="shared" si="24"/>
        <v>9279372.1400000006</v>
      </c>
      <c r="H277" s="10">
        <f>+'A) Base RI'!E277</f>
        <v>0</v>
      </c>
      <c r="I277" s="10">
        <f>+'A) Base RI'!F277</f>
        <v>0</v>
      </c>
      <c r="J277" s="10">
        <f>+'A) Base RI'!G277+'A) Base RI'!H277+'A) Base RI'!I277</f>
        <v>88676.916140100118</v>
      </c>
      <c r="K277" s="10">
        <f>+'A) Base RI'!J277</f>
        <v>511774.43</v>
      </c>
      <c r="L277" s="10">
        <f>+'A) Base RI'!K277</f>
        <v>127193.7</v>
      </c>
      <c r="M277" s="10">
        <f>+'A) Base RI'!L277</f>
        <v>46019.85</v>
      </c>
      <c r="N277" s="10">
        <f>+'A) Base RI'!R277</f>
        <v>18957.77</v>
      </c>
      <c r="O277" s="10">
        <f t="shared" si="25"/>
        <v>866901.63</v>
      </c>
      <c r="P277" s="10">
        <f>+'A) Base RI'!M277</f>
        <v>866901.63</v>
      </c>
      <c r="Q277" s="428">
        <f>'A) Base RI'!Z277</f>
        <v>1</v>
      </c>
      <c r="R277" s="420">
        <f t="shared" si="26"/>
        <v>10938896.4361401</v>
      </c>
      <c r="S277" s="410">
        <f>+'A) Base RI'!U277</f>
        <v>68</v>
      </c>
      <c r="T277" s="420">
        <f t="shared" si="27"/>
        <v>10025974.956140099</v>
      </c>
      <c r="U277" s="420">
        <f t="shared" si="28"/>
        <v>160866.12406088383</v>
      </c>
      <c r="V277" s="10">
        <f>+'A) Base RI'!P277</f>
        <v>766963</v>
      </c>
      <c r="W277" s="10">
        <f>+'A) Base RI'!Q277</f>
        <v>793085.75</v>
      </c>
      <c r="X277" s="10">
        <f>+'A) Base RI'!S277</f>
        <v>320430.15000000002</v>
      </c>
      <c r="Y277" s="420">
        <f t="shared" si="29"/>
        <v>1880478.9</v>
      </c>
      <c r="Z277" s="10">
        <f>+'A) Base RI'!O277</f>
        <v>16142.55</v>
      </c>
      <c r="AA277" s="10">
        <f>'A) Base RI'!V277</f>
        <v>2941</v>
      </c>
    </row>
    <row r="278" spans="1:27" x14ac:dyDescent="0.25">
      <c r="A278" s="8">
        <f>'A) Base RI'!A278</f>
        <v>5883</v>
      </c>
      <c r="B278" s="32" t="str">
        <f>'A) Base RI'!B278</f>
        <v>Corseaux</v>
      </c>
      <c r="C278" s="10">
        <f>'A) Base RI'!C278+'A) Base RI'!D278</f>
        <v>9384762.7400000002</v>
      </c>
      <c r="D278" s="10">
        <f>'A) Base RI'!W278</f>
        <v>-53773.81</v>
      </c>
      <c r="E278" s="406">
        <f>'A) Base RI'!X278</f>
        <v>0</v>
      </c>
      <c r="F278" s="406">
        <f>'A) Base RI'!Y278</f>
        <v>-3956.04</v>
      </c>
      <c r="G278" s="420">
        <f t="shared" si="24"/>
        <v>9327032.8900000006</v>
      </c>
      <c r="H278" s="10">
        <f>+'A) Base RI'!E278</f>
        <v>0</v>
      </c>
      <c r="I278" s="10">
        <f>+'A) Base RI'!F278</f>
        <v>0</v>
      </c>
      <c r="J278" s="10">
        <f>+'A) Base RI'!G278+'A) Base RI'!H278+'A) Base RI'!I278</f>
        <v>130431.65139950624</v>
      </c>
      <c r="K278" s="10">
        <f>+'A) Base RI'!J278</f>
        <v>415601.75</v>
      </c>
      <c r="L278" s="10">
        <f>+'A) Base RI'!K278</f>
        <v>145077.20000000001</v>
      </c>
      <c r="M278" s="10">
        <f>+'A) Base RI'!L278</f>
        <v>8882.1</v>
      </c>
      <c r="N278" s="10">
        <f>+'A) Base RI'!R278</f>
        <v>27487.69</v>
      </c>
      <c r="O278" s="10">
        <f t="shared" si="25"/>
        <v>655645.55000000005</v>
      </c>
      <c r="P278" s="10">
        <f>+'A) Base RI'!M278</f>
        <v>655645.55000000005</v>
      </c>
      <c r="Q278" s="428">
        <f>'A) Base RI'!Z278</f>
        <v>1</v>
      </c>
      <c r="R278" s="420">
        <f t="shared" si="26"/>
        <v>10710158.831399506</v>
      </c>
      <c r="S278" s="410">
        <f>+'A) Base RI'!U278</f>
        <v>69</v>
      </c>
      <c r="T278" s="420">
        <f t="shared" si="27"/>
        <v>10045631.181399506</v>
      </c>
      <c r="U278" s="420">
        <f t="shared" si="28"/>
        <v>155219.69320868849</v>
      </c>
      <c r="V278" s="10">
        <f>+'A) Base RI'!P278</f>
        <v>3009233.8</v>
      </c>
      <c r="W278" s="10">
        <f>+'A) Base RI'!Q278</f>
        <v>295900</v>
      </c>
      <c r="X278" s="10">
        <f>+'A) Base RI'!S278</f>
        <v>181089.75</v>
      </c>
      <c r="Y278" s="420">
        <f t="shared" si="29"/>
        <v>3486223.55</v>
      </c>
      <c r="Z278" s="10">
        <f>+'A) Base RI'!O278</f>
        <v>3596.1</v>
      </c>
      <c r="AA278" s="10">
        <f>'A) Base RI'!V278</f>
        <v>2282</v>
      </c>
    </row>
    <row r="279" spans="1:27" x14ac:dyDescent="0.25">
      <c r="A279" s="8">
        <f>'A) Base RI'!A279</f>
        <v>5884</v>
      </c>
      <c r="B279" s="32" t="str">
        <f>'A) Base RI'!B279</f>
        <v>Corsier-sur-Vevey</v>
      </c>
      <c r="C279" s="10">
        <f>'A) Base RI'!C279+'A) Base RI'!D279</f>
        <v>6291586.9299999997</v>
      </c>
      <c r="D279" s="10">
        <f>'A) Base RI'!W279</f>
        <v>-592432.42000000004</v>
      </c>
      <c r="E279" s="406">
        <f>'A) Base RI'!X279</f>
        <v>0</v>
      </c>
      <c r="F279" s="406">
        <f>'A) Base RI'!Y279</f>
        <v>-885.85</v>
      </c>
      <c r="G279" s="420">
        <f t="shared" si="24"/>
        <v>5698268.6600000001</v>
      </c>
      <c r="H279" s="10">
        <f>+'A) Base RI'!E279</f>
        <v>0</v>
      </c>
      <c r="I279" s="10">
        <f>+'A) Base RI'!F279</f>
        <v>0</v>
      </c>
      <c r="J279" s="10">
        <f>+'A) Base RI'!G279+'A) Base RI'!H279+'A) Base RI'!I279</f>
        <v>486660.95084977226</v>
      </c>
      <c r="K279" s="10">
        <f>+'A) Base RI'!J279</f>
        <v>21268.15</v>
      </c>
      <c r="L279" s="10">
        <f>+'A) Base RI'!K279</f>
        <v>186131.75</v>
      </c>
      <c r="M279" s="10">
        <f>+'A) Base RI'!L279</f>
        <v>294440.65000000002</v>
      </c>
      <c r="N279" s="10">
        <f>+'A) Base RI'!R279</f>
        <v>32080.6</v>
      </c>
      <c r="O279" s="10">
        <f t="shared" si="25"/>
        <v>787362.08333333337</v>
      </c>
      <c r="P279" s="10">
        <f>+'A) Base RI'!M279</f>
        <v>944834.5</v>
      </c>
      <c r="Q279" s="428">
        <f>'A) Base RI'!Z279</f>
        <v>1.2</v>
      </c>
      <c r="R279" s="420">
        <f t="shared" si="26"/>
        <v>7506212.844183106</v>
      </c>
      <c r="S279" s="410">
        <f>+'A) Base RI'!U279</f>
        <v>66</v>
      </c>
      <c r="T279" s="420">
        <f t="shared" si="27"/>
        <v>6424410.1108497726</v>
      </c>
      <c r="U279" s="420">
        <f t="shared" si="28"/>
        <v>113730.49763913798</v>
      </c>
      <c r="V279" s="10">
        <f>+'A) Base RI'!P279</f>
        <v>42935.4</v>
      </c>
      <c r="W279" s="10">
        <f>+'A) Base RI'!Q279</f>
        <v>394216.65</v>
      </c>
      <c r="X279" s="10">
        <f>+'A) Base RI'!S279</f>
        <v>129340.95</v>
      </c>
      <c r="Y279" s="420">
        <f t="shared" si="29"/>
        <v>566493</v>
      </c>
      <c r="Z279" s="10">
        <f>+'A) Base RI'!O279</f>
        <v>423155.85</v>
      </c>
      <c r="AA279" s="10">
        <f>'A) Base RI'!V279</f>
        <v>3386</v>
      </c>
    </row>
    <row r="280" spans="1:27" x14ac:dyDescent="0.25">
      <c r="A280" s="8">
        <f>'A) Base RI'!A280</f>
        <v>5885</v>
      </c>
      <c r="B280" s="32" t="str">
        <f>'A) Base RI'!B280</f>
        <v>Jongny</v>
      </c>
      <c r="C280" s="10">
        <f>'A) Base RI'!C280+'A) Base RI'!D280</f>
        <v>5421151.4500000002</v>
      </c>
      <c r="D280" s="10">
        <f>'A) Base RI'!W280</f>
        <v>-42324.17</v>
      </c>
      <c r="E280" s="406">
        <f>'A) Base RI'!X280</f>
        <v>0</v>
      </c>
      <c r="F280" s="406">
        <f>'A) Base RI'!Y280</f>
        <v>-1891.18</v>
      </c>
      <c r="G280" s="420">
        <f t="shared" si="24"/>
        <v>5376936.1000000006</v>
      </c>
      <c r="H280" s="10">
        <f>+'A) Base RI'!E280</f>
        <v>0</v>
      </c>
      <c r="I280" s="10">
        <f>+'A) Base RI'!F280</f>
        <v>0</v>
      </c>
      <c r="J280" s="10">
        <f>+'A) Base RI'!G280+'A) Base RI'!H280+'A) Base RI'!I280</f>
        <v>28163.621042767863</v>
      </c>
      <c r="K280" s="10">
        <f>+'A) Base RI'!J280</f>
        <v>153733.65</v>
      </c>
      <c r="L280" s="10">
        <f>+'A) Base RI'!K280</f>
        <v>-40178.120000000003</v>
      </c>
      <c r="M280" s="10">
        <f>+'A) Base RI'!L280</f>
        <v>17671.05</v>
      </c>
      <c r="N280" s="10">
        <f>+'A) Base RI'!R280</f>
        <v>167.64</v>
      </c>
      <c r="O280" s="10">
        <f t="shared" si="25"/>
        <v>391155.20833333337</v>
      </c>
      <c r="P280" s="10">
        <f>+'A) Base RI'!M280</f>
        <v>469386.25</v>
      </c>
      <c r="Q280" s="428">
        <f>'A) Base RI'!Z280</f>
        <v>1.2</v>
      </c>
      <c r="R280" s="420">
        <f t="shared" si="26"/>
        <v>5927649.1493761009</v>
      </c>
      <c r="S280" s="410">
        <f>+'A) Base RI'!U280</f>
        <v>71</v>
      </c>
      <c r="T280" s="420">
        <f t="shared" si="27"/>
        <v>5518822.891042768</v>
      </c>
      <c r="U280" s="420">
        <f t="shared" si="28"/>
        <v>83488.016188395792</v>
      </c>
      <c r="V280" s="10">
        <f>+'A) Base RI'!P280</f>
        <v>258856.3</v>
      </c>
      <c r="W280" s="10">
        <f>+'A) Base RI'!Q280</f>
        <v>463666.6</v>
      </c>
      <c r="X280" s="10">
        <f>+'A) Base RI'!S280</f>
        <v>539128.85</v>
      </c>
      <c r="Y280" s="420">
        <f t="shared" si="29"/>
        <v>1261651.75</v>
      </c>
      <c r="Z280" s="10">
        <f>+'A) Base RI'!O280</f>
        <v>1646.75</v>
      </c>
      <c r="AA280" s="10">
        <f>'A) Base RI'!V280</f>
        <v>1536</v>
      </c>
    </row>
    <row r="281" spans="1:27" x14ac:dyDescent="0.25">
      <c r="A281" s="8">
        <f>'A) Base RI'!A281</f>
        <v>5886</v>
      </c>
      <c r="B281" s="32" t="str">
        <f>'A) Base RI'!B281</f>
        <v>Montreux</v>
      </c>
      <c r="C281" s="10">
        <f>'A) Base RI'!C281+'A) Base RI'!D281</f>
        <v>54622860.590000004</v>
      </c>
      <c r="D281" s="10">
        <f>'A) Base RI'!W281</f>
        <v>-2886213.3</v>
      </c>
      <c r="E281" s="406">
        <f>'A) Base RI'!X281</f>
        <v>0</v>
      </c>
      <c r="F281" s="406">
        <f>'A) Base RI'!Y281</f>
        <v>-65399.87</v>
      </c>
      <c r="G281" s="420">
        <f t="shared" si="24"/>
        <v>51671247.420000009</v>
      </c>
      <c r="H281" s="10">
        <f>+'A) Base RI'!E281</f>
        <v>0</v>
      </c>
      <c r="I281" s="10">
        <f>+'A) Base RI'!F281</f>
        <v>0</v>
      </c>
      <c r="J281" s="10">
        <f>+'A) Base RI'!G281+'A) Base RI'!H281+'A) Base RI'!I281</f>
        <v>3520574.9779873174</v>
      </c>
      <c r="K281" s="10">
        <f>+'A) Base RI'!J281</f>
        <v>4863620.41</v>
      </c>
      <c r="L281" s="10">
        <f>+'A) Base RI'!K281</f>
        <v>2686994.85</v>
      </c>
      <c r="M281" s="10">
        <f>+'A) Base RI'!L281</f>
        <v>717374.25</v>
      </c>
      <c r="N281" s="10">
        <f>+'A) Base RI'!R281</f>
        <v>1080246.4099999999</v>
      </c>
      <c r="O281" s="10">
        <f t="shared" si="25"/>
        <v>6819589.2800000003</v>
      </c>
      <c r="P281" s="10">
        <f>+'A) Base RI'!M281</f>
        <v>10229383.92</v>
      </c>
      <c r="Q281" s="428">
        <f>'A) Base RI'!Z281</f>
        <v>1.5</v>
      </c>
      <c r="R281" s="420">
        <f t="shared" si="26"/>
        <v>71359647.597987324</v>
      </c>
      <c r="S281" s="410">
        <f>+'A) Base RI'!U281</f>
        <v>65</v>
      </c>
      <c r="T281" s="420">
        <f t="shared" si="27"/>
        <v>63822684.06798733</v>
      </c>
      <c r="U281" s="420">
        <f t="shared" si="28"/>
        <v>1097840.7322767281</v>
      </c>
      <c r="V281" s="10">
        <f>+'A) Base RI'!P281</f>
        <v>15820832</v>
      </c>
      <c r="W281" s="10">
        <f>+'A) Base RI'!Q281</f>
        <v>4783529.55</v>
      </c>
      <c r="X281" s="10">
        <f>+'A) Base RI'!S281</f>
        <v>2825487.05</v>
      </c>
      <c r="Y281" s="420">
        <f t="shared" si="29"/>
        <v>23429848.600000001</v>
      </c>
      <c r="Z281" s="10">
        <f>+'A) Base RI'!O281</f>
        <v>935037.7</v>
      </c>
      <c r="AA281" s="10">
        <f>'A) Base RI'!V281</f>
        <v>26006</v>
      </c>
    </row>
    <row r="282" spans="1:27" x14ac:dyDescent="0.25">
      <c r="A282" s="8">
        <f>'A) Base RI'!A282</f>
        <v>5888</v>
      </c>
      <c r="B282" s="32" t="str">
        <f>'A) Base RI'!B282</f>
        <v>Saint-Légier-La Chiésaz</v>
      </c>
      <c r="C282" s="10">
        <f>'A) Base RI'!C282+'A) Base RI'!D282</f>
        <v>19929861.039999999</v>
      </c>
      <c r="D282" s="10">
        <f>'A) Base RI'!W282</f>
        <v>-381108.72</v>
      </c>
      <c r="E282" s="406">
        <f>'A) Base RI'!X282</f>
        <v>0</v>
      </c>
      <c r="F282" s="406">
        <f>'A) Base RI'!Y282</f>
        <v>-24183.64</v>
      </c>
      <c r="G282" s="420">
        <f t="shared" si="24"/>
        <v>19524568.68</v>
      </c>
      <c r="H282" s="10">
        <f>+'A) Base RI'!E282</f>
        <v>0</v>
      </c>
      <c r="I282" s="10">
        <f>+'A) Base RI'!F282</f>
        <v>0</v>
      </c>
      <c r="J282" s="10">
        <f>+'A) Base RI'!G282+'A) Base RI'!H282+'A) Base RI'!I282</f>
        <v>539796.78948570916</v>
      </c>
      <c r="K282" s="10">
        <f>+'A) Base RI'!J282</f>
        <v>336888.7</v>
      </c>
      <c r="L282" s="10">
        <f>+'A) Base RI'!K282</f>
        <v>14283.69</v>
      </c>
      <c r="M282" s="10">
        <f>+'A) Base RI'!L282</f>
        <v>57640.4</v>
      </c>
      <c r="N282" s="10">
        <f>+'A) Base RI'!R282</f>
        <v>27224.98</v>
      </c>
      <c r="O282" s="10">
        <f t="shared" si="25"/>
        <v>1501546.625</v>
      </c>
      <c r="P282" s="10">
        <f>+'A) Base RI'!M282</f>
        <v>1801855.95</v>
      </c>
      <c r="Q282" s="428">
        <f>'A) Base RI'!Z282</f>
        <v>1.2</v>
      </c>
      <c r="R282" s="420">
        <f t="shared" si="26"/>
        <v>22001949.864485707</v>
      </c>
      <c r="S282" s="410">
        <f>+'A) Base RI'!U282</f>
        <v>70</v>
      </c>
      <c r="T282" s="420">
        <f t="shared" si="27"/>
        <v>20442762.839485709</v>
      </c>
      <c r="U282" s="420">
        <f t="shared" si="28"/>
        <v>314313.56949265295</v>
      </c>
      <c r="V282" s="10">
        <f>+'A) Base RI'!P282</f>
        <v>237679.4</v>
      </c>
      <c r="W282" s="10">
        <f>+'A) Base RI'!Q282</f>
        <v>1099647.05</v>
      </c>
      <c r="X282" s="10">
        <f>+'A) Base RI'!S282</f>
        <v>505743</v>
      </c>
      <c r="Y282" s="420">
        <f t="shared" si="29"/>
        <v>1843069.45</v>
      </c>
      <c r="Z282" s="10">
        <f>+'A) Base RI'!O282</f>
        <v>196987.95</v>
      </c>
      <c r="AA282" s="10">
        <f>'A) Base RI'!V282</f>
        <v>5185</v>
      </c>
    </row>
    <row r="283" spans="1:27" x14ac:dyDescent="0.25">
      <c r="A283" s="8">
        <f>'A) Base RI'!A283</f>
        <v>5889</v>
      </c>
      <c r="B283" s="32" t="str">
        <f>'A) Base RI'!B283</f>
        <v>La Tour-de-Peilz</v>
      </c>
      <c r="C283" s="10">
        <f>'A) Base RI'!C283+'A) Base RI'!D283</f>
        <v>29642254.5</v>
      </c>
      <c r="D283" s="10">
        <f>'A) Base RI'!W283</f>
        <v>-462818.63</v>
      </c>
      <c r="E283" s="406">
        <f>'A) Base RI'!X283</f>
        <v>0</v>
      </c>
      <c r="F283" s="406">
        <f>'A) Base RI'!Y283</f>
        <v>-19719.11</v>
      </c>
      <c r="G283" s="420">
        <f t="shared" si="24"/>
        <v>29159716.760000002</v>
      </c>
      <c r="H283" s="10">
        <f>+'A) Base RI'!E283</f>
        <v>0</v>
      </c>
      <c r="I283" s="10">
        <f>+'A) Base RI'!F283</f>
        <v>0</v>
      </c>
      <c r="J283" s="10">
        <f>+'A) Base RI'!G283+'A) Base RI'!H283+'A) Base RI'!I283</f>
        <v>7457620.8785911137</v>
      </c>
      <c r="K283" s="10">
        <f>+'A) Base RI'!J283</f>
        <v>791446.15</v>
      </c>
      <c r="L283" s="10">
        <f>+'A) Base RI'!K283</f>
        <v>952948.39</v>
      </c>
      <c r="M283" s="10">
        <f>+'A) Base RI'!L283</f>
        <v>139674.95000000001</v>
      </c>
      <c r="N283" s="10">
        <f>+'A) Base RI'!R283</f>
        <v>59764.22</v>
      </c>
      <c r="O283" s="10">
        <f t="shared" si="25"/>
        <v>2298947.2500000005</v>
      </c>
      <c r="P283" s="10">
        <f>+'A) Base RI'!M283</f>
        <v>2758736.7</v>
      </c>
      <c r="Q283" s="428">
        <f>'A) Base RI'!Z283</f>
        <v>1.2</v>
      </c>
      <c r="R283" s="420">
        <f t="shared" si="26"/>
        <v>40860118.598591119</v>
      </c>
      <c r="S283" s="410">
        <f>+'A) Base RI'!U283</f>
        <v>64</v>
      </c>
      <c r="T283" s="420">
        <f t="shared" si="27"/>
        <v>38421496.398591116</v>
      </c>
      <c r="U283" s="420">
        <f t="shared" si="28"/>
        <v>638439.35310298624</v>
      </c>
      <c r="V283" s="10">
        <f>+'A) Base RI'!P283</f>
        <v>3865016.2</v>
      </c>
      <c r="W283" s="10">
        <f>+'A) Base RI'!Q283</f>
        <v>2168065.25</v>
      </c>
      <c r="X283" s="10">
        <f>+'A) Base RI'!S283</f>
        <v>2106081</v>
      </c>
      <c r="Y283" s="420">
        <f t="shared" si="29"/>
        <v>8139162.4500000002</v>
      </c>
      <c r="Z283" s="10">
        <f>+'A) Base RI'!O283</f>
        <v>131618.15</v>
      </c>
      <c r="AA283" s="10">
        <f>'A) Base RI'!V283</f>
        <v>11871</v>
      </c>
    </row>
    <row r="284" spans="1:27" x14ac:dyDescent="0.25">
      <c r="A284" s="8">
        <f>'A) Base RI'!A284</f>
        <v>5890</v>
      </c>
      <c r="B284" s="32" t="str">
        <f>'A) Base RI'!B284</f>
        <v>Vevey</v>
      </c>
      <c r="C284" s="10">
        <f>'A) Base RI'!C284+'A) Base RI'!D284</f>
        <v>44180062.109999999</v>
      </c>
      <c r="D284" s="10">
        <f>'A) Base RI'!W284</f>
        <v>-1082533.03</v>
      </c>
      <c r="E284" s="406">
        <f>'A) Base RI'!X284</f>
        <v>0</v>
      </c>
      <c r="F284" s="406">
        <f>'A) Base RI'!Y284</f>
        <v>-39020.400000000001</v>
      </c>
      <c r="G284" s="420">
        <f t="shared" si="24"/>
        <v>43058508.68</v>
      </c>
      <c r="H284" s="10">
        <f>+'A) Base RI'!E284</f>
        <v>0</v>
      </c>
      <c r="I284" s="10">
        <f>+'A) Base RI'!F284</f>
        <v>0</v>
      </c>
      <c r="J284" s="10">
        <f>+'A) Base RI'!G284+'A) Base RI'!H284+'A) Base RI'!I284</f>
        <v>18627083.480303921</v>
      </c>
      <c r="K284" s="10">
        <f>+'A) Base RI'!J284</f>
        <v>440123.1</v>
      </c>
      <c r="L284" s="10">
        <f>+'A) Base RI'!K284</f>
        <v>3161407.99</v>
      </c>
      <c r="M284" s="10">
        <f>+'A) Base RI'!L284</f>
        <v>510911.1</v>
      </c>
      <c r="N284" s="10">
        <f>+'A) Base RI'!R284</f>
        <v>209552.93</v>
      </c>
      <c r="O284" s="10">
        <f t="shared" si="25"/>
        <v>3418230.8000000003</v>
      </c>
      <c r="P284" s="10">
        <f>+'A) Base RI'!M284</f>
        <v>5127346.2</v>
      </c>
      <c r="Q284" s="428">
        <f>'A) Base RI'!Z284</f>
        <v>1.5</v>
      </c>
      <c r="R284" s="420">
        <f t="shared" si="26"/>
        <v>69425818.080303922</v>
      </c>
      <c r="S284" s="410">
        <f>+'A) Base RI'!U284</f>
        <v>76</v>
      </c>
      <c r="T284" s="420">
        <f t="shared" si="27"/>
        <v>65496676.180303924</v>
      </c>
      <c r="U284" s="420">
        <f t="shared" si="28"/>
        <v>913497.60631978849</v>
      </c>
      <c r="V284" s="10">
        <f>+'A) Base RI'!P284</f>
        <v>3910879.1</v>
      </c>
      <c r="W284" s="10">
        <f>+'A) Base RI'!Q284</f>
        <v>1589173.55</v>
      </c>
      <c r="X284" s="10">
        <f>+'A) Base RI'!S284</f>
        <v>1617245.6</v>
      </c>
      <c r="Y284" s="420">
        <f t="shared" si="29"/>
        <v>7117298.25</v>
      </c>
      <c r="Z284" s="10">
        <f>+'A) Base RI'!O284</f>
        <v>845604.05</v>
      </c>
      <c r="AA284" s="10">
        <f>'A) Base RI'!V284</f>
        <v>19904</v>
      </c>
    </row>
    <row r="285" spans="1:27" x14ac:dyDescent="0.25">
      <c r="A285" s="8">
        <f>'A) Base RI'!A285</f>
        <v>5891</v>
      </c>
      <c r="B285" s="32" t="str">
        <f>'A) Base RI'!B285</f>
        <v>Veytaux</v>
      </c>
      <c r="C285" s="10">
        <f>'A) Base RI'!C285+'A) Base RI'!D285</f>
        <v>2158216.75</v>
      </c>
      <c r="D285" s="10">
        <f>'A) Base RI'!W285</f>
        <v>-35511.449999999997</v>
      </c>
      <c r="E285" s="406">
        <f>'A) Base RI'!X285</f>
        <v>0</v>
      </c>
      <c r="F285" s="406">
        <f>'A) Base RI'!Y285</f>
        <v>-648.39</v>
      </c>
      <c r="G285" s="420">
        <f t="shared" si="24"/>
        <v>2122056.9099999997</v>
      </c>
      <c r="H285" s="10">
        <f>+'A) Base RI'!E285</f>
        <v>0</v>
      </c>
      <c r="I285" s="10">
        <f>+'A) Base RI'!F285</f>
        <v>0</v>
      </c>
      <c r="J285" s="10">
        <f>+'A) Base RI'!G285+'A) Base RI'!H285+'A) Base RI'!I285</f>
        <v>48194.7824048818</v>
      </c>
      <c r="K285" s="10">
        <f>+'A) Base RI'!J285</f>
        <v>57848.4</v>
      </c>
      <c r="L285" s="10">
        <f>+'A) Base RI'!K285</f>
        <v>59177.27</v>
      </c>
      <c r="M285" s="10">
        <f>+'A) Base RI'!L285</f>
        <v>196.20000000000101</v>
      </c>
      <c r="N285" s="10">
        <f>+'A) Base RI'!R285</f>
        <v>-2162.46</v>
      </c>
      <c r="O285" s="10">
        <f t="shared" si="25"/>
        <v>279165</v>
      </c>
      <c r="P285" s="10">
        <f>+'A) Base RI'!M285</f>
        <v>418747.5</v>
      </c>
      <c r="Q285" s="428">
        <f>'A) Base RI'!Z285</f>
        <v>1.5</v>
      </c>
      <c r="R285" s="420">
        <f t="shared" si="26"/>
        <v>2564476.1024048817</v>
      </c>
      <c r="S285" s="410">
        <f>+'A) Base RI'!U285</f>
        <v>71</v>
      </c>
      <c r="T285" s="420">
        <f t="shared" si="27"/>
        <v>2285114.9024048815</v>
      </c>
      <c r="U285" s="420">
        <f t="shared" si="28"/>
        <v>36119.381724012419</v>
      </c>
      <c r="V285" s="10">
        <f>+'A) Base RI'!P285</f>
        <v>517592.4</v>
      </c>
      <c r="W285" s="10">
        <f>+'A) Base RI'!Q285</f>
        <v>225963.55</v>
      </c>
      <c r="X285" s="10">
        <f>+'A) Base RI'!S285</f>
        <v>125038.45</v>
      </c>
      <c r="Y285" s="420">
        <f t="shared" si="29"/>
        <v>868594.39999999991</v>
      </c>
      <c r="Z285" s="10">
        <f>+'A) Base RI'!O285</f>
        <v>0</v>
      </c>
      <c r="AA285" s="10">
        <f>'A) Base RI'!V285</f>
        <v>884</v>
      </c>
    </row>
    <row r="286" spans="1:27" x14ac:dyDescent="0.25">
      <c r="A286" s="8">
        <f>'A) Base RI'!A286</f>
        <v>5902</v>
      </c>
      <c r="B286" s="32" t="str">
        <f>'A) Base RI'!B286</f>
        <v>Belmont-sur-Yverdon</v>
      </c>
      <c r="C286" s="10">
        <f>'A) Base RI'!C286+'A) Base RI'!D286</f>
        <v>727770.96000000008</v>
      </c>
      <c r="D286" s="10">
        <f>'A) Base RI'!W286</f>
        <v>-2697.85</v>
      </c>
      <c r="E286" s="406">
        <f>'A) Base RI'!X286</f>
        <v>0</v>
      </c>
      <c r="F286" s="406">
        <f>'A) Base RI'!Y286</f>
        <v>0</v>
      </c>
      <c r="G286" s="420">
        <f t="shared" si="24"/>
        <v>725073.1100000001</v>
      </c>
      <c r="H286" s="10">
        <f>+'A) Base RI'!E286</f>
        <v>0</v>
      </c>
      <c r="I286" s="10">
        <f>+'A) Base RI'!F286</f>
        <v>0</v>
      </c>
      <c r="J286" s="10">
        <f>+'A) Base RI'!G286+'A) Base RI'!H286+'A) Base RI'!I286</f>
        <v>1303.3684251216339</v>
      </c>
      <c r="K286" s="10">
        <f>+'A) Base RI'!J286</f>
        <v>0</v>
      </c>
      <c r="L286" s="10">
        <f>+'A) Base RI'!K286</f>
        <v>295.73</v>
      </c>
      <c r="M286" s="10">
        <f>+'A) Base RI'!L286</f>
        <v>0</v>
      </c>
      <c r="N286" s="10">
        <f>+'A) Base RI'!R286</f>
        <v>1345.1</v>
      </c>
      <c r="O286" s="10">
        <f t="shared" si="25"/>
        <v>55676.9</v>
      </c>
      <c r="P286" s="10">
        <f>+'A) Base RI'!M286</f>
        <v>55676.9</v>
      </c>
      <c r="Q286" s="428">
        <f>'A) Base RI'!Z286</f>
        <v>1</v>
      </c>
      <c r="R286" s="420">
        <f t="shared" si="26"/>
        <v>783694.20842512173</v>
      </c>
      <c r="S286" s="410">
        <f>+'A) Base RI'!U286</f>
        <v>76</v>
      </c>
      <c r="T286" s="420">
        <f t="shared" si="27"/>
        <v>728017.30842512171</v>
      </c>
      <c r="U286" s="420">
        <f t="shared" si="28"/>
        <v>10311.765900330549</v>
      </c>
      <c r="V286" s="10">
        <f>+'A) Base RI'!P286</f>
        <v>0</v>
      </c>
      <c r="W286" s="10">
        <f>+'A) Base RI'!Q286</f>
        <v>1273.9000000000001</v>
      </c>
      <c r="X286" s="10">
        <f>+'A) Base RI'!S286</f>
        <v>0</v>
      </c>
      <c r="Y286" s="420">
        <f t="shared" si="29"/>
        <v>1273.9000000000001</v>
      </c>
      <c r="Z286" s="10">
        <f>+'A) Base RI'!O286</f>
        <v>0</v>
      </c>
      <c r="AA286" s="10">
        <f>'A) Base RI'!V286</f>
        <v>384</v>
      </c>
    </row>
    <row r="287" spans="1:27" x14ac:dyDescent="0.25">
      <c r="A287" s="8">
        <f>'A) Base RI'!A287</f>
        <v>5903</v>
      </c>
      <c r="B287" s="32" t="str">
        <f>'A) Base RI'!B287</f>
        <v>Bioley-Magnoux</v>
      </c>
      <c r="C287" s="10">
        <f>'A) Base RI'!C287+'A) Base RI'!D287</f>
        <v>362505.46</v>
      </c>
      <c r="D287" s="10">
        <f>'A) Base RI'!W287</f>
        <v>-4088.83</v>
      </c>
      <c r="E287" s="406">
        <f>'A) Base RI'!X287</f>
        <v>0</v>
      </c>
      <c r="F287" s="406">
        <f>'A) Base RI'!Y287</f>
        <v>0</v>
      </c>
      <c r="G287" s="420">
        <f t="shared" si="24"/>
        <v>358416.63</v>
      </c>
      <c r="H287" s="10">
        <f>+'A) Base RI'!E287</f>
        <v>0</v>
      </c>
      <c r="I287" s="10">
        <f>+'A) Base RI'!F287</f>
        <v>0</v>
      </c>
      <c r="J287" s="10">
        <f>+'A) Base RI'!G287+'A) Base RI'!H287+'A) Base RI'!I287</f>
        <v>4843.3001063801557</v>
      </c>
      <c r="K287" s="10">
        <f>+'A) Base RI'!J287</f>
        <v>0</v>
      </c>
      <c r="L287" s="10">
        <f>+'A) Base RI'!K287</f>
        <v>2546.4</v>
      </c>
      <c r="M287" s="10">
        <f>+'A) Base RI'!L287</f>
        <v>0</v>
      </c>
      <c r="N287" s="10">
        <f>+'A) Base RI'!R287</f>
        <v>0</v>
      </c>
      <c r="O287" s="10">
        <f t="shared" si="25"/>
        <v>36641.071428571428</v>
      </c>
      <c r="P287" s="10">
        <f>+'A) Base RI'!M287</f>
        <v>25648.75</v>
      </c>
      <c r="Q287" s="428">
        <f>'A) Base RI'!Z287</f>
        <v>0.7</v>
      </c>
      <c r="R287" s="420">
        <f t="shared" si="26"/>
        <v>402447.40153495158</v>
      </c>
      <c r="S287" s="410">
        <f>+'A) Base RI'!U287</f>
        <v>74</v>
      </c>
      <c r="T287" s="420">
        <f t="shared" si="27"/>
        <v>365806.33010638016</v>
      </c>
      <c r="U287" s="420">
        <f t="shared" si="28"/>
        <v>5438.478399120967</v>
      </c>
      <c r="V287" s="10">
        <f>+'A) Base RI'!P287</f>
        <v>269.89999999999998</v>
      </c>
      <c r="W287" s="10">
        <f>+'A) Base RI'!Q287</f>
        <v>5115</v>
      </c>
      <c r="X287" s="10">
        <f>+'A) Base RI'!S287</f>
        <v>9172.6</v>
      </c>
      <c r="Y287" s="420">
        <f t="shared" si="29"/>
        <v>14557.5</v>
      </c>
      <c r="Z287" s="10">
        <f>+'A) Base RI'!O287</f>
        <v>28151.35</v>
      </c>
      <c r="AA287" s="10">
        <f>'A) Base RI'!V287</f>
        <v>225</v>
      </c>
    </row>
    <row r="288" spans="1:27" x14ac:dyDescent="0.25">
      <c r="A288" s="8">
        <f>'A) Base RI'!A288</f>
        <v>5904</v>
      </c>
      <c r="B288" s="32" t="str">
        <f>'A) Base RI'!B288</f>
        <v>Chamblon</v>
      </c>
      <c r="C288" s="10">
        <f>'A) Base RI'!C288+'A) Base RI'!D288</f>
        <v>1193700.79</v>
      </c>
      <c r="D288" s="10">
        <f>'A) Base RI'!W288</f>
        <v>-21124.51</v>
      </c>
      <c r="E288" s="406">
        <f>'A) Base RI'!X288</f>
        <v>0</v>
      </c>
      <c r="F288" s="406">
        <f>'A) Base RI'!Y288</f>
        <v>-4.78</v>
      </c>
      <c r="G288" s="420">
        <f t="shared" si="24"/>
        <v>1172571.5</v>
      </c>
      <c r="H288" s="10">
        <f>+'A) Base RI'!E288</f>
        <v>0</v>
      </c>
      <c r="I288" s="10">
        <f>+'A) Base RI'!F288</f>
        <v>0</v>
      </c>
      <c r="J288" s="10">
        <f>+'A) Base RI'!G288+'A) Base RI'!H288+'A) Base RI'!I288</f>
        <v>6679.7887201372305</v>
      </c>
      <c r="K288" s="10">
        <f>+'A) Base RI'!J288</f>
        <v>0</v>
      </c>
      <c r="L288" s="10">
        <f>+'A) Base RI'!K288</f>
        <v>20344.86</v>
      </c>
      <c r="M288" s="10">
        <f>+'A) Base RI'!L288</f>
        <v>3183.15</v>
      </c>
      <c r="N288" s="10">
        <f>+'A) Base RI'!R288</f>
        <v>21306.61</v>
      </c>
      <c r="O288" s="10">
        <f t="shared" si="25"/>
        <v>94251</v>
      </c>
      <c r="P288" s="10">
        <f>+'A) Base RI'!M288</f>
        <v>94251</v>
      </c>
      <c r="Q288" s="428">
        <f>'A) Base RI'!Z288</f>
        <v>1</v>
      </c>
      <c r="R288" s="420">
        <f t="shared" si="26"/>
        <v>1318336.9087201373</v>
      </c>
      <c r="S288" s="410">
        <f>+'A) Base RI'!U288</f>
        <v>66</v>
      </c>
      <c r="T288" s="420">
        <f t="shared" si="27"/>
        <v>1220902.7587201374</v>
      </c>
      <c r="U288" s="420">
        <f t="shared" si="28"/>
        <v>19974.80164727481</v>
      </c>
      <c r="V288" s="10">
        <f>+'A) Base RI'!P288</f>
        <v>0</v>
      </c>
      <c r="W288" s="10">
        <f>+'A) Base RI'!Q288</f>
        <v>26418.6</v>
      </c>
      <c r="X288" s="10">
        <f>+'A) Base RI'!S288</f>
        <v>23246.1</v>
      </c>
      <c r="Y288" s="420">
        <f t="shared" si="29"/>
        <v>49664.7</v>
      </c>
      <c r="Z288" s="10">
        <f>+'A) Base RI'!O288</f>
        <v>32246.1</v>
      </c>
      <c r="AA288" s="10">
        <f>'A) Base RI'!V288</f>
        <v>542</v>
      </c>
    </row>
    <row r="289" spans="1:27" x14ac:dyDescent="0.25">
      <c r="A289" s="8">
        <f>'A) Base RI'!A289</f>
        <v>5905</v>
      </c>
      <c r="B289" s="32" t="str">
        <f>'A) Base RI'!B289</f>
        <v>Champvent</v>
      </c>
      <c r="C289" s="10">
        <f>'A) Base RI'!C289+'A) Base RI'!D289</f>
        <v>1429744.1700000002</v>
      </c>
      <c r="D289" s="10">
        <f>'A) Base RI'!W289</f>
        <v>-25301.32</v>
      </c>
      <c r="E289" s="406">
        <f>'A) Base RI'!X289</f>
        <v>0</v>
      </c>
      <c r="F289" s="406">
        <f>'A) Base RI'!Y289</f>
        <v>0</v>
      </c>
      <c r="G289" s="420">
        <f t="shared" si="24"/>
        <v>1404442.85</v>
      </c>
      <c r="H289" s="10">
        <f>+'A) Base RI'!E289</f>
        <v>0</v>
      </c>
      <c r="I289" s="10">
        <f>+'A) Base RI'!F289</f>
        <v>0</v>
      </c>
      <c r="J289" s="10">
        <f>+'A) Base RI'!G289+'A) Base RI'!H289+'A) Base RI'!I289</f>
        <v>115857.60863519025</v>
      </c>
      <c r="K289" s="10">
        <f>+'A) Base RI'!J289</f>
        <v>0</v>
      </c>
      <c r="L289" s="10">
        <f>+'A) Base RI'!K289</f>
        <v>10164.43</v>
      </c>
      <c r="M289" s="10">
        <f>+'A) Base RI'!L289</f>
        <v>2957.7</v>
      </c>
      <c r="N289" s="10">
        <f>+'A) Base RI'!R289</f>
        <v>0</v>
      </c>
      <c r="O289" s="10">
        <f t="shared" si="25"/>
        <v>96615</v>
      </c>
      <c r="P289" s="10">
        <f>+'A) Base RI'!M289</f>
        <v>96615</v>
      </c>
      <c r="Q289" s="428">
        <f>'A) Base RI'!Z289</f>
        <v>1</v>
      </c>
      <c r="R289" s="420">
        <f t="shared" si="26"/>
        <v>1630037.5886351902</v>
      </c>
      <c r="S289" s="410">
        <f>+'A) Base RI'!U289</f>
        <v>71</v>
      </c>
      <c r="T289" s="420">
        <f t="shared" si="27"/>
        <v>1530464.8886351902</v>
      </c>
      <c r="U289" s="420">
        <f t="shared" si="28"/>
        <v>22958.275896270283</v>
      </c>
      <c r="V289" s="10">
        <f>+'A) Base RI'!P289</f>
        <v>2639.8</v>
      </c>
      <c r="W289" s="10">
        <f>+'A) Base RI'!Q289</f>
        <v>5876</v>
      </c>
      <c r="X289" s="10">
        <f>+'A) Base RI'!S289</f>
        <v>5468.75</v>
      </c>
      <c r="Y289" s="420">
        <f t="shared" si="29"/>
        <v>13984.55</v>
      </c>
      <c r="Z289" s="10">
        <f>+'A) Base RI'!O289</f>
        <v>111915.7</v>
      </c>
      <c r="AA289" s="10">
        <f>'A) Base RI'!V289</f>
        <v>685</v>
      </c>
    </row>
    <row r="290" spans="1:27" x14ac:dyDescent="0.25">
      <c r="A290" s="8">
        <f>'A) Base RI'!A290</f>
        <v>5907</v>
      </c>
      <c r="B290" s="32" t="str">
        <f>'A) Base RI'!B290</f>
        <v>Chavannes-le-Chêne</v>
      </c>
      <c r="C290" s="10">
        <f>'A) Base RI'!C290+'A) Base RI'!D290</f>
        <v>587042.80999999994</v>
      </c>
      <c r="D290" s="10">
        <f>'A) Base RI'!W290</f>
        <v>-15172.28</v>
      </c>
      <c r="E290" s="406">
        <f>'A) Base RI'!X290</f>
        <v>0</v>
      </c>
      <c r="F290" s="406">
        <f>'A) Base RI'!Y290</f>
        <v>-358.31</v>
      </c>
      <c r="G290" s="420">
        <f t="shared" si="24"/>
        <v>571512.21999999986</v>
      </c>
      <c r="H290" s="10">
        <f>+'A) Base RI'!E290</f>
        <v>0</v>
      </c>
      <c r="I290" s="10">
        <f>+'A) Base RI'!F290</f>
        <v>1850</v>
      </c>
      <c r="J290" s="10">
        <f>+'A) Base RI'!G290+'A) Base RI'!H290+'A) Base RI'!I290</f>
        <v>2031.5306734955466</v>
      </c>
      <c r="K290" s="10">
        <f>+'A) Base RI'!J290</f>
        <v>0</v>
      </c>
      <c r="L290" s="10">
        <f>+'A) Base RI'!K290</f>
        <v>12081.91</v>
      </c>
      <c r="M290" s="10">
        <f>+'A) Base RI'!L290</f>
        <v>490</v>
      </c>
      <c r="N290" s="10">
        <f>+'A) Base RI'!R290</f>
        <v>0</v>
      </c>
      <c r="O290" s="10">
        <f t="shared" si="25"/>
        <v>41444.699999999997</v>
      </c>
      <c r="P290" s="10">
        <f>+'A) Base RI'!M290</f>
        <v>41444.699999999997</v>
      </c>
      <c r="Q290" s="428">
        <f>'A) Base RI'!Z290</f>
        <v>1</v>
      </c>
      <c r="R290" s="420">
        <f t="shared" si="26"/>
        <v>629410.36067349534</v>
      </c>
      <c r="S290" s="410">
        <f>+'A) Base RI'!U290</f>
        <v>78</v>
      </c>
      <c r="T290" s="420">
        <f t="shared" si="27"/>
        <v>585625.66067349538</v>
      </c>
      <c r="U290" s="420">
        <f t="shared" si="28"/>
        <v>8069.3635983781451</v>
      </c>
      <c r="V290" s="10">
        <f>+'A) Base RI'!P290</f>
        <v>0</v>
      </c>
      <c r="W290" s="10">
        <f>+'A) Base RI'!Q290</f>
        <v>2282.5</v>
      </c>
      <c r="X290" s="10">
        <f>+'A) Base RI'!S290</f>
        <v>8478.15</v>
      </c>
      <c r="Y290" s="420">
        <f t="shared" si="29"/>
        <v>10760.65</v>
      </c>
      <c r="Z290" s="10">
        <f>+'A) Base RI'!O290</f>
        <v>9747.75</v>
      </c>
      <c r="AA290" s="10">
        <f>'A) Base RI'!V290</f>
        <v>308</v>
      </c>
    </row>
    <row r="291" spans="1:27" x14ac:dyDescent="0.25">
      <c r="A291" s="8">
        <f>'A) Base RI'!A291</f>
        <v>5908</v>
      </c>
      <c r="B291" s="32" t="str">
        <f>'A) Base RI'!B291</f>
        <v>Chêne-Pâquier</v>
      </c>
      <c r="C291" s="10">
        <f>'A) Base RI'!C291+'A) Base RI'!D291</f>
        <v>240951.63999999998</v>
      </c>
      <c r="D291" s="10">
        <f>'A) Base RI'!W291</f>
        <v>-13121.61</v>
      </c>
      <c r="E291" s="406">
        <f>'A) Base RI'!X291</f>
        <v>0</v>
      </c>
      <c r="F291" s="406">
        <f>'A) Base RI'!Y291</f>
        <v>0</v>
      </c>
      <c r="G291" s="420">
        <f t="shared" si="24"/>
        <v>227830.02999999997</v>
      </c>
      <c r="H291" s="10">
        <f>+'A) Base RI'!E291</f>
        <v>0</v>
      </c>
      <c r="I291" s="10">
        <f>+'A) Base RI'!F291</f>
        <v>0</v>
      </c>
      <c r="J291" s="10">
        <f>+'A) Base RI'!G291+'A) Base RI'!H291+'A) Base RI'!I291</f>
        <v>-536.21507345542364</v>
      </c>
      <c r="K291" s="10">
        <f>+'A) Base RI'!J291</f>
        <v>0</v>
      </c>
      <c r="L291" s="10">
        <f>+'A) Base RI'!K291</f>
        <v>5196.34</v>
      </c>
      <c r="M291" s="10">
        <f>+'A) Base RI'!L291</f>
        <v>49.5</v>
      </c>
      <c r="N291" s="10">
        <f>+'A) Base RI'!R291</f>
        <v>0</v>
      </c>
      <c r="O291" s="10">
        <f t="shared" si="25"/>
        <v>16348</v>
      </c>
      <c r="P291" s="10">
        <f>+'A) Base RI'!M291</f>
        <v>16348</v>
      </c>
      <c r="Q291" s="428">
        <f>'A) Base RI'!Z291</f>
        <v>1</v>
      </c>
      <c r="R291" s="420">
        <f t="shared" si="26"/>
        <v>248887.65492654455</v>
      </c>
      <c r="S291" s="410">
        <f>+'A) Base RI'!U291</f>
        <v>79</v>
      </c>
      <c r="T291" s="420">
        <f t="shared" si="27"/>
        <v>232490.15492654455</v>
      </c>
      <c r="U291" s="420">
        <f t="shared" si="28"/>
        <v>3150.4766446398044</v>
      </c>
      <c r="V291" s="10">
        <f>+'A) Base RI'!P291</f>
        <v>64020</v>
      </c>
      <c r="W291" s="10">
        <f>+'A) Base RI'!Q291</f>
        <v>5349.35</v>
      </c>
      <c r="X291" s="10">
        <f>+'A) Base RI'!S291</f>
        <v>10450.549999999999</v>
      </c>
      <c r="Y291" s="420">
        <f t="shared" si="29"/>
        <v>79819.900000000009</v>
      </c>
      <c r="Z291" s="10">
        <f>+'A) Base RI'!O291</f>
        <v>297.45</v>
      </c>
      <c r="AA291" s="10">
        <f>'A) Base RI'!V291</f>
        <v>141</v>
      </c>
    </row>
    <row r="292" spans="1:27" x14ac:dyDescent="0.25">
      <c r="A292" s="8">
        <f>'A) Base RI'!A292</f>
        <v>5909</v>
      </c>
      <c r="B292" s="32" t="str">
        <f>'A) Base RI'!B292</f>
        <v>Cheseaux-Noréaz</v>
      </c>
      <c r="C292" s="10">
        <f>'A) Base RI'!C292+'A) Base RI'!D292</f>
        <v>2097778.21</v>
      </c>
      <c r="D292" s="10">
        <f>'A) Base RI'!W292</f>
        <v>-1835.08</v>
      </c>
      <c r="E292" s="406">
        <f>'A) Base RI'!X292</f>
        <v>-37825.730000000003</v>
      </c>
      <c r="F292" s="406">
        <f>'A) Base RI'!Y292</f>
        <v>-86.48</v>
      </c>
      <c r="G292" s="420">
        <f t="shared" si="24"/>
        <v>2058030.92</v>
      </c>
      <c r="H292" s="10">
        <f>+'A) Base RI'!E292</f>
        <v>0</v>
      </c>
      <c r="I292" s="10">
        <f>+'A) Base RI'!F292</f>
        <v>0</v>
      </c>
      <c r="J292" s="10">
        <f>+'A) Base RI'!G292+'A) Base RI'!H292+'A) Base RI'!I292</f>
        <v>35646.837221760499</v>
      </c>
      <c r="K292" s="10">
        <f>+'A) Base RI'!J292</f>
        <v>0</v>
      </c>
      <c r="L292" s="10">
        <f>+'A) Base RI'!K292</f>
        <v>8407.77</v>
      </c>
      <c r="M292" s="10">
        <f>+'A) Base RI'!L292</f>
        <v>2699.95</v>
      </c>
      <c r="N292" s="10">
        <f>+'A) Base RI'!R292</f>
        <v>0</v>
      </c>
      <c r="O292" s="10">
        <f t="shared" si="25"/>
        <v>160685</v>
      </c>
      <c r="P292" s="10">
        <f>+'A) Base RI'!M292</f>
        <v>160685</v>
      </c>
      <c r="Q292" s="428">
        <f>'A) Base RI'!Z292</f>
        <v>1</v>
      </c>
      <c r="R292" s="420">
        <f t="shared" si="26"/>
        <v>2265470.4772217604</v>
      </c>
      <c r="S292" s="410">
        <f>+'A) Base RI'!U292</f>
        <v>70</v>
      </c>
      <c r="T292" s="420">
        <f t="shared" si="27"/>
        <v>2102085.5272217602</v>
      </c>
      <c r="U292" s="420">
        <f t="shared" si="28"/>
        <v>32363.863960310864</v>
      </c>
      <c r="V292" s="10">
        <f>+'A) Base RI'!P292</f>
        <v>14272.2</v>
      </c>
      <c r="W292" s="10">
        <f>+'A) Base RI'!Q292</f>
        <v>77892.800000000003</v>
      </c>
      <c r="X292" s="10">
        <f>+'A) Base RI'!S292</f>
        <v>81354.05</v>
      </c>
      <c r="Y292" s="420">
        <f t="shared" si="29"/>
        <v>173519.05</v>
      </c>
      <c r="Z292" s="10">
        <f>+'A) Base RI'!O292</f>
        <v>8427.9</v>
      </c>
      <c r="AA292" s="10">
        <f>'A) Base RI'!V292</f>
        <v>721</v>
      </c>
    </row>
    <row r="293" spans="1:27" x14ac:dyDescent="0.25">
      <c r="A293" s="8">
        <f>'A) Base RI'!A293</f>
        <v>5910</v>
      </c>
      <c r="B293" s="32" t="str">
        <f>'A) Base RI'!B293</f>
        <v>Cronay</v>
      </c>
      <c r="C293" s="10">
        <f>'A) Base RI'!C293+'A) Base RI'!D293</f>
        <v>718453.8600000001</v>
      </c>
      <c r="D293" s="10">
        <f>'A) Base RI'!W293</f>
        <v>-18838.95</v>
      </c>
      <c r="E293" s="406">
        <f>'A) Base RI'!X293</f>
        <v>0</v>
      </c>
      <c r="F293" s="406">
        <f>'A) Base RI'!Y293</f>
        <v>-5.76</v>
      </c>
      <c r="G293" s="420">
        <f t="shared" si="24"/>
        <v>699609.15000000014</v>
      </c>
      <c r="H293" s="10">
        <f>+'A) Base RI'!E293</f>
        <v>0</v>
      </c>
      <c r="I293" s="10">
        <f>+'A) Base RI'!F293</f>
        <v>2230</v>
      </c>
      <c r="J293" s="10">
        <f>+'A) Base RI'!G293+'A) Base RI'!H293+'A) Base RI'!I293</f>
        <v>4172.4392603568631</v>
      </c>
      <c r="K293" s="10">
        <f>+'A) Base RI'!J293</f>
        <v>0</v>
      </c>
      <c r="L293" s="10">
        <f>+'A) Base RI'!K293</f>
        <v>3558.14</v>
      </c>
      <c r="M293" s="10">
        <f>+'A) Base RI'!L293</f>
        <v>0</v>
      </c>
      <c r="N293" s="10">
        <f>+'A) Base RI'!R293</f>
        <v>0</v>
      </c>
      <c r="O293" s="10">
        <f t="shared" si="25"/>
        <v>49553.4</v>
      </c>
      <c r="P293" s="10">
        <f>+'A) Base RI'!M293</f>
        <v>49553.4</v>
      </c>
      <c r="Q293" s="428">
        <f>'A) Base RI'!Z293</f>
        <v>1</v>
      </c>
      <c r="R293" s="420">
        <f t="shared" si="26"/>
        <v>759123.129260357</v>
      </c>
      <c r="S293" s="410">
        <f>+'A) Base RI'!U293</f>
        <v>79</v>
      </c>
      <c r="T293" s="420">
        <f t="shared" si="27"/>
        <v>707339.72926035698</v>
      </c>
      <c r="U293" s="420">
        <f t="shared" si="28"/>
        <v>9609.1535349412279</v>
      </c>
      <c r="V293" s="10">
        <f>+'A) Base RI'!P293</f>
        <v>678.7</v>
      </c>
      <c r="W293" s="10">
        <f>+'A) Base RI'!Q293</f>
        <v>18729.349999999999</v>
      </c>
      <c r="X293" s="10">
        <f>+'A) Base RI'!S293</f>
        <v>8458.35</v>
      </c>
      <c r="Y293" s="420">
        <f t="shared" si="29"/>
        <v>27866.400000000001</v>
      </c>
      <c r="Z293" s="10">
        <f>+'A) Base RI'!O293</f>
        <v>0</v>
      </c>
      <c r="AA293" s="10">
        <f>'A) Base RI'!V293</f>
        <v>385</v>
      </c>
    </row>
    <row r="294" spans="1:27" x14ac:dyDescent="0.25">
      <c r="A294" s="8">
        <f>'A) Base RI'!A294</f>
        <v>5911</v>
      </c>
      <c r="B294" s="32" t="str">
        <f>'A) Base RI'!B294</f>
        <v>Cuarny</v>
      </c>
      <c r="C294" s="10">
        <f>'A) Base RI'!C294+'A) Base RI'!D294</f>
        <v>496475.5</v>
      </c>
      <c r="D294" s="10">
        <f>'A) Base RI'!W294</f>
        <v>-1133.1400000000001</v>
      </c>
      <c r="E294" s="406">
        <f>'A) Base RI'!X294</f>
        <v>0</v>
      </c>
      <c r="F294" s="406">
        <f>'A) Base RI'!Y294</f>
        <v>-111.78</v>
      </c>
      <c r="G294" s="420">
        <f t="shared" si="24"/>
        <v>495230.57999999996</v>
      </c>
      <c r="H294" s="10">
        <f>+'A) Base RI'!E294</f>
        <v>0</v>
      </c>
      <c r="I294" s="10">
        <f>+'A) Base RI'!F294</f>
        <v>1521</v>
      </c>
      <c r="J294" s="10">
        <f>+'A) Base RI'!G294+'A) Base RI'!H294+'A) Base RI'!I294</f>
        <v>7151.2048084987418</v>
      </c>
      <c r="K294" s="10">
        <f>+'A) Base RI'!J294</f>
        <v>0</v>
      </c>
      <c r="L294" s="10">
        <f>+'A) Base RI'!K294</f>
        <v>5595.91</v>
      </c>
      <c r="M294" s="10">
        <f>+'A) Base RI'!L294</f>
        <v>827</v>
      </c>
      <c r="N294" s="10">
        <f>+'A) Base RI'!R294</f>
        <v>0</v>
      </c>
      <c r="O294" s="10">
        <f t="shared" si="25"/>
        <v>29745.7</v>
      </c>
      <c r="P294" s="10">
        <f>+'A) Base RI'!M294</f>
        <v>29745.7</v>
      </c>
      <c r="Q294" s="428">
        <f>'A) Base RI'!Z294</f>
        <v>1</v>
      </c>
      <c r="R294" s="420">
        <f t="shared" si="26"/>
        <v>540071.39480849868</v>
      </c>
      <c r="S294" s="410">
        <f>+'A) Base RI'!U294</f>
        <v>79</v>
      </c>
      <c r="T294" s="420">
        <f t="shared" si="27"/>
        <v>507977.69480849867</v>
      </c>
      <c r="U294" s="420">
        <f t="shared" si="28"/>
        <v>6836.3467697278311</v>
      </c>
      <c r="V294" s="10">
        <f>+'A) Base RI'!P294</f>
        <v>617.70000000000005</v>
      </c>
      <c r="W294" s="10">
        <f>+'A) Base RI'!Q294</f>
        <v>30416.25</v>
      </c>
      <c r="X294" s="10">
        <f>+'A) Base RI'!S294</f>
        <v>24878</v>
      </c>
      <c r="Y294" s="420">
        <f t="shared" si="29"/>
        <v>55911.95</v>
      </c>
      <c r="Z294" s="10">
        <f>+'A) Base RI'!O294</f>
        <v>2766.6</v>
      </c>
      <c r="AA294" s="10">
        <f>'A) Base RI'!V294</f>
        <v>243</v>
      </c>
    </row>
    <row r="295" spans="1:27" x14ac:dyDescent="0.25">
      <c r="A295" s="8">
        <f>'A) Base RI'!A295</f>
        <v>5912</v>
      </c>
      <c r="B295" s="32" t="str">
        <f>'A) Base RI'!B295</f>
        <v>Démoret</v>
      </c>
      <c r="C295" s="10">
        <f>'A) Base RI'!C295+'A) Base RI'!D295</f>
        <v>236704.23</v>
      </c>
      <c r="D295" s="10">
        <f>'A) Base RI'!W295</f>
        <v>-3192.89</v>
      </c>
      <c r="E295" s="406">
        <f>'A) Base RI'!X295</f>
        <v>0</v>
      </c>
      <c r="F295" s="406">
        <f>'A) Base RI'!Y295</f>
        <v>0</v>
      </c>
      <c r="G295" s="420">
        <f t="shared" si="24"/>
        <v>233511.34</v>
      </c>
      <c r="H295" s="10">
        <f>+'A) Base RI'!E295</f>
        <v>0</v>
      </c>
      <c r="I295" s="10">
        <f>+'A) Base RI'!F295</f>
        <v>840</v>
      </c>
      <c r="J295" s="10">
        <f>+'A) Base RI'!G295+'A) Base RI'!H295+'A) Base RI'!I295</f>
        <v>381.85442007912161</v>
      </c>
      <c r="K295" s="10">
        <f>+'A) Base RI'!J295</f>
        <v>0</v>
      </c>
      <c r="L295" s="10">
        <f>+'A) Base RI'!K295</f>
        <v>-67.06</v>
      </c>
      <c r="M295" s="10">
        <f>+'A) Base RI'!L295</f>
        <v>0</v>
      </c>
      <c r="N295" s="10">
        <f>+'A) Base RI'!R295</f>
        <v>0</v>
      </c>
      <c r="O295" s="10">
        <f t="shared" si="25"/>
        <v>19143.099999999999</v>
      </c>
      <c r="P295" s="10">
        <f>+'A) Base RI'!M295</f>
        <v>19143.099999999999</v>
      </c>
      <c r="Q295" s="428">
        <f>'A) Base RI'!Z295</f>
        <v>1</v>
      </c>
      <c r="R295" s="420">
        <f t="shared" si="26"/>
        <v>253809.23442007913</v>
      </c>
      <c r="S295" s="410">
        <f>+'A) Base RI'!U295</f>
        <v>81</v>
      </c>
      <c r="T295" s="420">
        <f t="shared" si="27"/>
        <v>233826.13442007912</v>
      </c>
      <c r="U295" s="420">
        <f t="shared" si="28"/>
        <v>3133.4473385194956</v>
      </c>
      <c r="V295" s="10">
        <f>+'A) Base RI'!P295</f>
        <v>0</v>
      </c>
      <c r="W295" s="10">
        <f>+'A) Base RI'!Q295</f>
        <v>0</v>
      </c>
      <c r="X295" s="10">
        <f>+'A) Base RI'!S295</f>
        <v>0</v>
      </c>
      <c r="Y295" s="420">
        <f t="shared" si="29"/>
        <v>0</v>
      </c>
      <c r="Z295" s="10">
        <f>+'A) Base RI'!O295</f>
        <v>0</v>
      </c>
      <c r="AA295" s="10">
        <f>'A) Base RI'!V295</f>
        <v>141</v>
      </c>
    </row>
    <row r="296" spans="1:27" x14ac:dyDescent="0.25">
      <c r="A296" s="8">
        <f>'A) Base RI'!A296</f>
        <v>5913</v>
      </c>
      <c r="B296" s="32" t="str">
        <f>'A) Base RI'!B296</f>
        <v>Donneloye</v>
      </c>
      <c r="C296" s="10">
        <f>'A) Base RI'!C296+'A) Base RI'!D296</f>
        <v>1332325.8</v>
      </c>
      <c r="D296" s="10">
        <f>'A) Base RI'!W296</f>
        <v>-19214.46</v>
      </c>
      <c r="E296" s="406">
        <f>'A) Base RI'!X296</f>
        <v>0</v>
      </c>
      <c r="F296" s="406">
        <f>'A) Base RI'!Y296</f>
        <v>-290.07</v>
      </c>
      <c r="G296" s="420">
        <f t="shared" si="24"/>
        <v>1312821.27</v>
      </c>
      <c r="H296" s="10">
        <f>+'A) Base RI'!E296</f>
        <v>0</v>
      </c>
      <c r="I296" s="10">
        <f>+'A) Base RI'!F296</f>
        <v>0</v>
      </c>
      <c r="J296" s="10">
        <f>+'A) Base RI'!G296+'A) Base RI'!H296+'A) Base RI'!I296</f>
        <v>22300.406254923077</v>
      </c>
      <c r="K296" s="10">
        <f>+'A) Base RI'!J296</f>
        <v>0</v>
      </c>
      <c r="L296" s="10">
        <f>+'A) Base RI'!K296</f>
        <v>19235</v>
      </c>
      <c r="M296" s="10">
        <f>+'A) Base RI'!L296</f>
        <v>1314.65</v>
      </c>
      <c r="N296" s="10">
        <f>+'A) Base RI'!R296</f>
        <v>2495.17</v>
      </c>
      <c r="O296" s="10">
        <f t="shared" si="25"/>
        <v>109909.4</v>
      </c>
      <c r="P296" s="10">
        <f>+'A) Base RI'!M296</f>
        <v>109909.4</v>
      </c>
      <c r="Q296" s="428">
        <f>'A) Base RI'!Z296</f>
        <v>1</v>
      </c>
      <c r="R296" s="420">
        <f t="shared" si="26"/>
        <v>1468075.8962549227</v>
      </c>
      <c r="S296" s="410">
        <f>+'A) Base RI'!U296</f>
        <v>73</v>
      </c>
      <c r="T296" s="420">
        <f t="shared" si="27"/>
        <v>1356851.8462549229</v>
      </c>
      <c r="U296" s="420">
        <f t="shared" si="28"/>
        <v>20110.628715820858</v>
      </c>
      <c r="V296" s="10">
        <f>+'A) Base RI'!P296</f>
        <v>31.2</v>
      </c>
      <c r="W296" s="10">
        <f>+'A) Base RI'!Q296</f>
        <v>95782.5</v>
      </c>
      <c r="X296" s="10">
        <f>+'A) Base RI'!S296</f>
        <v>51418.8</v>
      </c>
      <c r="Y296" s="420">
        <f t="shared" si="29"/>
        <v>147232.5</v>
      </c>
      <c r="Z296" s="10">
        <f>+'A) Base RI'!O296</f>
        <v>22459.05</v>
      </c>
      <c r="AA296" s="10">
        <f>'A) Base RI'!V296</f>
        <v>809</v>
      </c>
    </row>
    <row r="297" spans="1:27" x14ac:dyDescent="0.25">
      <c r="A297" s="8">
        <f>'A) Base RI'!A297</f>
        <v>5914</v>
      </c>
      <c r="B297" s="32" t="str">
        <f>'A) Base RI'!B297</f>
        <v>Ependes</v>
      </c>
      <c r="C297" s="10">
        <f>'A) Base RI'!C297+'A) Base RI'!D297</f>
        <v>623548.79999999993</v>
      </c>
      <c r="D297" s="10">
        <f>'A) Base RI'!W297</f>
        <v>-23336.240000000002</v>
      </c>
      <c r="E297" s="406">
        <f>'A) Base RI'!X297</f>
        <v>0</v>
      </c>
      <c r="F297" s="406">
        <f>'A) Base RI'!Y297</f>
        <v>0</v>
      </c>
      <c r="G297" s="420">
        <f t="shared" si="24"/>
        <v>600212.55999999994</v>
      </c>
      <c r="H297" s="10">
        <f>+'A) Base RI'!E297</f>
        <v>0</v>
      </c>
      <c r="I297" s="10">
        <f>+'A) Base RI'!F297</f>
        <v>2200</v>
      </c>
      <c r="J297" s="10">
        <f>+'A) Base RI'!G297+'A) Base RI'!H297+'A) Base RI'!I297</f>
        <v>29851.604600905652</v>
      </c>
      <c r="K297" s="10">
        <f>+'A) Base RI'!J297</f>
        <v>0</v>
      </c>
      <c r="L297" s="10">
        <f>+'A) Base RI'!K297</f>
        <v>8998.52</v>
      </c>
      <c r="M297" s="10">
        <f>+'A) Base RI'!L297</f>
        <v>3449.45</v>
      </c>
      <c r="N297" s="10">
        <f>+'A) Base RI'!R297</f>
        <v>15616.31</v>
      </c>
      <c r="O297" s="10">
        <f t="shared" si="25"/>
        <v>50883.65</v>
      </c>
      <c r="P297" s="10">
        <f>+'A) Base RI'!M297</f>
        <v>50883.65</v>
      </c>
      <c r="Q297" s="428">
        <f>'A) Base RI'!Z297</f>
        <v>1</v>
      </c>
      <c r="R297" s="420">
        <f t="shared" si="26"/>
        <v>711212.09460090566</v>
      </c>
      <c r="S297" s="410">
        <f>+'A) Base RI'!U297</f>
        <v>75</v>
      </c>
      <c r="T297" s="420">
        <f t="shared" si="27"/>
        <v>654678.99460090569</v>
      </c>
      <c r="U297" s="420">
        <f t="shared" si="28"/>
        <v>9482.8279280120751</v>
      </c>
      <c r="V297" s="10">
        <f>+'A) Base RI'!P297</f>
        <v>0</v>
      </c>
      <c r="W297" s="10">
        <f>+'A) Base RI'!Q297</f>
        <v>29230.1</v>
      </c>
      <c r="X297" s="10">
        <f>+'A) Base RI'!S297</f>
        <v>8560.2999999999993</v>
      </c>
      <c r="Y297" s="420">
        <f t="shared" si="29"/>
        <v>37790.399999999994</v>
      </c>
      <c r="Z297" s="10">
        <f>+'A) Base RI'!O297</f>
        <v>12.4</v>
      </c>
      <c r="AA297" s="10">
        <f>'A) Base RI'!V297</f>
        <v>360</v>
      </c>
    </row>
    <row r="298" spans="1:27" x14ac:dyDescent="0.25">
      <c r="A298" s="8">
        <f>'A) Base RI'!A298</f>
        <v>5919</v>
      </c>
      <c r="B298" s="32" t="str">
        <f>'A) Base RI'!B298</f>
        <v>Mathod</v>
      </c>
      <c r="C298" s="10">
        <f>'A) Base RI'!C298+'A) Base RI'!D298</f>
        <v>1093477.4100000001</v>
      </c>
      <c r="D298" s="10">
        <f>'A) Base RI'!W298</f>
        <v>-15089</v>
      </c>
      <c r="E298" s="406">
        <f>'A) Base RI'!X298</f>
        <v>0</v>
      </c>
      <c r="F298" s="406">
        <f>'A) Base RI'!Y298</f>
        <v>-66.599999999999994</v>
      </c>
      <c r="G298" s="420">
        <f t="shared" si="24"/>
        <v>1078321.81</v>
      </c>
      <c r="H298" s="10">
        <f>+'A) Base RI'!E298</f>
        <v>0</v>
      </c>
      <c r="I298" s="10">
        <f>+'A) Base RI'!F298</f>
        <v>3640</v>
      </c>
      <c r="J298" s="10">
        <f>+'A) Base RI'!G298+'A) Base RI'!H298+'A) Base RI'!I298</f>
        <v>6355.4606767697169</v>
      </c>
      <c r="K298" s="10">
        <f>+'A) Base RI'!J298</f>
        <v>0</v>
      </c>
      <c r="L298" s="10">
        <f>+'A) Base RI'!K298</f>
        <v>14754.13</v>
      </c>
      <c r="M298" s="10">
        <f>+'A) Base RI'!L298</f>
        <v>9931.7000000000007</v>
      </c>
      <c r="N298" s="10">
        <f>+'A) Base RI'!R298</f>
        <v>12306.42</v>
      </c>
      <c r="O298" s="10">
        <f t="shared" si="25"/>
        <v>106676.58333333333</v>
      </c>
      <c r="P298" s="10">
        <f>+'A) Base RI'!M298</f>
        <v>128011.9</v>
      </c>
      <c r="Q298" s="428">
        <f>'A) Base RI'!Z298</f>
        <v>1.2</v>
      </c>
      <c r="R298" s="420">
        <f t="shared" si="26"/>
        <v>1231986.1040101028</v>
      </c>
      <c r="S298" s="410">
        <f>+'A) Base RI'!U298</f>
        <v>72</v>
      </c>
      <c r="T298" s="420">
        <f t="shared" si="27"/>
        <v>1111737.8206767696</v>
      </c>
      <c r="U298" s="420">
        <f t="shared" si="28"/>
        <v>17110.918111251427</v>
      </c>
      <c r="V298" s="10">
        <f>+'A) Base RI'!P298</f>
        <v>106.5</v>
      </c>
      <c r="W298" s="10">
        <f>+'A) Base RI'!Q298</f>
        <v>80839.8</v>
      </c>
      <c r="X298" s="10">
        <f>+'A) Base RI'!S298</f>
        <v>128908.95</v>
      </c>
      <c r="Y298" s="420">
        <f t="shared" si="29"/>
        <v>209855.25</v>
      </c>
      <c r="Z298" s="10">
        <f>+'A) Base RI'!O298</f>
        <v>8139.8</v>
      </c>
      <c r="AA298" s="10">
        <f>'A) Base RI'!V298</f>
        <v>611</v>
      </c>
    </row>
    <row r="299" spans="1:27" x14ac:dyDescent="0.25">
      <c r="A299" s="8">
        <f>'A) Base RI'!A299</f>
        <v>5921</v>
      </c>
      <c r="B299" s="32" t="str">
        <f>'A) Base RI'!B299</f>
        <v>Molondin</v>
      </c>
      <c r="C299" s="10">
        <f>'A) Base RI'!C299+'A) Base RI'!D299</f>
        <v>354375.51999999996</v>
      </c>
      <c r="D299" s="10">
        <f>'A) Base RI'!W299</f>
        <v>-13098.52</v>
      </c>
      <c r="E299" s="406">
        <f>'A) Base RI'!X299</f>
        <v>0</v>
      </c>
      <c r="F299" s="406">
        <f>'A) Base RI'!Y299</f>
        <v>0</v>
      </c>
      <c r="G299" s="420">
        <f t="shared" si="24"/>
        <v>341276.99999999994</v>
      </c>
      <c r="H299" s="10">
        <f>+'A) Base RI'!E299</f>
        <v>0</v>
      </c>
      <c r="I299" s="10">
        <f>+'A) Base RI'!F299</f>
        <v>1370</v>
      </c>
      <c r="J299" s="10">
        <f>+'A) Base RI'!G299+'A) Base RI'!H299+'A) Base RI'!I299</f>
        <v>36567.049391365283</v>
      </c>
      <c r="K299" s="10">
        <f>+'A) Base RI'!J299</f>
        <v>0</v>
      </c>
      <c r="L299" s="10">
        <f>+'A) Base RI'!K299</f>
        <v>13405.95</v>
      </c>
      <c r="M299" s="10">
        <f>+'A) Base RI'!L299</f>
        <v>0</v>
      </c>
      <c r="N299" s="10">
        <f>+'A) Base RI'!R299</f>
        <v>0</v>
      </c>
      <c r="O299" s="10">
        <f t="shared" si="25"/>
        <v>30414.05</v>
      </c>
      <c r="P299" s="10">
        <f>+'A) Base RI'!M299</f>
        <v>30414.05</v>
      </c>
      <c r="Q299" s="428">
        <f>'A) Base RI'!Z299</f>
        <v>1</v>
      </c>
      <c r="R299" s="420">
        <f t="shared" si="26"/>
        <v>423034.0493913652</v>
      </c>
      <c r="S299" s="410">
        <f>+'A) Base RI'!U299</f>
        <v>81</v>
      </c>
      <c r="T299" s="420">
        <f t="shared" si="27"/>
        <v>391249.99939136521</v>
      </c>
      <c r="U299" s="420">
        <f t="shared" si="28"/>
        <v>5222.6425850785827</v>
      </c>
      <c r="V299" s="10">
        <f>+'A) Base RI'!P299</f>
        <v>5029</v>
      </c>
      <c r="W299" s="10">
        <f>+'A) Base RI'!Q299</f>
        <v>9240</v>
      </c>
      <c r="X299" s="10">
        <f>+'A) Base RI'!S299</f>
        <v>7524.8</v>
      </c>
      <c r="Y299" s="420">
        <f t="shared" si="29"/>
        <v>21793.8</v>
      </c>
      <c r="Z299" s="10">
        <f>+'A) Base RI'!O299</f>
        <v>0</v>
      </c>
      <c r="AA299" s="10">
        <f>'A) Base RI'!V299</f>
        <v>235</v>
      </c>
    </row>
    <row r="300" spans="1:27" x14ac:dyDescent="0.25">
      <c r="A300" s="8">
        <f>'A) Base RI'!A300</f>
        <v>5922</v>
      </c>
      <c r="B300" s="32" t="str">
        <f>'A) Base RI'!B300</f>
        <v>Montagny-près-Yverdon</v>
      </c>
      <c r="C300" s="10">
        <f>'A) Base RI'!C300+'A) Base RI'!D300</f>
        <v>1594217.67</v>
      </c>
      <c r="D300" s="10">
        <f>'A) Base RI'!W300</f>
        <v>-28253.3</v>
      </c>
      <c r="E300" s="406">
        <f>'A) Base RI'!X300</f>
        <v>0</v>
      </c>
      <c r="F300" s="406">
        <f>'A) Base RI'!Y300</f>
        <v>-167.95</v>
      </c>
      <c r="G300" s="420">
        <f t="shared" si="24"/>
        <v>1565796.42</v>
      </c>
      <c r="H300" s="10">
        <f>+'A) Base RI'!E300</f>
        <v>0</v>
      </c>
      <c r="I300" s="10">
        <f>+'A) Base RI'!F300</f>
        <v>0</v>
      </c>
      <c r="J300" s="10">
        <f>+'A) Base RI'!G300+'A) Base RI'!H300+'A) Base RI'!I300</f>
        <v>312105.09176293563</v>
      </c>
      <c r="K300" s="10">
        <f>+'A) Base RI'!J300</f>
        <v>0</v>
      </c>
      <c r="L300" s="10">
        <f>+'A) Base RI'!K300</f>
        <v>81972.91</v>
      </c>
      <c r="M300" s="10">
        <f>+'A) Base RI'!L300</f>
        <v>45778.95</v>
      </c>
      <c r="N300" s="10">
        <f>+'A) Base RI'!R300</f>
        <v>827.08</v>
      </c>
      <c r="O300" s="10">
        <f t="shared" si="25"/>
        <v>306523.0625</v>
      </c>
      <c r="P300" s="10">
        <f>+'A) Base RI'!M300</f>
        <v>245218.45</v>
      </c>
      <c r="Q300" s="428">
        <f>'A) Base RI'!Z300</f>
        <v>0.8</v>
      </c>
      <c r="R300" s="420">
        <f t="shared" si="26"/>
        <v>2313003.5142629356</v>
      </c>
      <c r="S300" s="410">
        <f>+'A) Base RI'!U300</f>
        <v>65</v>
      </c>
      <c r="T300" s="420">
        <f t="shared" si="27"/>
        <v>1960701.5017629357</v>
      </c>
      <c r="U300" s="420">
        <f t="shared" si="28"/>
        <v>35584.669450199006</v>
      </c>
      <c r="V300" s="10">
        <f>+'A) Base RI'!P300</f>
        <v>303290.2</v>
      </c>
      <c r="W300" s="10">
        <f>+'A) Base RI'!Q300</f>
        <v>25315.3</v>
      </c>
      <c r="X300" s="10">
        <f>+'A) Base RI'!S300</f>
        <v>44514.2</v>
      </c>
      <c r="Y300" s="420">
        <f t="shared" si="29"/>
        <v>373119.7</v>
      </c>
      <c r="Z300" s="10">
        <f>+'A) Base RI'!O300</f>
        <v>185044.2</v>
      </c>
      <c r="AA300" s="10">
        <f>'A) Base RI'!V300</f>
        <v>738</v>
      </c>
    </row>
    <row r="301" spans="1:27" x14ac:dyDescent="0.25">
      <c r="A301" s="8">
        <f>'A) Base RI'!A301</f>
        <v>5923</v>
      </c>
      <c r="B301" s="32" t="str">
        <f>'A) Base RI'!B301</f>
        <v>Oppens</v>
      </c>
      <c r="C301" s="10">
        <f>'A) Base RI'!C301+'A) Base RI'!D301</f>
        <v>366893.16000000003</v>
      </c>
      <c r="D301" s="10">
        <f>'A) Base RI'!W301</f>
        <v>-3483.09</v>
      </c>
      <c r="E301" s="406">
        <f>'A) Base RI'!X301</f>
        <v>0</v>
      </c>
      <c r="F301" s="406">
        <f>'A) Base RI'!Y301</f>
        <v>0</v>
      </c>
      <c r="G301" s="420">
        <f t="shared" si="24"/>
        <v>363410.07</v>
      </c>
      <c r="H301" s="10">
        <f>+'A) Base RI'!E301</f>
        <v>0</v>
      </c>
      <c r="I301" s="10">
        <f>+'A) Base RI'!F301</f>
        <v>0</v>
      </c>
      <c r="J301" s="10">
        <f>+'A) Base RI'!G301+'A) Base RI'!H301+'A) Base RI'!I301</f>
        <v>2313.4709136013894</v>
      </c>
      <c r="K301" s="10">
        <f>+'A) Base RI'!J301</f>
        <v>0</v>
      </c>
      <c r="L301" s="10">
        <f>+'A) Base RI'!K301</f>
        <v>28952.13</v>
      </c>
      <c r="M301" s="10">
        <f>+'A) Base RI'!L301</f>
        <v>0</v>
      </c>
      <c r="N301" s="10">
        <f>+'A) Base RI'!R301</f>
        <v>0</v>
      </c>
      <c r="O301" s="10">
        <f t="shared" si="25"/>
        <v>24160</v>
      </c>
      <c r="P301" s="10">
        <f>+'A) Base RI'!M301</f>
        <v>24160</v>
      </c>
      <c r="Q301" s="428">
        <f>'A) Base RI'!Z301</f>
        <v>1</v>
      </c>
      <c r="R301" s="420">
        <f t="shared" si="26"/>
        <v>418835.67091360141</v>
      </c>
      <c r="S301" s="410">
        <f>+'A) Base RI'!U301</f>
        <v>81</v>
      </c>
      <c r="T301" s="420">
        <f t="shared" si="27"/>
        <v>394675.67091360141</v>
      </c>
      <c r="U301" s="420">
        <f t="shared" si="28"/>
        <v>5170.8107520197709</v>
      </c>
      <c r="V301" s="10">
        <f>+'A) Base RI'!P301</f>
        <v>132.1</v>
      </c>
      <c r="W301" s="10">
        <f>+'A) Base RI'!Q301</f>
        <v>6140.75</v>
      </c>
      <c r="X301" s="10">
        <f>+'A) Base RI'!S301</f>
        <v>10208.35</v>
      </c>
      <c r="Y301" s="420">
        <f t="shared" si="29"/>
        <v>16481.2</v>
      </c>
      <c r="Z301" s="10">
        <f>+'A) Base RI'!O301</f>
        <v>28113.25</v>
      </c>
      <c r="AA301" s="10">
        <f>'A) Base RI'!V301</f>
        <v>196</v>
      </c>
    </row>
    <row r="302" spans="1:27" x14ac:dyDescent="0.25">
      <c r="A302" s="8">
        <f>'A) Base RI'!A302</f>
        <v>5924</v>
      </c>
      <c r="B302" s="32" t="str">
        <f>'A) Base RI'!B302</f>
        <v>Orges</v>
      </c>
      <c r="C302" s="10">
        <f>'A) Base RI'!C302+'A) Base RI'!D302</f>
        <v>683039.88</v>
      </c>
      <c r="D302" s="10">
        <f>'A) Base RI'!W302</f>
        <v>-4072.86</v>
      </c>
      <c r="E302" s="406">
        <f>'A) Base RI'!X302</f>
        <v>0</v>
      </c>
      <c r="F302" s="406">
        <f>'A) Base RI'!Y302</f>
        <v>-33.19</v>
      </c>
      <c r="G302" s="420">
        <f t="shared" si="24"/>
        <v>678933.83000000007</v>
      </c>
      <c r="H302" s="10">
        <f>+'A) Base RI'!E302</f>
        <v>0</v>
      </c>
      <c r="I302" s="10">
        <f>+'A) Base RI'!F302</f>
        <v>0</v>
      </c>
      <c r="J302" s="10">
        <f>+'A) Base RI'!G302+'A) Base RI'!H302+'A) Base RI'!I302</f>
        <v>25014.023676053945</v>
      </c>
      <c r="K302" s="10">
        <f>+'A) Base RI'!J302</f>
        <v>0</v>
      </c>
      <c r="L302" s="10">
        <f>+'A) Base RI'!K302</f>
        <v>6746.31</v>
      </c>
      <c r="M302" s="10">
        <f>+'A) Base RI'!L302</f>
        <v>0</v>
      </c>
      <c r="N302" s="10">
        <f>+'A) Base RI'!R302</f>
        <v>0</v>
      </c>
      <c r="O302" s="10">
        <f t="shared" si="25"/>
        <v>49693.599999999999</v>
      </c>
      <c r="P302" s="10">
        <f>+'A) Base RI'!M302</f>
        <v>49693.599999999999</v>
      </c>
      <c r="Q302" s="428">
        <f>'A) Base RI'!Z302</f>
        <v>1</v>
      </c>
      <c r="R302" s="420">
        <f t="shared" si="26"/>
        <v>760387.76367605408</v>
      </c>
      <c r="S302" s="410">
        <f>+'A) Base RI'!U302</f>
        <v>74</v>
      </c>
      <c r="T302" s="420">
        <f t="shared" si="27"/>
        <v>710694.1636760541</v>
      </c>
      <c r="U302" s="420">
        <f t="shared" si="28"/>
        <v>10275.510319946678</v>
      </c>
      <c r="V302" s="10">
        <f>+'A) Base RI'!P302</f>
        <v>0</v>
      </c>
      <c r="W302" s="10">
        <f>+'A) Base RI'!Q302</f>
        <v>19738.7</v>
      </c>
      <c r="X302" s="10">
        <f>+'A) Base RI'!S302</f>
        <v>0</v>
      </c>
      <c r="Y302" s="420">
        <f t="shared" si="29"/>
        <v>19738.7</v>
      </c>
      <c r="Z302" s="10">
        <f>+'A) Base RI'!O302</f>
        <v>39972.85</v>
      </c>
      <c r="AA302" s="10">
        <f>'A) Base RI'!V302</f>
        <v>332</v>
      </c>
    </row>
    <row r="303" spans="1:27" x14ac:dyDescent="0.25">
      <c r="A303" s="8">
        <f>'A) Base RI'!A303</f>
        <v>5925</v>
      </c>
      <c r="B303" s="32" t="str">
        <f>'A) Base RI'!B303</f>
        <v>Orzens</v>
      </c>
      <c r="C303" s="10">
        <f>'A) Base RI'!C303+'A) Base RI'!D303</f>
        <v>409359.83999999997</v>
      </c>
      <c r="D303" s="10">
        <f>'A) Base RI'!W303</f>
        <v>-4939.18</v>
      </c>
      <c r="E303" s="406">
        <f>'A) Base RI'!X303</f>
        <v>0</v>
      </c>
      <c r="F303" s="406">
        <f>'A) Base RI'!Y303</f>
        <v>0</v>
      </c>
      <c r="G303" s="420">
        <f t="shared" si="24"/>
        <v>404420.66</v>
      </c>
      <c r="H303" s="10">
        <f>+'A) Base RI'!E303</f>
        <v>0</v>
      </c>
      <c r="I303" s="10">
        <f>+'A) Base RI'!F303</f>
        <v>1160</v>
      </c>
      <c r="J303" s="10">
        <f>+'A) Base RI'!G303+'A) Base RI'!H303+'A) Base RI'!I303</f>
        <v>2601.4918176557376</v>
      </c>
      <c r="K303" s="10">
        <f>+'A) Base RI'!J303</f>
        <v>0</v>
      </c>
      <c r="L303" s="10">
        <f>+'A) Base RI'!K303</f>
        <v>715.55</v>
      </c>
      <c r="M303" s="10">
        <f>+'A) Base RI'!L303</f>
        <v>0</v>
      </c>
      <c r="N303" s="10">
        <f>+'A) Base RI'!R303</f>
        <v>0</v>
      </c>
      <c r="O303" s="10">
        <f t="shared" si="25"/>
        <v>30671</v>
      </c>
      <c r="P303" s="10">
        <f>+'A) Base RI'!M303</f>
        <v>30671</v>
      </c>
      <c r="Q303" s="428">
        <f>'A) Base RI'!Z303</f>
        <v>1</v>
      </c>
      <c r="R303" s="420">
        <f t="shared" si="26"/>
        <v>439568.7018176557</v>
      </c>
      <c r="S303" s="410">
        <f>+'A) Base RI'!U303</f>
        <v>79</v>
      </c>
      <c r="T303" s="420">
        <f t="shared" si="27"/>
        <v>407737.7018176557</v>
      </c>
      <c r="U303" s="420">
        <f t="shared" si="28"/>
        <v>5564.160782501971</v>
      </c>
      <c r="V303" s="10">
        <f>+'A) Base RI'!P303</f>
        <v>24832.55</v>
      </c>
      <c r="W303" s="10">
        <f>+'A) Base RI'!Q303</f>
        <v>121</v>
      </c>
      <c r="X303" s="10">
        <f>+'A) Base RI'!S303</f>
        <v>6772.55</v>
      </c>
      <c r="Y303" s="420">
        <f t="shared" si="29"/>
        <v>31726.1</v>
      </c>
      <c r="Z303" s="10">
        <f>+'A) Base RI'!O303</f>
        <v>31078.1</v>
      </c>
      <c r="AA303" s="10">
        <f>'A) Base RI'!V303</f>
        <v>196</v>
      </c>
    </row>
    <row r="304" spans="1:27" x14ac:dyDescent="0.25">
      <c r="A304" s="8">
        <f>'A) Base RI'!A304</f>
        <v>5926</v>
      </c>
      <c r="B304" s="32" t="str">
        <f>'A) Base RI'!B304</f>
        <v>Pomy</v>
      </c>
      <c r="C304" s="10">
        <f>'A) Base RI'!C304+'A) Base RI'!D304</f>
        <v>1763369.71</v>
      </c>
      <c r="D304" s="10">
        <f>'A) Base RI'!W304</f>
        <v>-8745.7099999999991</v>
      </c>
      <c r="E304" s="406">
        <f>'A) Base RI'!X304</f>
        <v>0</v>
      </c>
      <c r="F304" s="406">
        <f>'A) Base RI'!Y304</f>
        <v>-189.99</v>
      </c>
      <c r="G304" s="420">
        <f t="shared" si="24"/>
        <v>1754434.01</v>
      </c>
      <c r="H304" s="10">
        <f>+'A) Base RI'!E304</f>
        <v>0</v>
      </c>
      <c r="I304" s="10">
        <f>+'A) Base RI'!F304</f>
        <v>0</v>
      </c>
      <c r="J304" s="10">
        <f>+'A) Base RI'!G304+'A) Base RI'!H304+'A) Base RI'!I304</f>
        <v>3830.178101248745</v>
      </c>
      <c r="K304" s="10">
        <f>+'A) Base RI'!J304</f>
        <v>0</v>
      </c>
      <c r="L304" s="10">
        <f>+'A) Base RI'!K304</f>
        <v>9575.85</v>
      </c>
      <c r="M304" s="10">
        <f>+'A) Base RI'!L304</f>
        <v>0</v>
      </c>
      <c r="N304" s="10">
        <f>+'A) Base RI'!R304</f>
        <v>0</v>
      </c>
      <c r="O304" s="10">
        <f t="shared" si="25"/>
        <v>120388.5</v>
      </c>
      <c r="P304" s="10">
        <f>+'A) Base RI'!M304</f>
        <v>120388.5</v>
      </c>
      <c r="Q304" s="428">
        <f>'A) Base RI'!Z304</f>
        <v>1</v>
      </c>
      <c r="R304" s="420">
        <f t="shared" si="26"/>
        <v>1888228.5381012489</v>
      </c>
      <c r="S304" s="410">
        <f>+'A) Base RI'!U304</f>
        <v>71</v>
      </c>
      <c r="T304" s="420">
        <f t="shared" si="27"/>
        <v>1767840.0381012489</v>
      </c>
      <c r="U304" s="420">
        <f t="shared" si="28"/>
        <v>26594.76814227111</v>
      </c>
      <c r="V304" s="10">
        <f>+'A) Base RI'!P304</f>
        <v>5601.9</v>
      </c>
      <c r="W304" s="10">
        <f>+'A) Base RI'!Q304</f>
        <v>21082.85</v>
      </c>
      <c r="X304" s="10">
        <f>+'A) Base RI'!S304</f>
        <v>25344.85</v>
      </c>
      <c r="Y304" s="420">
        <f t="shared" si="29"/>
        <v>52029.599999999999</v>
      </c>
      <c r="Z304" s="10">
        <f>+'A) Base RI'!O304</f>
        <v>7673.7</v>
      </c>
      <c r="AA304" s="10">
        <f>'A) Base RI'!V304</f>
        <v>780</v>
      </c>
    </row>
    <row r="305" spans="1:27" x14ac:dyDescent="0.25">
      <c r="A305" s="8">
        <f>'A) Base RI'!A305</f>
        <v>5928</v>
      </c>
      <c r="B305" s="32" t="str">
        <f>'A) Base RI'!B305</f>
        <v>Rovray</v>
      </c>
      <c r="C305" s="10">
        <f>'A) Base RI'!C305+'A) Base RI'!D305</f>
        <v>299498.78999999998</v>
      </c>
      <c r="D305" s="10">
        <f>'A) Base RI'!W305</f>
        <v>-4699.6099999999997</v>
      </c>
      <c r="E305" s="406">
        <f>'A) Base RI'!X305</f>
        <v>0</v>
      </c>
      <c r="F305" s="406">
        <f>'A) Base RI'!Y305</f>
        <v>-0.33</v>
      </c>
      <c r="G305" s="420">
        <f t="shared" si="24"/>
        <v>294798.84999999998</v>
      </c>
      <c r="H305" s="10">
        <f>+'A) Base RI'!E305</f>
        <v>0</v>
      </c>
      <c r="I305" s="10">
        <f>+'A) Base RI'!F305</f>
        <v>0</v>
      </c>
      <c r="J305" s="10">
        <f>+'A) Base RI'!G305+'A) Base RI'!H305+'A) Base RI'!I305</f>
        <v>334.15144960837824</v>
      </c>
      <c r="K305" s="10">
        <f>+'A) Base RI'!J305</f>
        <v>0</v>
      </c>
      <c r="L305" s="10">
        <f>+'A) Base RI'!K305</f>
        <v>236.96</v>
      </c>
      <c r="M305" s="10">
        <f>+'A) Base RI'!L305</f>
        <v>0</v>
      </c>
      <c r="N305" s="10">
        <f>+'A) Base RI'!R305</f>
        <v>0</v>
      </c>
      <c r="O305" s="10">
        <f t="shared" si="25"/>
        <v>20913.400000000001</v>
      </c>
      <c r="P305" s="10">
        <f>+'A) Base RI'!M305</f>
        <v>20913.400000000001</v>
      </c>
      <c r="Q305" s="428">
        <f>'A) Base RI'!Z305</f>
        <v>1</v>
      </c>
      <c r="R305" s="420">
        <f t="shared" si="26"/>
        <v>316283.3614496084</v>
      </c>
      <c r="S305" s="410">
        <f>+'A) Base RI'!U305</f>
        <v>73</v>
      </c>
      <c r="T305" s="420">
        <f t="shared" si="27"/>
        <v>295369.96144960838</v>
      </c>
      <c r="U305" s="420">
        <f t="shared" si="28"/>
        <v>4332.6487869809371</v>
      </c>
      <c r="V305" s="10">
        <f>+'A) Base RI'!P305</f>
        <v>21366.400000000001</v>
      </c>
      <c r="W305" s="10">
        <f>+'A) Base RI'!Q305</f>
        <v>880</v>
      </c>
      <c r="X305" s="10">
        <f>+'A) Base RI'!S305</f>
        <v>3881.3</v>
      </c>
      <c r="Y305" s="420">
        <f t="shared" si="29"/>
        <v>26127.7</v>
      </c>
      <c r="Z305" s="10">
        <f>+'A) Base RI'!O305</f>
        <v>3919.1</v>
      </c>
      <c r="AA305" s="10">
        <f>'A) Base RI'!V305</f>
        <v>180</v>
      </c>
    </row>
    <row r="306" spans="1:27" x14ac:dyDescent="0.25">
      <c r="A306" s="8">
        <f>'A) Base RI'!A306</f>
        <v>5929</v>
      </c>
      <c r="B306" s="32" t="str">
        <f>'A) Base RI'!B306</f>
        <v>Suchy</v>
      </c>
      <c r="C306" s="10">
        <f>'A) Base RI'!C306+'A) Base RI'!D306</f>
        <v>1060841.25</v>
      </c>
      <c r="D306" s="10">
        <f>'A) Base RI'!W306</f>
        <v>-24213.96</v>
      </c>
      <c r="E306" s="406">
        <f>'A) Base RI'!X306</f>
        <v>0</v>
      </c>
      <c r="F306" s="406">
        <f>'A) Base RI'!Y306</f>
        <v>-15.07</v>
      </c>
      <c r="G306" s="420">
        <f t="shared" si="24"/>
        <v>1036612.2200000001</v>
      </c>
      <c r="H306" s="10">
        <f>+'A) Base RI'!E306</f>
        <v>0</v>
      </c>
      <c r="I306" s="10">
        <f>+'A) Base RI'!F306</f>
        <v>0</v>
      </c>
      <c r="J306" s="10">
        <f>+'A) Base RI'!G306+'A) Base RI'!H306+'A) Base RI'!I306</f>
        <v>4520.8423423433451</v>
      </c>
      <c r="K306" s="10">
        <f>+'A) Base RI'!J306</f>
        <v>41100.15</v>
      </c>
      <c r="L306" s="10">
        <f>+'A) Base RI'!K306</f>
        <v>10957.02</v>
      </c>
      <c r="M306" s="10">
        <f>+'A) Base RI'!L306</f>
        <v>0</v>
      </c>
      <c r="N306" s="10">
        <f>+'A) Base RI'!R306</f>
        <v>91.08</v>
      </c>
      <c r="O306" s="10">
        <f t="shared" si="25"/>
        <v>105368.8125</v>
      </c>
      <c r="P306" s="10">
        <f>+'A) Base RI'!M306</f>
        <v>84295.05</v>
      </c>
      <c r="Q306" s="428">
        <f>'A) Base RI'!Z306</f>
        <v>0.8</v>
      </c>
      <c r="R306" s="420">
        <f t="shared" si="26"/>
        <v>1198650.1248423434</v>
      </c>
      <c r="S306" s="410">
        <f>+'A) Base RI'!U306</f>
        <v>70</v>
      </c>
      <c r="T306" s="420">
        <f t="shared" si="27"/>
        <v>1093281.3123423434</v>
      </c>
      <c r="U306" s="420">
        <f t="shared" si="28"/>
        <v>17123.573212033476</v>
      </c>
      <c r="V306" s="10">
        <f>+'A) Base RI'!P306</f>
        <v>11616</v>
      </c>
      <c r="W306" s="10">
        <f>+'A) Base RI'!Q306</f>
        <v>45410.8</v>
      </c>
      <c r="X306" s="10">
        <f>+'A) Base RI'!S306</f>
        <v>38356.050000000003</v>
      </c>
      <c r="Y306" s="420">
        <f t="shared" si="29"/>
        <v>95382.85</v>
      </c>
      <c r="Z306" s="10">
        <f>+'A) Base RI'!O306</f>
        <v>3741.4</v>
      </c>
      <c r="AA306" s="10">
        <f>'A) Base RI'!V306</f>
        <v>599</v>
      </c>
    </row>
    <row r="307" spans="1:27" x14ac:dyDescent="0.25">
      <c r="A307" s="8">
        <f>'A) Base RI'!A307</f>
        <v>5930</v>
      </c>
      <c r="B307" s="32" t="str">
        <f>'A) Base RI'!B307</f>
        <v>Suscévaz</v>
      </c>
      <c r="C307" s="10">
        <f>'A) Base RI'!C307+'A) Base RI'!D307</f>
        <v>384324.15</v>
      </c>
      <c r="D307" s="10">
        <f>'A) Base RI'!W307</f>
        <v>-214.06</v>
      </c>
      <c r="E307" s="406">
        <f>'A) Base RI'!X307</f>
        <v>0</v>
      </c>
      <c r="F307" s="406">
        <f>'A) Base RI'!Y307</f>
        <v>0</v>
      </c>
      <c r="G307" s="420">
        <f t="shared" si="24"/>
        <v>384110.09</v>
      </c>
      <c r="H307" s="10">
        <f>+'A) Base RI'!E307</f>
        <v>0</v>
      </c>
      <c r="I307" s="10">
        <f>+'A) Base RI'!F307</f>
        <v>0</v>
      </c>
      <c r="J307" s="10">
        <f>+'A) Base RI'!G307+'A) Base RI'!H307+'A) Base RI'!I307</f>
        <v>5019.5774945976864</v>
      </c>
      <c r="K307" s="10">
        <f>+'A) Base RI'!J307</f>
        <v>0</v>
      </c>
      <c r="L307" s="10">
        <f>+'A) Base RI'!K307</f>
        <v>4218.47</v>
      </c>
      <c r="M307" s="10">
        <f>+'A) Base RI'!L307</f>
        <v>228.6</v>
      </c>
      <c r="N307" s="10">
        <f>+'A) Base RI'!R307</f>
        <v>0</v>
      </c>
      <c r="O307" s="10">
        <f t="shared" si="25"/>
        <v>27268.400000000001</v>
      </c>
      <c r="P307" s="10">
        <f>+'A) Base RI'!M307</f>
        <v>27268.400000000001</v>
      </c>
      <c r="Q307" s="428">
        <f>'A) Base RI'!Z307</f>
        <v>1</v>
      </c>
      <c r="R307" s="420">
        <f t="shared" si="26"/>
        <v>420845.1374945977</v>
      </c>
      <c r="S307" s="410">
        <f>+'A) Base RI'!U307</f>
        <v>72</v>
      </c>
      <c r="T307" s="420">
        <f t="shared" si="27"/>
        <v>393348.1374945977</v>
      </c>
      <c r="U307" s="420">
        <f t="shared" si="28"/>
        <v>5845.0713540916349</v>
      </c>
      <c r="V307" s="10">
        <f>+'A) Base RI'!P307</f>
        <v>0</v>
      </c>
      <c r="W307" s="10">
        <f>+'A) Base RI'!Q307</f>
        <v>28454.1</v>
      </c>
      <c r="X307" s="10">
        <f>+'A) Base RI'!S307</f>
        <v>28608.799999999999</v>
      </c>
      <c r="Y307" s="420">
        <f t="shared" si="29"/>
        <v>57062.899999999994</v>
      </c>
      <c r="Z307" s="10">
        <f>+'A) Base RI'!O307</f>
        <v>7063.35</v>
      </c>
      <c r="AA307" s="10">
        <f>'A) Base RI'!V307</f>
        <v>213</v>
      </c>
    </row>
    <row r="308" spans="1:27" x14ac:dyDescent="0.25">
      <c r="A308" s="8">
        <f>'A) Base RI'!A308</f>
        <v>5931</v>
      </c>
      <c r="B308" s="32" t="str">
        <f>'A) Base RI'!B308</f>
        <v>Treycovagnes</v>
      </c>
      <c r="C308" s="10">
        <f>'A) Base RI'!C308+'A) Base RI'!D308</f>
        <v>896967.03</v>
      </c>
      <c r="D308" s="10">
        <f>'A) Base RI'!W308</f>
        <v>-9008.5300000000007</v>
      </c>
      <c r="E308" s="406">
        <f>'A) Base RI'!X308</f>
        <v>0</v>
      </c>
      <c r="F308" s="406">
        <f>'A) Base RI'!Y308</f>
        <v>-1.37</v>
      </c>
      <c r="G308" s="420">
        <f t="shared" si="24"/>
        <v>887957.13</v>
      </c>
      <c r="H308" s="10">
        <f>+'A) Base RI'!E308</f>
        <v>0</v>
      </c>
      <c r="I308" s="10">
        <f>+'A) Base RI'!F308</f>
        <v>0</v>
      </c>
      <c r="J308" s="10">
        <f>+'A) Base RI'!G308+'A) Base RI'!H308+'A) Base RI'!I308</f>
        <v>1496.9390231154375</v>
      </c>
      <c r="K308" s="10">
        <f>+'A) Base RI'!J308</f>
        <v>0</v>
      </c>
      <c r="L308" s="10">
        <f>+'A) Base RI'!K308</f>
        <v>11564.76</v>
      </c>
      <c r="M308" s="10">
        <f>+'A) Base RI'!L308</f>
        <v>781.4</v>
      </c>
      <c r="N308" s="10">
        <f>+'A) Base RI'!R308</f>
        <v>-680.68</v>
      </c>
      <c r="O308" s="10">
        <f t="shared" si="25"/>
        <v>71864</v>
      </c>
      <c r="P308" s="10">
        <f>+'A) Base RI'!M308</f>
        <v>71864</v>
      </c>
      <c r="Q308" s="428">
        <f>'A) Base RI'!Z308</f>
        <v>1</v>
      </c>
      <c r="R308" s="420">
        <f t="shared" si="26"/>
        <v>972983.54902311543</v>
      </c>
      <c r="S308" s="410">
        <f>+'A) Base RI'!U308</f>
        <v>75</v>
      </c>
      <c r="T308" s="420">
        <f t="shared" si="27"/>
        <v>900338.1490231154</v>
      </c>
      <c r="U308" s="420">
        <f t="shared" si="28"/>
        <v>12973.113986974873</v>
      </c>
      <c r="V308" s="10">
        <f>+'A) Base RI'!P308</f>
        <v>7000</v>
      </c>
      <c r="W308" s="10">
        <f>+'A) Base RI'!Q308</f>
        <v>29945.45</v>
      </c>
      <c r="X308" s="10">
        <f>+'A) Base RI'!S308</f>
        <v>27689.9</v>
      </c>
      <c r="Y308" s="420">
        <f t="shared" si="29"/>
        <v>64635.35</v>
      </c>
      <c r="Z308" s="10">
        <f>+'A) Base RI'!O308</f>
        <v>7347.25</v>
      </c>
      <c r="AA308" s="10">
        <f>'A) Base RI'!V308</f>
        <v>480</v>
      </c>
    </row>
    <row r="309" spans="1:27" x14ac:dyDescent="0.25">
      <c r="A309" s="8">
        <f>'A) Base RI'!A309</f>
        <v>5932</v>
      </c>
      <c r="B309" s="32" t="str">
        <f>'A) Base RI'!B309</f>
        <v>Ursins</v>
      </c>
      <c r="C309" s="10">
        <f>'A) Base RI'!C309+'A) Base RI'!D309</f>
        <v>497168.41000000003</v>
      </c>
      <c r="D309" s="10">
        <f>'A) Base RI'!W309</f>
        <v>-17045.36</v>
      </c>
      <c r="E309" s="406">
        <f>'A) Base RI'!X309</f>
        <v>-30909.35</v>
      </c>
      <c r="F309" s="406">
        <f>'A) Base RI'!Y309</f>
        <v>0</v>
      </c>
      <c r="G309" s="420">
        <f t="shared" si="24"/>
        <v>449213.70000000007</v>
      </c>
      <c r="H309" s="10">
        <f>+'A) Base RI'!E309</f>
        <v>0</v>
      </c>
      <c r="I309" s="10">
        <f>+'A) Base RI'!F309</f>
        <v>1180</v>
      </c>
      <c r="J309" s="10">
        <f>+'A) Base RI'!G309+'A) Base RI'!H309+'A) Base RI'!I309</f>
        <v>421.08379842163515</v>
      </c>
      <c r="K309" s="10">
        <f>+'A) Base RI'!J309</f>
        <v>30322.15</v>
      </c>
      <c r="L309" s="10">
        <f>+'A) Base RI'!K309</f>
        <v>3399.58</v>
      </c>
      <c r="M309" s="10">
        <f>+'A) Base RI'!L309</f>
        <v>131.5</v>
      </c>
      <c r="N309" s="10">
        <f>+'A) Base RI'!R309</f>
        <v>0</v>
      </c>
      <c r="O309" s="10">
        <f t="shared" si="25"/>
        <v>30170.7</v>
      </c>
      <c r="P309" s="10">
        <f>+'A) Base RI'!M309</f>
        <v>30170.7</v>
      </c>
      <c r="Q309" s="428">
        <f>'A) Base RI'!Z309</f>
        <v>1</v>
      </c>
      <c r="R309" s="420">
        <f t="shared" si="26"/>
        <v>514838.71379842178</v>
      </c>
      <c r="S309" s="410">
        <f>+'A) Base RI'!U309</f>
        <v>77</v>
      </c>
      <c r="T309" s="420">
        <f t="shared" si="27"/>
        <v>483356.51379842177</v>
      </c>
      <c r="U309" s="420">
        <f t="shared" si="28"/>
        <v>6686.217062317166</v>
      </c>
      <c r="V309" s="10">
        <f>+'A) Base RI'!P309</f>
        <v>767</v>
      </c>
      <c r="W309" s="10">
        <f>+'A) Base RI'!Q309</f>
        <v>4180</v>
      </c>
      <c r="X309" s="10">
        <f>+'A) Base RI'!S309</f>
        <v>42340.800000000003</v>
      </c>
      <c r="Y309" s="420">
        <f t="shared" si="29"/>
        <v>47287.8</v>
      </c>
      <c r="Z309" s="10">
        <f>+'A) Base RI'!O309</f>
        <v>0</v>
      </c>
      <c r="AA309" s="10">
        <f>'A) Base RI'!V309</f>
        <v>230</v>
      </c>
    </row>
    <row r="310" spans="1:27" x14ac:dyDescent="0.25">
      <c r="A310" s="8">
        <f>'A) Base RI'!A310</f>
        <v>5933</v>
      </c>
      <c r="B310" s="32" t="str">
        <f>'A) Base RI'!B310</f>
        <v>Valeyres-sous-Montagny</v>
      </c>
      <c r="C310" s="10">
        <f>'A) Base RI'!C310+'A) Base RI'!D310</f>
        <v>1582139.24</v>
      </c>
      <c r="D310" s="10">
        <f>'A) Base RI'!W310</f>
        <v>-32696.55</v>
      </c>
      <c r="E310" s="406">
        <f>'A) Base RI'!X310</f>
        <v>-54537.4</v>
      </c>
      <c r="F310" s="406">
        <f>'A) Base RI'!Y310</f>
        <v>-23.61</v>
      </c>
      <c r="G310" s="420">
        <f t="shared" si="24"/>
        <v>1494881.68</v>
      </c>
      <c r="H310" s="10">
        <f>+'A) Base RI'!E310</f>
        <v>0</v>
      </c>
      <c r="I310" s="10">
        <f>+'A) Base RI'!F310</f>
        <v>0</v>
      </c>
      <c r="J310" s="10">
        <f>+'A) Base RI'!G310+'A) Base RI'!H310+'A) Base RI'!I310</f>
        <v>-15409.803473290827</v>
      </c>
      <c r="K310" s="10">
        <f>+'A) Base RI'!J310</f>
        <v>0</v>
      </c>
      <c r="L310" s="10">
        <f>+'A) Base RI'!K310</f>
        <v>31328.9</v>
      </c>
      <c r="M310" s="10">
        <f>+'A) Base RI'!L310</f>
        <v>2863.55</v>
      </c>
      <c r="N310" s="10">
        <f>+'A) Base RI'!R310</f>
        <v>775.47</v>
      </c>
      <c r="O310" s="10">
        <f t="shared" si="25"/>
        <v>115047.15</v>
      </c>
      <c r="P310" s="10">
        <f>+'A) Base RI'!M310</f>
        <v>115047.15</v>
      </c>
      <c r="Q310" s="428">
        <f>'A) Base RI'!Z310</f>
        <v>1</v>
      </c>
      <c r="R310" s="420">
        <f t="shared" si="26"/>
        <v>1629486.946526709</v>
      </c>
      <c r="S310" s="410">
        <f>+'A) Base RI'!U310</f>
        <v>72</v>
      </c>
      <c r="T310" s="420">
        <f t="shared" si="27"/>
        <v>1511576.2465267091</v>
      </c>
      <c r="U310" s="420">
        <f t="shared" si="28"/>
        <v>22631.763146204292</v>
      </c>
      <c r="V310" s="10">
        <f>+'A) Base RI'!P310</f>
        <v>0</v>
      </c>
      <c r="W310" s="10">
        <f>+'A) Base RI'!Q310</f>
        <v>27236.15</v>
      </c>
      <c r="X310" s="10">
        <f>+'A) Base RI'!S310</f>
        <v>59797.05</v>
      </c>
      <c r="Y310" s="420">
        <f t="shared" si="29"/>
        <v>87033.200000000012</v>
      </c>
      <c r="Z310" s="10">
        <f>+'A) Base RI'!O310</f>
        <v>11134.15</v>
      </c>
      <c r="AA310" s="10">
        <f>'A) Base RI'!V310</f>
        <v>708</v>
      </c>
    </row>
    <row r="311" spans="1:27" x14ac:dyDescent="0.25">
      <c r="A311" s="8">
        <f>'A) Base RI'!A311</f>
        <v>5934</v>
      </c>
      <c r="B311" s="32" t="str">
        <f>'A) Base RI'!B311</f>
        <v>Valeyres-sous-Ursins</v>
      </c>
      <c r="C311" s="10">
        <f>'A) Base RI'!C311+'A) Base RI'!D311</f>
        <v>538307.89</v>
      </c>
      <c r="D311" s="10">
        <f>'A) Base RI'!W311</f>
        <v>-1824.64</v>
      </c>
      <c r="E311" s="406">
        <f>'A) Base RI'!X311</f>
        <v>-1455.55</v>
      </c>
      <c r="F311" s="406">
        <f>'A) Base RI'!Y311</f>
        <v>0</v>
      </c>
      <c r="G311" s="420">
        <f t="shared" si="24"/>
        <v>535027.69999999995</v>
      </c>
      <c r="H311" s="10">
        <f>+'A) Base RI'!E311</f>
        <v>0</v>
      </c>
      <c r="I311" s="10">
        <f>+'A) Base RI'!F311</f>
        <v>1360</v>
      </c>
      <c r="J311" s="10">
        <f>+'A) Base RI'!G311+'A) Base RI'!H311+'A) Base RI'!I311</f>
        <v>-1031.7721674381162</v>
      </c>
      <c r="K311" s="10">
        <f>+'A) Base RI'!J311</f>
        <v>0</v>
      </c>
      <c r="L311" s="10">
        <f>+'A) Base RI'!K311</f>
        <v>40631</v>
      </c>
      <c r="M311" s="10">
        <f>+'A) Base RI'!L311</f>
        <v>0</v>
      </c>
      <c r="N311" s="10">
        <f>+'A) Base RI'!R311</f>
        <v>0</v>
      </c>
      <c r="O311" s="10">
        <f t="shared" si="25"/>
        <v>27719.3</v>
      </c>
      <c r="P311" s="10">
        <f>+'A) Base RI'!M311</f>
        <v>27719.3</v>
      </c>
      <c r="Q311" s="428">
        <f>'A) Base RI'!Z311</f>
        <v>1</v>
      </c>
      <c r="R311" s="420">
        <f t="shared" si="26"/>
        <v>603706.22783256194</v>
      </c>
      <c r="S311" s="410">
        <f>+'A) Base RI'!U311</f>
        <v>79</v>
      </c>
      <c r="T311" s="420">
        <f t="shared" si="27"/>
        <v>574626.92783256189</v>
      </c>
      <c r="U311" s="420">
        <f t="shared" si="28"/>
        <v>7641.8509852223033</v>
      </c>
      <c r="V311" s="10">
        <f>+'A) Base RI'!P311</f>
        <v>0</v>
      </c>
      <c r="W311" s="10">
        <f>+'A) Base RI'!Q311</f>
        <v>0</v>
      </c>
      <c r="X311" s="10">
        <f>+'A) Base RI'!S311</f>
        <v>0</v>
      </c>
      <c r="Y311" s="420">
        <f t="shared" si="29"/>
        <v>0</v>
      </c>
      <c r="Z311" s="10">
        <f>+'A) Base RI'!O311</f>
        <v>4685</v>
      </c>
      <c r="AA311" s="10">
        <f>'A) Base RI'!V311</f>
        <v>232</v>
      </c>
    </row>
    <row r="312" spans="1:27" x14ac:dyDescent="0.25">
      <c r="A312" s="8">
        <f>'A) Base RI'!A312</f>
        <v>5935</v>
      </c>
      <c r="B312" s="32" t="str">
        <f>'A) Base RI'!B312</f>
        <v>Villars-Epeney</v>
      </c>
      <c r="C312" s="10">
        <f>'A) Base RI'!C312+'A) Base RI'!D312</f>
        <v>315840.03000000003</v>
      </c>
      <c r="D312" s="10">
        <f>'A) Base RI'!W312</f>
        <v>-28.89</v>
      </c>
      <c r="E312" s="406">
        <f>'A) Base RI'!X312</f>
        <v>0</v>
      </c>
      <c r="F312" s="406">
        <f>'A) Base RI'!Y312</f>
        <v>0</v>
      </c>
      <c r="G312" s="420">
        <f t="shared" si="24"/>
        <v>315811.14</v>
      </c>
      <c r="H312" s="10">
        <f>+'A) Base RI'!E312</f>
        <v>0</v>
      </c>
      <c r="I312" s="10">
        <f>+'A) Base RI'!F312</f>
        <v>0</v>
      </c>
      <c r="J312" s="10">
        <f>+'A) Base RI'!G312+'A) Base RI'!H312+'A) Base RI'!I312</f>
        <v>901.20871635617459</v>
      </c>
      <c r="K312" s="10">
        <f>+'A) Base RI'!J312</f>
        <v>0</v>
      </c>
      <c r="L312" s="10">
        <f>+'A) Base RI'!K312</f>
        <v>52.62</v>
      </c>
      <c r="M312" s="10">
        <f>+'A) Base RI'!L312</f>
        <v>0</v>
      </c>
      <c r="N312" s="10">
        <f>+'A) Base RI'!R312</f>
        <v>0</v>
      </c>
      <c r="O312" s="10">
        <f t="shared" si="25"/>
        <v>18717.95</v>
      </c>
      <c r="P312" s="10">
        <f>+'A) Base RI'!M312</f>
        <v>18717.95</v>
      </c>
      <c r="Q312" s="428">
        <f>'A) Base RI'!Z312</f>
        <v>1</v>
      </c>
      <c r="R312" s="420">
        <f t="shared" si="26"/>
        <v>335482.91871635622</v>
      </c>
      <c r="S312" s="410">
        <f>+'A) Base RI'!U312</f>
        <v>60</v>
      </c>
      <c r="T312" s="420">
        <f t="shared" si="27"/>
        <v>316764.9687163562</v>
      </c>
      <c r="U312" s="420">
        <f t="shared" si="28"/>
        <v>5591.3819786059366</v>
      </c>
      <c r="V312" s="10">
        <f>+'A) Base RI'!P312</f>
        <v>0</v>
      </c>
      <c r="W312" s="10">
        <f>+'A) Base RI'!Q312</f>
        <v>3047</v>
      </c>
      <c r="X312" s="10">
        <f>+'A) Base RI'!S312</f>
        <v>10429.1</v>
      </c>
      <c r="Y312" s="420">
        <f t="shared" si="29"/>
        <v>13476.1</v>
      </c>
      <c r="Z312" s="10">
        <f>+'A) Base RI'!O312</f>
        <v>0</v>
      </c>
      <c r="AA312" s="10">
        <f>'A) Base RI'!V312</f>
        <v>100</v>
      </c>
    </row>
    <row r="313" spans="1:27" x14ac:dyDescent="0.25">
      <c r="A313" s="8">
        <f>'A) Base RI'!A313</f>
        <v>5937</v>
      </c>
      <c r="B313" s="32" t="str">
        <f>'A) Base RI'!B313</f>
        <v>Vugelles-La Mothe</v>
      </c>
      <c r="C313" s="10">
        <f>'A) Base RI'!C313+'A) Base RI'!D313</f>
        <v>157211.78</v>
      </c>
      <c r="D313" s="10">
        <f>'A) Base RI'!W313</f>
        <v>-8099.53</v>
      </c>
      <c r="E313" s="406">
        <f>'A) Base RI'!X313</f>
        <v>0</v>
      </c>
      <c r="F313" s="406">
        <f>'A) Base RI'!Y313</f>
        <v>-2.34</v>
      </c>
      <c r="G313" s="420">
        <f t="shared" si="24"/>
        <v>149109.91</v>
      </c>
      <c r="H313" s="10">
        <f>+'A) Base RI'!E313</f>
        <v>0</v>
      </c>
      <c r="I313" s="10">
        <f>+'A) Base RI'!F313</f>
        <v>0</v>
      </c>
      <c r="J313" s="10">
        <f>+'A) Base RI'!G313+'A) Base RI'!H313+'A) Base RI'!I313</f>
        <v>2390.300992312445</v>
      </c>
      <c r="K313" s="10">
        <f>+'A) Base RI'!J313</f>
        <v>0</v>
      </c>
      <c r="L313" s="10">
        <f>+'A) Base RI'!K313</f>
        <v>1368.2</v>
      </c>
      <c r="M313" s="10">
        <f>+'A) Base RI'!L313</f>
        <v>0</v>
      </c>
      <c r="N313" s="10">
        <f>+'A) Base RI'!R313</f>
        <v>0</v>
      </c>
      <c r="O313" s="10">
        <f t="shared" si="25"/>
        <v>15323.428571428572</v>
      </c>
      <c r="P313" s="10">
        <f>+'A) Base RI'!M313</f>
        <v>10726.4</v>
      </c>
      <c r="Q313" s="428">
        <f>'A) Base RI'!Z313</f>
        <v>0.7</v>
      </c>
      <c r="R313" s="420">
        <f t="shared" si="26"/>
        <v>168191.83956374103</v>
      </c>
      <c r="S313" s="410">
        <f>+'A) Base RI'!U313</f>
        <v>70</v>
      </c>
      <c r="T313" s="420">
        <f t="shared" si="27"/>
        <v>152868.41099231245</v>
      </c>
      <c r="U313" s="420">
        <f t="shared" si="28"/>
        <v>2402.7405651963004</v>
      </c>
      <c r="V313" s="10">
        <f>+'A) Base RI'!P313</f>
        <v>0</v>
      </c>
      <c r="W313" s="10">
        <f>+'A) Base RI'!Q313</f>
        <v>15928</v>
      </c>
      <c r="X313" s="10">
        <f>+'A) Base RI'!S313</f>
        <v>2625</v>
      </c>
      <c r="Y313" s="420">
        <f t="shared" si="29"/>
        <v>18553</v>
      </c>
      <c r="Z313" s="10">
        <f>+'A) Base RI'!O313</f>
        <v>0</v>
      </c>
      <c r="AA313" s="10">
        <f>'A) Base RI'!V313</f>
        <v>132</v>
      </c>
    </row>
    <row r="314" spans="1:27" x14ac:dyDescent="0.25">
      <c r="A314" s="8">
        <f>'A) Base RI'!A314</f>
        <v>5938</v>
      </c>
      <c r="B314" s="32" t="str">
        <f>'A) Base RI'!B314</f>
        <v>Yverdon-les-Bains</v>
      </c>
      <c r="C314" s="10">
        <f>'A) Base RI'!C314+'A) Base RI'!D314</f>
        <v>48330746.460000001</v>
      </c>
      <c r="D314" s="10">
        <f>'A) Base RI'!W314</f>
        <v>-1649201.82</v>
      </c>
      <c r="E314" s="406">
        <f>'A) Base RI'!X314</f>
        <v>0</v>
      </c>
      <c r="F314" s="406">
        <f>'A) Base RI'!Y314</f>
        <v>-76269.289999999994</v>
      </c>
      <c r="G314" s="420">
        <f t="shared" si="24"/>
        <v>46605275.350000001</v>
      </c>
      <c r="H314" s="10">
        <f>+'A) Base RI'!E314</f>
        <v>0</v>
      </c>
      <c r="I314" s="10">
        <f>+'A) Base RI'!F314</f>
        <v>0</v>
      </c>
      <c r="J314" s="10">
        <f>+'A) Base RI'!G314+'A) Base RI'!H314+'A) Base RI'!I314</f>
        <v>3847494.2250391287</v>
      </c>
      <c r="K314" s="10">
        <f>+'A) Base RI'!J314</f>
        <v>30574.76</v>
      </c>
      <c r="L314" s="10">
        <f>+'A) Base RI'!K314</f>
        <v>1721060.09</v>
      </c>
      <c r="M314" s="10">
        <f>+'A) Base RI'!L314</f>
        <v>718416.2</v>
      </c>
      <c r="N314" s="10">
        <f>+'A) Base RI'!R314</f>
        <v>317811.61</v>
      </c>
      <c r="O314" s="10">
        <f t="shared" si="25"/>
        <v>4046037.5</v>
      </c>
      <c r="P314" s="10">
        <f>+'A) Base RI'!M314</f>
        <v>4046037.5</v>
      </c>
      <c r="Q314" s="428">
        <f>'A) Base RI'!Z314</f>
        <v>1</v>
      </c>
      <c r="R314" s="420">
        <f t="shared" si="26"/>
        <v>57286669.735039137</v>
      </c>
      <c r="S314" s="410">
        <f>+'A) Base RI'!U314</f>
        <v>76.5</v>
      </c>
      <c r="T314" s="420">
        <f t="shared" si="27"/>
        <v>52522216.035039134</v>
      </c>
      <c r="U314" s="420">
        <f t="shared" si="28"/>
        <v>748845.35601358349</v>
      </c>
      <c r="V314" s="10">
        <f>+'A) Base RI'!P314</f>
        <v>1472711.3</v>
      </c>
      <c r="W314" s="10">
        <f>+'A) Base RI'!Q314</f>
        <v>1608559.4</v>
      </c>
      <c r="X314" s="10">
        <f>+'A) Base RI'!S314</f>
        <v>1777261.3</v>
      </c>
      <c r="Y314" s="420">
        <f t="shared" si="29"/>
        <v>4858532</v>
      </c>
      <c r="Z314" s="10">
        <f>+'A) Base RI'!O314</f>
        <v>3860310.2</v>
      </c>
      <c r="AA314" s="10">
        <f>'A) Base RI'!V314</f>
        <v>30211</v>
      </c>
    </row>
    <row r="315" spans="1:27" x14ac:dyDescent="0.25">
      <c r="A315" s="8">
        <f>'A) Base RI'!A315</f>
        <v>5939</v>
      </c>
      <c r="B315" s="32" t="str">
        <f>'A) Base RI'!B315</f>
        <v>Yvonand</v>
      </c>
      <c r="C315" s="10">
        <f>'A) Base RI'!C315+'A) Base RI'!D315</f>
        <v>5988518.6200000001</v>
      </c>
      <c r="D315" s="10">
        <f>'A) Base RI'!W315</f>
        <v>-92649.7</v>
      </c>
      <c r="E315" s="406">
        <f>'A) Base RI'!X315</f>
        <v>0</v>
      </c>
      <c r="F315" s="406">
        <f>'A) Base RI'!Y315</f>
        <v>-104.93</v>
      </c>
      <c r="G315" s="420">
        <f t="shared" si="24"/>
        <v>5895763.9900000002</v>
      </c>
      <c r="H315" s="10">
        <f>+'A) Base RI'!E315</f>
        <v>0</v>
      </c>
      <c r="I315" s="10">
        <f>+'A) Base RI'!F315</f>
        <v>0</v>
      </c>
      <c r="J315" s="10">
        <f>+'A) Base RI'!G315+'A) Base RI'!H315+'A) Base RI'!I315</f>
        <v>158199.81557510668</v>
      </c>
      <c r="K315" s="10">
        <f>+'A) Base RI'!J315</f>
        <v>0</v>
      </c>
      <c r="L315" s="10">
        <f>+'A) Base RI'!K315</f>
        <v>89176.97</v>
      </c>
      <c r="M315" s="10">
        <f>+'A) Base RI'!L315</f>
        <v>34212.25</v>
      </c>
      <c r="N315" s="10">
        <f>+'A) Base RI'!R315</f>
        <v>14034.57</v>
      </c>
      <c r="O315" s="10">
        <f t="shared" si="25"/>
        <v>524450</v>
      </c>
      <c r="P315" s="10">
        <f>+'A) Base RI'!M315</f>
        <v>524450</v>
      </c>
      <c r="Q315" s="428">
        <f>'A) Base RI'!Z315</f>
        <v>1</v>
      </c>
      <c r="R315" s="420">
        <f t="shared" si="26"/>
        <v>6715837.5955751073</v>
      </c>
      <c r="S315" s="410">
        <f>+'A) Base RI'!U315</f>
        <v>73</v>
      </c>
      <c r="T315" s="420">
        <f t="shared" si="27"/>
        <v>6157175.3455751073</v>
      </c>
      <c r="U315" s="420">
        <f t="shared" si="28"/>
        <v>91997.775281850787</v>
      </c>
      <c r="V315" s="10">
        <f>+'A) Base RI'!P315</f>
        <v>79474.7</v>
      </c>
      <c r="W315" s="10">
        <f>+'A) Base RI'!Q315</f>
        <v>400601.45</v>
      </c>
      <c r="X315" s="10">
        <f>+'A) Base RI'!S315</f>
        <v>152893.35</v>
      </c>
      <c r="Y315" s="420">
        <f t="shared" si="29"/>
        <v>632969.5</v>
      </c>
      <c r="Z315" s="10">
        <f>+'A) Base RI'!O315</f>
        <v>112928.8</v>
      </c>
      <c r="AA315" s="10">
        <f>'A) Base RI'!V315</f>
        <v>3426</v>
      </c>
    </row>
    <row r="316" spans="1:27" x14ac:dyDescent="0.25">
      <c r="A316" s="7"/>
      <c r="B316" s="24">
        <f>COUNTA(B7:B315)</f>
        <v>309</v>
      </c>
      <c r="C316" s="11">
        <f t="shared" ref="C316:P316" si="30">SUM(C7:C315)</f>
        <v>1947765842.5000012</v>
      </c>
      <c r="D316" s="11">
        <f t="shared" si="30"/>
        <v>-42897388.010000028</v>
      </c>
      <c r="E316" s="11">
        <f t="shared" si="30"/>
        <v>-1122458.08</v>
      </c>
      <c r="F316" s="11">
        <f t="shared" si="30"/>
        <v>-2162451.5100000002</v>
      </c>
      <c r="G316" s="38">
        <f t="shared" si="30"/>
        <v>1901583544.8999991</v>
      </c>
      <c r="H316" s="11">
        <f t="shared" si="30"/>
        <v>0</v>
      </c>
      <c r="I316" s="11">
        <f t="shared" si="30"/>
        <v>113954.35</v>
      </c>
      <c r="J316" s="11">
        <f t="shared" si="30"/>
        <v>219798148.43490788</v>
      </c>
      <c r="K316" s="11">
        <f t="shared" si="30"/>
        <v>43162155.140000001</v>
      </c>
      <c r="L316" s="11">
        <f t="shared" si="30"/>
        <v>75886241.049999952</v>
      </c>
      <c r="M316" s="11">
        <f t="shared" si="30"/>
        <v>18556976.099999998</v>
      </c>
      <c r="N316" s="11">
        <f t="shared" si="30"/>
        <v>9042385.9799999986</v>
      </c>
      <c r="O316" s="11">
        <f t="shared" si="30"/>
        <v>167271081.30119476</v>
      </c>
      <c r="P316" s="11">
        <f t="shared" si="30"/>
        <v>197202307.48999989</v>
      </c>
      <c r="Q316" s="35"/>
      <c r="R316" s="38">
        <f>SUM(R7:R315)</f>
        <v>2435414487.256104</v>
      </c>
      <c r="S316" s="19">
        <f>R316/U316</f>
        <v>67.900243919177981</v>
      </c>
      <c r="T316" s="38">
        <f t="shared" ref="T316:Z316" si="31">SUM(T7:T315)</f>
        <v>2249472475.5049057</v>
      </c>
      <c r="U316" s="38">
        <f t="shared" si="31"/>
        <v>35867536.64913179</v>
      </c>
      <c r="V316" s="11">
        <f t="shared" si="31"/>
        <v>98104740.300000027</v>
      </c>
      <c r="W316" s="11">
        <f t="shared" si="31"/>
        <v>95912664.59999992</v>
      </c>
      <c r="X316" s="11">
        <f t="shared" si="31"/>
        <v>66901784.589999974</v>
      </c>
      <c r="Y316" s="38">
        <f t="shared" si="31"/>
        <v>260919189.48999998</v>
      </c>
      <c r="Z316" s="11">
        <f t="shared" si="31"/>
        <v>73714387.099999964</v>
      </c>
      <c r="AA316" s="11">
        <f>SUM(AA7:AA315)</f>
        <v>800162</v>
      </c>
    </row>
    <row r="317" spans="1:27" x14ac:dyDescent="0.25">
      <c r="C317" s="6"/>
      <c r="E317" s="6"/>
      <c r="G317" s="6"/>
      <c r="I317" s="6"/>
      <c r="J317" s="6"/>
      <c r="K317" s="6"/>
      <c r="L317" s="6"/>
      <c r="M317" s="6"/>
      <c r="N317" s="6"/>
      <c r="O317" s="6"/>
      <c r="P317" s="6"/>
      <c r="Q317" s="6"/>
      <c r="R317" s="6"/>
      <c r="S317" s="376"/>
      <c r="T317" s="6"/>
      <c r="U317" s="6"/>
      <c r="V317" s="6"/>
      <c r="W317" s="6"/>
      <c r="X317" s="6"/>
      <c r="Y317" s="6"/>
      <c r="Z317" s="6"/>
    </row>
    <row r="318" spans="1:27" x14ac:dyDescent="0.25">
      <c r="C318" s="6"/>
      <c r="I318" s="6"/>
      <c r="J318" s="6"/>
      <c r="K318" s="6"/>
      <c r="L318" s="6"/>
      <c r="M318" s="6"/>
      <c r="N318" s="6"/>
      <c r="R318" s="6"/>
      <c r="T318" s="6"/>
      <c r="U318" s="6"/>
      <c r="V318" s="6"/>
      <c r="W318" s="6"/>
      <c r="X318" s="6"/>
      <c r="Y318" s="6"/>
      <c r="Z318" s="368"/>
    </row>
    <row r="319" spans="1:27" x14ac:dyDescent="0.25">
      <c r="C319" s="6"/>
      <c r="J319" s="6"/>
      <c r="R319" s="6"/>
      <c r="T319" s="6"/>
    </row>
    <row r="320" spans="1:27" x14ac:dyDescent="0.25">
      <c r="C320" s="6"/>
      <c r="G320" s="6"/>
      <c r="J320" s="36"/>
      <c r="R320" s="6"/>
      <c r="T320" s="6"/>
    </row>
    <row r="321" spans="1:18" x14ac:dyDescent="0.25">
      <c r="G321" s="6"/>
      <c r="R321" s="6"/>
    </row>
    <row r="322" spans="1:18" x14ac:dyDescent="0.25">
      <c r="G322" s="6"/>
      <c r="R322" s="36"/>
    </row>
    <row r="323" spans="1:18" x14ac:dyDescent="0.25">
      <c r="G323" s="6"/>
      <c r="R323" s="437"/>
    </row>
    <row r="324" spans="1:18" x14ac:dyDescent="0.25">
      <c r="G324" s="36"/>
      <c r="R324" s="439"/>
    </row>
    <row r="325" spans="1:18" s="6" customFormat="1" x14ac:dyDescent="0.25">
      <c r="A325" s="5"/>
    </row>
  </sheetData>
  <mergeCells count="27">
    <mergeCell ref="Q4:Q6"/>
    <mergeCell ref="O4:O6"/>
    <mergeCell ref="V4:V5"/>
    <mergeCell ref="U4:U5"/>
    <mergeCell ref="Z4:Z5"/>
    <mergeCell ref="X4:X5"/>
    <mergeCell ref="P4:P5"/>
    <mergeCell ref="R4:R6"/>
    <mergeCell ref="AA4:AA5"/>
    <mergeCell ref="S4:S5"/>
    <mergeCell ref="W4:W5"/>
    <mergeCell ref="Y4:Y6"/>
    <mergeCell ref="T4:T6"/>
    <mergeCell ref="A4:A6"/>
    <mergeCell ref="B4:B6"/>
    <mergeCell ref="N4:N6"/>
    <mergeCell ref="C4:C5"/>
    <mergeCell ref="H4:H5"/>
    <mergeCell ref="I4:I5"/>
    <mergeCell ref="J4:J5"/>
    <mergeCell ref="G4:G5"/>
    <mergeCell ref="K4:K5"/>
    <mergeCell ref="L4:L5"/>
    <mergeCell ref="M4:M5"/>
    <mergeCell ref="D4:D6"/>
    <mergeCell ref="E4:E6"/>
    <mergeCell ref="F4:F6"/>
  </mergeCells>
  <phoneticPr fontId="0" type="noConversion"/>
  <pageMargins left="0" right="0" top="0" bottom="0" header="0.51181102362204722" footer="0.51181102362204722"/>
  <pageSetup paperSize="8" scale="70" orientation="landscape" horizontalDpi="4294967292" vertic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00B050"/>
  </sheetPr>
  <dimension ref="A1:J332"/>
  <sheetViews>
    <sheetView workbookViewId="0"/>
  </sheetViews>
  <sheetFormatPr baseColWidth="10" defaultColWidth="11" defaultRowHeight="15" x14ac:dyDescent="0.25"/>
  <cols>
    <col min="1" max="1" width="7.25" style="13" customWidth="1"/>
    <col min="2" max="2" width="17.375" style="13" bestFit="1" customWidth="1"/>
    <col min="3" max="3" width="18" style="6" customWidth="1"/>
    <col min="4" max="4" width="9.875" style="6" bestFit="1" customWidth="1"/>
    <col min="5" max="5" width="10.75" style="6" bestFit="1" customWidth="1"/>
    <col min="6" max="6" width="11.25" style="6" bestFit="1" customWidth="1"/>
    <col min="7" max="7" width="13" style="28" bestFit="1" customWidth="1"/>
    <col min="8" max="8" width="12.25" style="6" bestFit="1" customWidth="1"/>
    <col min="9" max="9" width="11" style="13"/>
    <col min="10" max="10" width="14.625" style="13" bestFit="1" customWidth="1"/>
    <col min="11" max="16384" width="11" style="13"/>
  </cols>
  <sheetData>
    <row r="1" spans="1:10" ht="21" x14ac:dyDescent="0.25">
      <c r="A1" s="51" t="s">
        <v>436</v>
      </c>
      <c r="B1" s="42"/>
      <c r="C1" s="44"/>
      <c r="D1" s="44"/>
      <c r="E1" s="44"/>
      <c r="F1" s="44"/>
      <c r="G1" s="52"/>
      <c r="H1" s="44"/>
    </row>
    <row r="3" spans="1:10" ht="60" x14ac:dyDescent="0.25">
      <c r="A3" s="501" t="s">
        <v>46</v>
      </c>
      <c r="B3" s="501" t="s">
        <v>96</v>
      </c>
      <c r="C3" s="295" t="s">
        <v>425</v>
      </c>
      <c r="D3" s="295" t="s">
        <v>194</v>
      </c>
      <c r="E3" s="498" t="s">
        <v>138</v>
      </c>
      <c r="F3" s="498" t="s">
        <v>371</v>
      </c>
      <c r="G3" s="505" t="s">
        <v>289</v>
      </c>
      <c r="H3" s="498" t="s">
        <v>422</v>
      </c>
      <c r="I3" s="498" t="s">
        <v>565</v>
      </c>
    </row>
    <row r="4" spans="1:10" x14ac:dyDescent="0.25">
      <c r="A4" s="502"/>
      <c r="B4" s="503"/>
      <c r="C4" s="452">
        <f>Paramètres!B11</f>
        <v>0.5</v>
      </c>
      <c r="D4" s="425">
        <f>Paramètres!B12</f>
        <v>0.3</v>
      </c>
      <c r="E4" s="500"/>
      <c r="F4" s="500"/>
      <c r="G4" s="506"/>
      <c r="H4" s="499"/>
      <c r="I4" s="499"/>
    </row>
    <row r="5" spans="1:10" x14ac:dyDescent="0.25">
      <c r="A5" s="46">
        <f>'A) Base RI'!A7</f>
        <v>5401</v>
      </c>
      <c r="B5" s="294" t="str">
        <f>'A) Base RI'!B7</f>
        <v>Aigle</v>
      </c>
      <c r="C5" s="54">
        <f>'B) D RI'!Y7</f>
        <v>1800699.75</v>
      </c>
      <c r="D5" s="14">
        <f>'B) D RI'!Z7</f>
        <v>1058449.45</v>
      </c>
      <c r="E5" s="10">
        <f>C5+D5</f>
        <v>2859149.2</v>
      </c>
      <c r="F5" s="14">
        <f>'B) D RI'!U7</f>
        <v>264997.06649252231</v>
      </c>
      <c r="G5" s="267">
        <f>E5/F5</f>
        <v>10.789361700653693</v>
      </c>
      <c r="H5" s="55">
        <f>(C5*$C$4)+(D5*$D$4)</f>
        <v>1217884.71</v>
      </c>
      <c r="I5" s="428">
        <f>H5/F5</f>
        <v>4.5958422337266374</v>
      </c>
      <c r="J5" s="423"/>
    </row>
    <row r="6" spans="1:10" x14ac:dyDescent="0.25">
      <c r="A6" s="49">
        <f>'A) Base RI'!A8</f>
        <v>5402</v>
      </c>
      <c r="B6" s="294" t="str">
        <f>'A) Base RI'!B8</f>
        <v>Bex</v>
      </c>
      <c r="C6" s="10">
        <f>'B) D RI'!Y8</f>
        <v>883554.95</v>
      </c>
      <c r="D6" s="437">
        <f>'B) D RI'!Z8</f>
        <v>202311.1</v>
      </c>
      <c r="E6" s="10">
        <f t="shared" ref="E6:E69" si="0">C6+D6</f>
        <v>1085866.05</v>
      </c>
      <c r="F6" s="437">
        <f>'B) D RI'!U8</f>
        <v>167576.20795633722</v>
      </c>
      <c r="G6" s="267">
        <f t="shared" ref="G6:G69" si="1">E6/F6</f>
        <v>6.4798342392550596</v>
      </c>
      <c r="H6" s="55">
        <f t="shared" ref="H6:H69" si="2">(C6*$C$4)+(D6*$D$4)</f>
        <v>502470.80499999999</v>
      </c>
      <c r="I6" s="428">
        <f t="shared" ref="I6:I69" si="3">H6/F6</f>
        <v>2.9984614828551388</v>
      </c>
    </row>
    <row r="7" spans="1:10" x14ac:dyDescent="0.25">
      <c r="A7" s="49">
        <f>'A) Base RI'!A9</f>
        <v>5403</v>
      </c>
      <c r="B7" s="294" t="str">
        <f>'A) Base RI'!B9</f>
        <v>Chessel</v>
      </c>
      <c r="C7" s="10">
        <f>'B) D RI'!Y9</f>
        <v>64314.2</v>
      </c>
      <c r="D7" s="437">
        <f>'B) D RI'!Z9</f>
        <v>0</v>
      </c>
      <c r="E7" s="10">
        <f t="shared" si="0"/>
        <v>64314.2</v>
      </c>
      <c r="F7" s="437">
        <f>'B) D RI'!U9</f>
        <v>10084.656029543799</v>
      </c>
      <c r="G7" s="267">
        <f t="shared" si="1"/>
        <v>6.3774311995953505</v>
      </c>
      <c r="H7" s="55">
        <f t="shared" si="2"/>
        <v>32157.1</v>
      </c>
      <c r="I7" s="428">
        <f t="shared" si="3"/>
        <v>3.1887155997976753</v>
      </c>
    </row>
    <row r="8" spans="1:10" x14ac:dyDescent="0.25">
      <c r="A8" s="49">
        <f>'A) Base RI'!A10</f>
        <v>5404</v>
      </c>
      <c r="B8" s="294" t="str">
        <f>'A) Base RI'!B10</f>
        <v>Corbeyrier</v>
      </c>
      <c r="C8" s="10">
        <f>'B) D RI'!Y10</f>
        <v>58358.15</v>
      </c>
      <c r="D8" s="437">
        <f>'B) D RI'!Z10</f>
        <v>22870.9</v>
      </c>
      <c r="E8" s="10">
        <f t="shared" si="0"/>
        <v>81229.05</v>
      </c>
      <c r="F8" s="437">
        <f>'B) D RI'!U10</f>
        <v>11886.055583598994</v>
      </c>
      <c r="G8" s="267">
        <f t="shared" si="1"/>
        <v>6.8339786423415454</v>
      </c>
      <c r="H8" s="55">
        <f t="shared" si="2"/>
        <v>36040.345000000001</v>
      </c>
      <c r="I8" s="428">
        <f t="shared" si="3"/>
        <v>3.0321534967184882</v>
      </c>
    </row>
    <row r="9" spans="1:10" x14ac:dyDescent="0.25">
      <c r="A9" s="49">
        <f>'A) Base RI'!A11</f>
        <v>5405</v>
      </c>
      <c r="B9" s="294" t="str">
        <f>'A) Base RI'!B11</f>
        <v>Gryon</v>
      </c>
      <c r="C9" s="10">
        <f>'B) D RI'!Y11</f>
        <v>1576227.35</v>
      </c>
      <c r="D9" s="437">
        <f>'B) D RI'!Z11</f>
        <v>0</v>
      </c>
      <c r="E9" s="10">
        <f t="shared" si="0"/>
        <v>1576227.35</v>
      </c>
      <c r="F9" s="437">
        <f>'B) D RI'!U11</f>
        <v>67043.99833693559</v>
      </c>
      <c r="G9" s="267">
        <f t="shared" si="1"/>
        <v>23.510342299075436</v>
      </c>
      <c r="H9" s="55">
        <f t="shared" si="2"/>
        <v>788113.67500000005</v>
      </c>
      <c r="I9" s="428">
        <f t="shared" si="3"/>
        <v>11.755171149537718</v>
      </c>
    </row>
    <row r="10" spans="1:10" x14ac:dyDescent="0.25">
      <c r="A10" s="49">
        <f>'A) Base RI'!A12</f>
        <v>5406</v>
      </c>
      <c r="B10" s="294" t="str">
        <f>'A) Base RI'!B12</f>
        <v>Lavey-Morcles</v>
      </c>
      <c r="C10" s="10">
        <f>'B) D RI'!Y12</f>
        <v>47373.299999999996</v>
      </c>
      <c r="D10" s="437">
        <f>'B) D RI'!Z12</f>
        <v>5025.7</v>
      </c>
      <c r="E10" s="10">
        <f t="shared" si="0"/>
        <v>52398.999999999993</v>
      </c>
      <c r="F10" s="437">
        <f>'B) D RI'!U12</f>
        <v>21182.431428934582</v>
      </c>
      <c r="G10" s="267">
        <f t="shared" si="1"/>
        <v>2.473700914637424</v>
      </c>
      <c r="H10" s="55">
        <f t="shared" si="2"/>
        <v>25194.359999999997</v>
      </c>
      <c r="I10" s="428">
        <f t="shared" si="3"/>
        <v>1.1893988697437838</v>
      </c>
    </row>
    <row r="11" spans="1:10" x14ac:dyDescent="0.25">
      <c r="A11" s="49">
        <f>'A) Base RI'!A13</f>
        <v>5407</v>
      </c>
      <c r="B11" s="294" t="str">
        <f>'A) Base RI'!B13</f>
        <v>Leysin</v>
      </c>
      <c r="C11" s="10">
        <f>'B) D RI'!Y13</f>
        <v>422259.20000000001</v>
      </c>
      <c r="D11" s="437">
        <f>'B) D RI'!Z13</f>
        <v>40574.25</v>
      </c>
      <c r="E11" s="10">
        <f t="shared" si="0"/>
        <v>462833.45</v>
      </c>
      <c r="F11" s="437">
        <f>'B) D RI'!U13</f>
        <v>87800.052646256067</v>
      </c>
      <c r="G11" s="267">
        <f t="shared" si="1"/>
        <v>5.2714484336899305</v>
      </c>
      <c r="H11" s="55">
        <f t="shared" si="2"/>
        <v>223301.875</v>
      </c>
      <c r="I11" s="428">
        <f t="shared" si="3"/>
        <v>2.5433000125828733</v>
      </c>
    </row>
    <row r="12" spans="1:10" x14ac:dyDescent="0.25">
      <c r="A12" s="49">
        <f>'A) Base RI'!A14</f>
        <v>5408</v>
      </c>
      <c r="B12" s="294" t="str">
        <f>'A) Base RI'!B14</f>
        <v>Noville</v>
      </c>
      <c r="C12" s="10">
        <f>'B) D RI'!Y14</f>
        <v>437924.2</v>
      </c>
      <c r="D12" s="437">
        <f>'B) D RI'!Z14</f>
        <v>139114.85</v>
      </c>
      <c r="E12" s="10">
        <f t="shared" si="0"/>
        <v>577039.05000000005</v>
      </c>
      <c r="F12" s="437">
        <f>'B) D RI'!U14</f>
        <v>34485.089397525851</v>
      </c>
      <c r="G12" s="267">
        <f t="shared" si="1"/>
        <v>16.733001424128538</v>
      </c>
      <c r="H12" s="55">
        <f t="shared" si="2"/>
        <v>260696.55499999999</v>
      </c>
      <c r="I12" s="428">
        <f t="shared" si="3"/>
        <v>7.5596891164998343</v>
      </c>
    </row>
    <row r="13" spans="1:10" x14ac:dyDescent="0.25">
      <c r="A13" s="49">
        <f>'A) Base RI'!A15</f>
        <v>5409</v>
      </c>
      <c r="B13" s="294" t="str">
        <f>'A) Base RI'!B15</f>
        <v>Ollon</v>
      </c>
      <c r="C13" s="10">
        <f>'B) D RI'!Y15</f>
        <v>4101287</v>
      </c>
      <c r="D13" s="437">
        <f>'B) D RI'!Z15</f>
        <v>74320.850000000006</v>
      </c>
      <c r="E13" s="10">
        <f t="shared" si="0"/>
        <v>4175607.85</v>
      </c>
      <c r="F13" s="437">
        <f>'B) D RI'!U15</f>
        <v>364239.90242657869</v>
      </c>
      <c r="G13" s="267">
        <f t="shared" si="1"/>
        <v>11.463894598537825</v>
      </c>
      <c r="H13" s="55">
        <f t="shared" si="2"/>
        <v>2072939.7549999999</v>
      </c>
      <c r="I13" s="428">
        <f t="shared" si="3"/>
        <v>5.6911385633205045</v>
      </c>
    </row>
    <row r="14" spans="1:10" x14ac:dyDescent="0.25">
      <c r="A14" s="49">
        <f>'A) Base RI'!A16</f>
        <v>5410</v>
      </c>
      <c r="B14" s="294" t="str">
        <f>'A) Base RI'!B16</f>
        <v>Ormont-Dessous</v>
      </c>
      <c r="C14" s="10">
        <f>'B) D RI'!Y16</f>
        <v>322735.15000000002</v>
      </c>
      <c r="D14" s="437">
        <f>'B) D RI'!Z16</f>
        <v>0</v>
      </c>
      <c r="E14" s="10">
        <f t="shared" si="0"/>
        <v>322735.15000000002</v>
      </c>
      <c r="F14" s="437">
        <f>'B) D RI'!U16</f>
        <v>43203.907731880769</v>
      </c>
      <c r="G14" s="267">
        <f t="shared" si="1"/>
        <v>7.4700453487416656</v>
      </c>
      <c r="H14" s="55">
        <f t="shared" si="2"/>
        <v>161367.57500000001</v>
      </c>
      <c r="I14" s="428">
        <f t="shared" si="3"/>
        <v>3.7350226743708328</v>
      </c>
    </row>
    <row r="15" spans="1:10" x14ac:dyDescent="0.25">
      <c r="A15" s="49">
        <f>'A) Base RI'!A17</f>
        <v>5411</v>
      </c>
      <c r="B15" s="294" t="str">
        <f>'A) Base RI'!B17</f>
        <v>Ormont-Dessus</v>
      </c>
      <c r="C15" s="10">
        <f>'B) D RI'!Y17</f>
        <v>737504.75</v>
      </c>
      <c r="D15" s="437">
        <f>'B) D RI'!Z17</f>
        <v>10324.950000000001</v>
      </c>
      <c r="E15" s="10">
        <f t="shared" si="0"/>
        <v>747829.7</v>
      </c>
      <c r="F15" s="437">
        <f>'B) D RI'!U17</f>
        <v>72610.798338858935</v>
      </c>
      <c r="G15" s="267">
        <f t="shared" si="1"/>
        <v>10.299152703294075</v>
      </c>
      <c r="H15" s="55">
        <f t="shared" si="2"/>
        <v>371849.86</v>
      </c>
      <c r="I15" s="428">
        <f t="shared" si="3"/>
        <v>5.1211371931851914</v>
      </c>
    </row>
    <row r="16" spans="1:10" x14ac:dyDescent="0.25">
      <c r="A16" s="49">
        <f>'A) Base RI'!A18</f>
        <v>5412</v>
      </c>
      <c r="B16" s="294" t="str">
        <f>'A) Base RI'!B18</f>
        <v>Rennaz</v>
      </c>
      <c r="C16" s="10">
        <f>'B) D RI'!Y18</f>
        <v>824168.8</v>
      </c>
      <c r="D16" s="437">
        <f>'B) D RI'!Z18</f>
        <v>91968.35</v>
      </c>
      <c r="E16" s="10">
        <f t="shared" si="0"/>
        <v>916137.15</v>
      </c>
      <c r="F16" s="437">
        <f>'B) D RI'!U18</f>
        <v>26466.15780602719</v>
      </c>
      <c r="G16" s="267">
        <f t="shared" si="1"/>
        <v>34.615419310745828</v>
      </c>
      <c r="H16" s="55">
        <f t="shared" si="2"/>
        <v>439674.90500000003</v>
      </c>
      <c r="I16" s="428">
        <f t="shared" si="3"/>
        <v>16.612721356171768</v>
      </c>
    </row>
    <row r="17" spans="1:9" x14ac:dyDescent="0.25">
      <c r="A17" s="49">
        <f>'A) Base RI'!A19</f>
        <v>5413</v>
      </c>
      <c r="B17" s="294" t="str">
        <f>'A) Base RI'!B19</f>
        <v>Roche</v>
      </c>
      <c r="C17" s="10">
        <f>'B) D RI'!Y19</f>
        <v>361599.60000000003</v>
      </c>
      <c r="D17" s="437">
        <f>'B) D RI'!Z19</f>
        <v>228358.3</v>
      </c>
      <c r="E17" s="10">
        <f t="shared" si="0"/>
        <v>589957.9</v>
      </c>
      <c r="F17" s="437">
        <f>'B) D RI'!U19</f>
        <v>37990.385509658925</v>
      </c>
      <c r="G17" s="267">
        <f t="shared" si="1"/>
        <v>15.529136966772954</v>
      </c>
      <c r="H17" s="55">
        <f t="shared" si="2"/>
        <v>249307.29</v>
      </c>
      <c r="I17" s="428">
        <f t="shared" si="3"/>
        <v>6.5623785243404411</v>
      </c>
    </row>
    <row r="18" spans="1:9" x14ac:dyDescent="0.25">
      <c r="A18" s="49">
        <f>'A) Base RI'!A20</f>
        <v>5414</v>
      </c>
      <c r="B18" s="294" t="str">
        <f>'A) Base RI'!B20</f>
        <v>Villeneuve</v>
      </c>
      <c r="C18" s="10">
        <f>'B) D RI'!Y20</f>
        <v>1667299.15</v>
      </c>
      <c r="D18" s="437">
        <f>'B) D RI'!Z20</f>
        <v>1387107.6</v>
      </c>
      <c r="E18" s="10">
        <f t="shared" si="0"/>
        <v>3054406.75</v>
      </c>
      <c r="F18" s="437">
        <f>'B) D RI'!U20</f>
        <v>165545.36815921174</v>
      </c>
      <c r="G18" s="267">
        <f t="shared" si="1"/>
        <v>18.450572093702146</v>
      </c>
      <c r="H18" s="55">
        <f t="shared" si="2"/>
        <v>1249781.855</v>
      </c>
      <c r="I18" s="428">
        <f t="shared" si="3"/>
        <v>7.549482470557761</v>
      </c>
    </row>
    <row r="19" spans="1:9" x14ac:dyDescent="0.25">
      <c r="A19" s="49">
        <f>'A) Base RI'!A21</f>
        <v>5415</v>
      </c>
      <c r="B19" s="294" t="str">
        <f>'A) Base RI'!B21</f>
        <v>Yvorne</v>
      </c>
      <c r="C19" s="10">
        <f>'B) D RI'!Y21</f>
        <v>139863.45000000001</v>
      </c>
      <c r="D19" s="437">
        <f>'B) D RI'!Z21</f>
        <v>37308.5</v>
      </c>
      <c r="E19" s="10">
        <f t="shared" si="0"/>
        <v>177171.95</v>
      </c>
      <c r="F19" s="437">
        <f>'B) D RI'!U21</f>
        <v>33364.537599401883</v>
      </c>
      <c r="G19" s="267">
        <f t="shared" si="1"/>
        <v>5.3101874849054145</v>
      </c>
      <c r="H19" s="55">
        <f t="shared" si="2"/>
        <v>81124.275000000009</v>
      </c>
      <c r="I19" s="428">
        <f t="shared" si="3"/>
        <v>2.4314520996524855</v>
      </c>
    </row>
    <row r="20" spans="1:9" x14ac:dyDescent="0.25">
      <c r="A20" s="49">
        <f>'A) Base RI'!A22</f>
        <v>5421</v>
      </c>
      <c r="B20" s="294" t="str">
        <f>'A) Base RI'!B22</f>
        <v>Apples</v>
      </c>
      <c r="C20" s="10">
        <f>'B) D RI'!Y22</f>
        <v>182794.25</v>
      </c>
      <c r="D20" s="437">
        <f>'B) D RI'!Z22</f>
        <v>27569.15</v>
      </c>
      <c r="E20" s="10">
        <f t="shared" si="0"/>
        <v>210363.4</v>
      </c>
      <c r="F20" s="437">
        <f>'B) D RI'!U22</f>
        <v>66975.284470984901</v>
      </c>
      <c r="G20" s="267">
        <f t="shared" si="1"/>
        <v>3.1409108846881244</v>
      </c>
      <c r="H20" s="55">
        <f t="shared" si="2"/>
        <v>99667.87</v>
      </c>
      <c r="I20" s="428">
        <f t="shared" si="3"/>
        <v>1.4881291029555568</v>
      </c>
    </row>
    <row r="21" spans="1:9" x14ac:dyDescent="0.25">
      <c r="A21" s="49">
        <f>'A) Base RI'!A23</f>
        <v>5422</v>
      </c>
      <c r="B21" s="294" t="str">
        <f>'A) Base RI'!B23</f>
        <v>Aubonne</v>
      </c>
      <c r="C21" s="10">
        <f>'B) D RI'!Y23</f>
        <v>2356211.35</v>
      </c>
      <c r="D21" s="437">
        <f>'B) D RI'!Z23</f>
        <v>883114.1</v>
      </c>
      <c r="E21" s="10">
        <f t="shared" si="0"/>
        <v>3239325.45</v>
      </c>
      <c r="F21" s="437">
        <f>'B) D RI'!U23</f>
        <v>225566.61726643931</v>
      </c>
      <c r="G21" s="267">
        <f t="shared" si="1"/>
        <v>14.360837118790981</v>
      </c>
      <c r="H21" s="55">
        <f t="shared" si="2"/>
        <v>1443039.905</v>
      </c>
      <c r="I21" s="428">
        <f t="shared" si="3"/>
        <v>6.3974001228004456</v>
      </c>
    </row>
    <row r="22" spans="1:9" x14ac:dyDescent="0.25">
      <c r="A22" s="49">
        <f>'A) Base RI'!A24</f>
        <v>5423</v>
      </c>
      <c r="B22" s="294" t="str">
        <f>'A) Base RI'!B24</f>
        <v>Ballens</v>
      </c>
      <c r="C22" s="10">
        <f>'B) D RI'!Y24</f>
        <v>34340.050000000003</v>
      </c>
      <c r="D22" s="437">
        <f>'B) D RI'!Z24</f>
        <v>20050.099999999999</v>
      </c>
      <c r="E22" s="10">
        <f t="shared" si="0"/>
        <v>54390.15</v>
      </c>
      <c r="F22" s="437">
        <f>'B) D RI'!U24</f>
        <v>13546.834391748147</v>
      </c>
      <c r="G22" s="267">
        <f t="shared" si="1"/>
        <v>4.0149712048691582</v>
      </c>
      <c r="H22" s="55">
        <f t="shared" si="2"/>
        <v>23185.055</v>
      </c>
      <c r="I22" s="428">
        <f t="shared" si="3"/>
        <v>1.7114740115316411</v>
      </c>
    </row>
    <row r="23" spans="1:9" x14ac:dyDescent="0.25">
      <c r="A23" s="49">
        <f>'A) Base RI'!A25</f>
        <v>5424</v>
      </c>
      <c r="B23" s="294" t="str">
        <f>'A) Base RI'!B25</f>
        <v>Berolle</v>
      </c>
      <c r="C23" s="10">
        <f>'B) D RI'!Y25</f>
        <v>8552.35</v>
      </c>
      <c r="D23" s="437">
        <f>'B) D RI'!Z25</f>
        <v>0</v>
      </c>
      <c r="E23" s="10">
        <f t="shared" si="0"/>
        <v>8552.35</v>
      </c>
      <c r="F23" s="437">
        <f>'B) D RI'!U25</f>
        <v>9307.5930888942275</v>
      </c>
      <c r="G23" s="267">
        <f t="shared" si="1"/>
        <v>0.9188573155614872</v>
      </c>
      <c r="H23" s="55">
        <f t="shared" si="2"/>
        <v>4276.1750000000002</v>
      </c>
      <c r="I23" s="428">
        <f t="shared" si="3"/>
        <v>0.4594286577807436</v>
      </c>
    </row>
    <row r="24" spans="1:9" x14ac:dyDescent="0.25">
      <c r="A24" s="49">
        <f>'A) Base RI'!A26</f>
        <v>5425</v>
      </c>
      <c r="B24" s="294" t="str">
        <f>'A) Base RI'!B26</f>
        <v>Bière</v>
      </c>
      <c r="C24" s="10">
        <f>'B) D RI'!Y26</f>
        <v>153294.75</v>
      </c>
      <c r="D24" s="437">
        <f>'B) D RI'!Z26</f>
        <v>57880.65</v>
      </c>
      <c r="E24" s="10">
        <f t="shared" si="0"/>
        <v>211175.4</v>
      </c>
      <c r="F24" s="437">
        <f>'B) D RI'!U26</f>
        <v>38506.775780608448</v>
      </c>
      <c r="G24" s="267">
        <f t="shared" si="1"/>
        <v>5.4841101525395795</v>
      </c>
      <c r="H24" s="55">
        <f t="shared" si="2"/>
        <v>94011.57</v>
      </c>
      <c r="I24" s="428">
        <f t="shared" si="3"/>
        <v>2.441429283397524</v>
      </c>
    </row>
    <row r="25" spans="1:9" x14ac:dyDescent="0.25">
      <c r="A25" s="49">
        <f>'A) Base RI'!A27</f>
        <v>5426</v>
      </c>
      <c r="B25" s="294" t="str">
        <f>'A) Base RI'!B27</f>
        <v>Bougy-Villars</v>
      </c>
      <c r="C25" s="10">
        <f>'B) D RI'!Y27</f>
        <v>2276857.8499999996</v>
      </c>
      <c r="D25" s="437">
        <f>'B) D RI'!Z27</f>
        <v>16551.05</v>
      </c>
      <c r="E25" s="10">
        <f t="shared" si="0"/>
        <v>2293408.8999999994</v>
      </c>
      <c r="F25" s="437">
        <f>'B) D RI'!U27</f>
        <v>50656.587213056948</v>
      </c>
      <c r="G25" s="267">
        <f t="shared" si="1"/>
        <v>45.273655928579089</v>
      </c>
      <c r="H25" s="55">
        <f t="shared" si="2"/>
        <v>1143394.2399999998</v>
      </c>
      <c r="I25" s="428">
        <f t="shared" si="3"/>
        <v>22.571481872455969</v>
      </c>
    </row>
    <row r="26" spans="1:9" x14ac:dyDescent="0.25">
      <c r="A26" s="49">
        <f>'A) Base RI'!A28</f>
        <v>5427</v>
      </c>
      <c r="B26" s="294" t="str">
        <f>'A) Base RI'!B28</f>
        <v>Féchy</v>
      </c>
      <c r="C26" s="10">
        <f>'B) D RI'!Y28</f>
        <v>424557.19999999995</v>
      </c>
      <c r="D26" s="437">
        <f>'B) D RI'!Z28</f>
        <v>11374.1</v>
      </c>
      <c r="E26" s="10">
        <f t="shared" si="0"/>
        <v>435931.29999999993</v>
      </c>
      <c r="F26" s="437">
        <f>'B) D RI'!U28</f>
        <v>72785.387066428128</v>
      </c>
      <c r="G26" s="267">
        <f t="shared" si="1"/>
        <v>5.9892695164503831</v>
      </c>
      <c r="H26" s="55">
        <f t="shared" si="2"/>
        <v>215690.83</v>
      </c>
      <c r="I26" s="428">
        <f t="shared" si="3"/>
        <v>2.9633809572675371</v>
      </c>
    </row>
    <row r="27" spans="1:9" x14ac:dyDescent="0.25">
      <c r="A27" s="49">
        <f>'A) Base RI'!A29</f>
        <v>5428</v>
      </c>
      <c r="B27" s="294" t="str">
        <f>'A) Base RI'!B29</f>
        <v>Gimel</v>
      </c>
      <c r="C27" s="10">
        <f>'B) D RI'!Y29</f>
        <v>704468.5</v>
      </c>
      <c r="D27" s="437">
        <f>'B) D RI'!Z29</f>
        <v>228410.25</v>
      </c>
      <c r="E27" s="10">
        <f t="shared" si="0"/>
        <v>932878.75</v>
      </c>
      <c r="F27" s="437">
        <f>'B) D RI'!U29</f>
        <v>58910.135180018216</v>
      </c>
      <c r="G27" s="267">
        <f t="shared" si="1"/>
        <v>15.835623991513501</v>
      </c>
      <c r="H27" s="55">
        <f t="shared" si="2"/>
        <v>420757.32500000001</v>
      </c>
      <c r="I27" s="428">
        <f t="shared" si="3"/>
        <v>7.142358843928049</v>
      </c>
    </row>
    <row r="28" spans="1:9" x14ac:dyDescent="0.25">
      <c r="A28" s="49">
        <f>'A) Base RI'!A30</f>
        <v>5429</v>
      </c>
      <c r="B28" s="294" t="str">
        <f>'A) Base RI'!B30</f>
        <v>Longirod</v>
      </c>
      <c r="C28" s="10">
        <f>'B) D RI'!Y30</f>
        <v>72785.399999999994</v>
      </c>
      <c r="D28" s="437">
        <f>'B) D RI'!Z30</f>
        <v>0</v>
      </c>
      <c r="E28" s="10">
        <f t="shared" si="0"/>
        <v>72785.399999999994</v>
      </c>
      <c r="F28" s="437">
        <f>'B) D RI'!U30</f>
        <v>13766.784256066006</v>
      </c>
      <c r="G28" s="267">
        <f t="shared" si="1"/>
        <v>5.2870299008229784</v>
      </c>
      <c r="H28" s="55">
        <f t="shared" si="2"/>
        <v>36392.699999999997</v>
      </c>
      <c r="I28" s="428">
        <f t="shared" si="3"/>
        <v>2.6435149504114892</v>
      </c>
    </row>
    <row r="29" spans="1:9" x14ac:dyDescent="0.25">
      <c r="A29" s="49">
        <f>'A) Base RI'!A31</f>
        <v>5430</v>
      </c>
      <c r="B29" s="294" t="str">
        <f>'A) Base RI'!B31</f>
        <v>Marchissy</v>
      </c>
      <c r="C29" s="10">
        <f>'B) D RI'!Y31</f>
        <v>69580.800000000003</v>
      </c>
      <c r="D29" s="437">
        <f>'B) D RI'!Z31</f>
        <v>6788.55</v>
      </c>
      <c r="E29" s="10">
        <f t="shared" si="0"/>
        <v>76369.350000000006</v>
      </c>
      <c r="F29" s="437">
        <f>'B) D RI'!U31</f>
        <v>13685.946067131534</v>
      </c>
      <c r="G29" s="267">
        <f t="shared" si="1"/>
        <v>5.5801293988298184</v>
      </c>
      <c r="H29" s="55">
        <f t="shared" si="2"/>
        <v>36826.965000000004</v>
      </c>
      <c r="I29" s="428">
        <f t="shared" si="3"/>
        <v>2.6908600121145039</v>
      </c>
    </row>
    <row r="30" spans="1:9" x14ac:dyDescent="0.25">
      <c r="A30" s="49">
        <f>'A) Base RI'!A32</f>
        <v>5431</v>
      </c>
      <c r="B30" s="294" t="str">
        <f>'A) Base RI'!B32</f>
        <v>Mollens</v>
      </c>
      <c r="C30" s="10">
        <f>'B) D RI'!Y32</f>
        <v>95069.6</v>
      </c>
      <c r="D30" s="437">
        <f>'B) D RI'!Z32</f>
        <v>275.7</v>
      </c>
      <c r="E30" s="10">
        <f t="shared" si="0"/>
        <v>95345.3</v>
      </c>
      <c r="F30" s="437">
        <f>'B) D RI'!U32</f>
        <v>8631.0396252458468</v>
      </c>
      <c r="G30" s="267">
        <f t="shared" si="1"/>
        <v>11.04679205980174</v>
      </c>
      <c r="H30" s="55">
        <f t="shared" si="2"/>
        <v>47617.51</v>
      </c>
      <c r="I30" s="428">
        <f t="shared" si="3"/>
        <v>5.5170074599957202</v>
      </c>
    </row>
    <row r="31" spans="1:9" x14ac:dyDescent="0.25">
      <c r="A31" s="49">
        <f>'A) Base RI'!A33</f>
        <v>5432</v>
      </c>
      <c r="B31" s="294" t="str">
        <f>'A) Base RI'!B33</f>
        <v>Montherod</v>
      </c>
      <c r="C31" s="10">
        <f>'B) D RI'!Y33</f>
        <v>45323.55</v>
      </c>
      <c r="D31" s="437">
        <f>'B) D RI'!Z33</f>
        <v>16499.2</v>
      </c>
      <c r="E31" s="10">
        <f t="shared" si="0"/>
        <v>61822.75</v>
      </c>
      <c r="F31" s="437">
        <f>'B) D RI'!U33</f>
        <v>18119.784125682436</v>
      </c>
      <c r="G31" s="267">
        <f t="shared" si="1"/>
        <v>3.4118921931511479</v>
      </c>
      <c r="H31" s="55">
        <f t="shared" si="2"/>
        <v>27611.535000000003</v>
      </c>
      <c r="I31" s="428">
        <f t="shared" si="3"/>
        <v>1.5238335516847712</v>
      </c>
    </row>
    <row r="32" spans="1:9" x14ac:dyDescent="0.25">
      <c r="A32" s="49">
        <f>'A) Base RI'!A34</f>
        <v>5434</v>
      </c>
      <c r="B32" s="294" t="str">
        <f>'A) Base RI'!B34</f>
        <v>Saint-George</v>
      </c>
      <c r="C32" s="10">
        <f>'B) D RI'!Y34</f>
        <v>326138.65000000002</v>
      </c>
      <c r="D32" s="437">
        <f>'B) D RI'!Z34</f>
        <v>35998.949999999997</v>
      </c>
      <c r="E32" s="10">
        <f t="shared" si="0"/>
        <v>362137.60000000003</v>
      </c>
      <c r="F32" s="437">
        <f>'B) D RI'!U34</f>
        <v>36673.941124861783</v>
      </c>
      <c r="G32" s="267">
        <f t="shared" si="1"/>
        <v>9.8745209511857404</v>
      </c>
      <c r="H32" s="55">
        <f t="shared" si="2"/>
        <v>173869.01</v>
      </c>
      <c r="I32" s="428">
        <f t="shared" si="3"/>
        <v>4.7409415150675409</v>
      </c>
    </row>
    <row r="33" spans="1:9" x14ac:dyDescent="0.25">
      <c r="A33" s="49">
        <f>'A) Base RI'!A35</f>
        <v>5435</v>
      </c>
      <c r="B33" s="294" t="str">
        <f>'A) Base RI'!B35</f>
        <v>Saint-Livres</v>
      </c>
      <c r="C33" s="10">
        <f>'B) D RI'!Y35</f>
        <v>87594.6</v>
      </c>
      <c r="D33" s="437">
        <f>'B) D RI'!Z35</f>
        <v>1718.3</v>
      </c>
      <c r="E33" s="10">
        <f t="shared" si="0"/>
        <v>89312.900000000009</v>
      </c>
      <c r="F33" s="437">
        <f>'B) D RI'!U35</f>
        <v>24134.317552979472</v>
      </c>
      <c r="G33" s="267">
        <f t="shared" si="1"/>
        <v>3.7006598510167525</v>
      </c>
      <c r="H33" s="55">
        <f t="shared" si="2"/>
        <v>44312.79</v>
      </c>
      <c r="I33" s="428">
        <f t="shared" si="3"/>
        <v>1.8360904509822953</v>
      </c>
    </row>
    <row r="34" spans="1:9" x14ac:dyDescent="0.25">
      <c r="A34" s="49">
        <f>'A) Base RI'!A36</f>
        <v>5436</v>
      </c>
      <c r="B34" s="294" t="str">
        <f>'A) Base RI'!B36</f>
        <v>Saint-Oyens</v>
      </c>
      <c r="C34" s="10">
        <f>'B) D RI'!Y36</f>
        <v>114474.85</v>
      </c>
      <c r="D34" s="437">
        <f>'B) D RI'!Z36</f>
        <v>0</v>
      </c>
      <c r="E34" s="10">
        <f t="shared" si="0"/>
        <v>114474.85</v>
      </c>
      <c r="F34" s="437">
        <f>'B) D RI'!U36</f>
        <v>15081.317332619743</v>
      </c>
      <c r="G34" s="267">
        <f t="shared" si="1"/>
        <v>7.5905073459597334</v>
      </c>
      <c r="H34" s="55">
        <f t="shared" si="2"/>
        <v>57237.425000000003</v>
      </c>
      <c r="I34" s="428">
        <f t="shared" si="3"/>
        <v>3.7952536729798667</v>
      </c>
    </row>
    <row r="35" spans="1:9" x14ac:dyDescent="0.25">
      <c r="A35" s="49">
        <f>'A) Base RI'!A37</f>
        <v>5437</v>
      </c>
      <c r="B35" s="294" t="str">
        <f>'A) Base RI'!B37</f>
        <v>Saubraz</v>
      </c>
      <c r="C35" s="10">
        <f>'B) D RI'!Y37</f>
        <v>81923.95</v>
      </c>
      <c r="D35" s="437">
        <f>'B) D RI'!Z37</f>
        <v>0</v>
      </c>
      <c r="E35" s="10">
        <f t="shared" si="0"/>
        <v>81923.95</v>
      </c>
      <c r="F35" s="437">
        <f>'B) D RI'!U37</f>
        <v>11367.539443741156</v>
      </c>
      <c r="G35" s="267">
        <f t="shared" si="1"/>
        <v>7.2068322617614875</v>
      </c>
      <c r="H35" s="55">
        <f t="shared" si="2"/>
        <v>40961.974999999999</v>
      </c>
      <c r="I35" s="428">
        <f t="shared" si="3"/>
        <v>3.6034161308807438</v>
      </c>
    </row>
    <row r="36" spans="1:9" x14ac:dyDescent="0.25">
      <c r="A36" s="49">
        <f>'A) Base RI'!A38</f>
        <v>5451</v>
      </c>
      <c r="B36" s="294" t="str">
        <f>'A) Base RI'!B38</f>
        <v>Avenches</v>
      </c>
      <c r="C36" s="10">
        <f>'B) D RI'!Y38</f>
        <v>1034409.9</v>
      </c>
      <c r="D36" s="437">
        <f>'B) D RI'!Z38</f>
        <v>582876.80000000005</v>
      </c>
      <c r="E36" s="10">
        <f t="shared" si="0"/>
        <v>1617286.7000000002</v>
      </c>
      <c r="F36" s="437">
        <f>'B) D RI'!U38</f>
        <v>129470.05703979287</v>
      </c>
      <c r="G36" s="267">
        <f t="shared" si="1"/>
        <v>12.491588688363086</v>
      </c>
      <c r="H36" s="55">
        <f t="shared" si="2"/>
        <v>692067.99</v>
      </c>
      <c r="I36" s="428">
        <f t="shared" si="3"/>
        <v>5.3453903228550486</v>
      </c>
    </row>
    <row r="37" spans="1:9" x14ac:dyDescent="0.25">
      <c r="A37" s="49">
        <f>'A) Base RI'!A39</f>
        <v>5456</v>
      </c>
      <c r="B37" s="294" t="str">
        <f>'A) Base RI'!B39</f>
        <v>Cudrefin</v>
      </c>
      <c r="C37" s="10">
        <f>'B) D RI'!Y39</f>
        <v>508927.3</v>
      </c>
      <c r="D37" s="437">
        <f>'B) D RI'!Z39</f>
        <v>10293.4</v>
      </c>
      <c r="E37" s="10">
        <f t="shared" si="0"/>
        <v>519220.7</v>
      </c>
      <c r="F37" s="437">
        <f>'B) D RI'!U39</f>
        <v>57775.409957876167</v>
      </c>
      <c r="G37" s="267">
        <f t="shared" si="1"/>
        <v>8.9868804112088831</v>
      </c>
      <c r="H37" s="55">
        <f t="shared" si="2"/>
        <v>257551.66999999998</v>
      </c>
      <c r="I37" s="428">
        <f t="shared" si="3"/>
        <v>4.4578077453328318</v>
      </c>
    </row>
    <row r="38" spans="1:9" x14ac:dyDescent="0.25">
      <c r="A38" s="49">
        <f>'A) Base RI'!A40</f>
        <v>5458</v>
      </c>
      <c r="B38" s="294" t="str">
        <f>'A) Base RI'!B40</f>
        <v>Faoug</v>
      </c>
      <c r="C38" s="10">
        <f>'B) D RI'!Y40</f>
        <v>250275.25</v>
      </c>
      <c r="D38" s="437">
        <f>'B) D RI'!Z40</f>
        <v>0</v>
      </c>
      <c r="E38" s="10">
        <f t="shared" si="0"/>
        <v>250275.25</v>
      </c>
      <c r="F38" s="437">
        <f>'B) D RI'!U40</f>
        <v>30027.038437033407</v>
      </c>
      <c r="G38" s="267">
        <f t="shared" si="1"/>
        <v>8.334996157707204</v>
      </c>
      <c r="H38" s="55">
        <f t="shared" si="2"/>
        <v>125137.625</v>
      </c>
      <c r="I38" s="428">
        <f t="shared" si="3"/>
        <v>4.167498078853602</v>
      </c>
    </row>
    <row r="39" spans="1:9" x14ac:dyDescent="0.25">
      <c r="A39" s="49">
        <f>'A) Base RI'!A41</f>
        <v>5464</v>
      </c>
      <c r="B39" s="294" t="str">
        <f>'A) Base RI'!B41</f>
        <v>Vully-les-Lacs</v>
      </c>
      <c r="C39" s="10">
        <f>'B) D RI'!Y41</f>
        <v>779740.25</v>
      </c>
      <c r="D39" s="437">
        <f>'B) D RI'!Z41</f>
        <v>0</v>
      </c>
      <c r="E39" s="10">
        <f t="shared" si="0"/>
        <v>779740.25</v>
      </c>
      <c r="F39" s="437">
        <f>'B) D RI'!U41</f>
        <v>103697.32714902573</v>
      </c>
      <c r="G39" s="267">
        <f t="shared" si="1"/>
        <v>7.5193861928516048</v>
      </c>
      <c r="H39" s="55">
        <f t="shared" si="2"/>
        <v>389870.125</v>
      </c>
      <c r="I39" s="428">
        <f t="shared" si="3"/>
        <v>3.7596930964258024</v>
      </c>
    </row>
    <row r="40" spans="1:9" x14ac:dyDescent="0.25">
      <c r="A40" s="49">
        <f>'A) Base RI'!A42</f>
        <v>5471</v>
      </c>
      <c r="B40" s="294" t="str">
        <f>'A) Base RI'!B42</f>
        <v>Bettens</v>
      </c>
      <c r="C40" s="10">
        <f>'B) D RI'!Y42</f>
        <v>62410.9</v>
      </c>
      <c r="D40" s="437">
        <f>'B) D RI'!Z42</f>
        <v>17517.349999999999</v>
      </c>
      <c r="E40" s="10">
        <f t="shared" si="0"/>
        <v>79928.25</v>
      </c>
      <c r="F40" s="437">
        <f>'B) D RI'!U42</f>
        <v>18256.794083184803</v>
      </c>
      <c r="G40" s="267">
        <f t="shared" si="1"/>
        <v>4.3780003014667805</v>
      </c>
      <c r="H40" s="55">
        <f t="shared" si="2"/>
        <v>36460.654999999999</v>
      </c>
      <c r="I40" s="428">
        <f t="shared" si="3"/>
        <v>1.9971006319001889</v>
      </c>
    </row>
    <row r="41" spans="1:9" x14ac:dyDescent="0.25">
      <c r="A41" s="49">
        <f>'A) Base RI'!A43</f>
        <v>5472</v>
      </c>
      <c r="B41" s="294" t="str">
        <f>'A) Base RI'!B43</f>
        <v>Bournens</v>
      </c>
      <c r="C41" s="10">
        <f>'B) D RI'!Y43</f>
        <v>41817.149999999994</v>
      </c>
      <c r="D41" s="437">
        <f>'B) D RI'!Z43</f>
        <v>0</v>
      </c>
      <c r="E41" s="10">
        <f t="shared" si="0"/>
        <v>41817.149999999994</v>
      </c>
      <c r="F41" s="437">
        <f>'B) D RI'!U43</f>
        <v>16446.057551579073</v>
      </c>
      <c r="G41" s="267">
        <f t="shared" si="1"/>
        <v>2.5426853742211857</v>
      </c>
      <c r="H41" s="55">
        <f t="shared" si="2"/>
        <v>20908.574999999997</v>
      </c>
      <c r="I41" s="428">
        <f t="shared" si="3"/>
        <v>1.2713426871105928</v>
      </c>
    </row>
    <row r="42" spans="1:9" x14ac:dyDescent="0.25">
      <c r="A42" s="49">
        <f>'A) Base RI'!A44</f>
        <v>5473</v>
      </c>
      <c r="B42" s="294" t="str">
        <f>'A) Base RI'!B44</f>
        <v>Boussens</v>
      </c>
      <c r="C42" s="10">
        <f>'B) D RI'!Y44</f>
        <v>80702.850000000006</v>
      </c>
      <c r="D42" s="437">
        <f>'B) D RI'!Z44</f>
        <v>0</v>
      </c>
      <c r="E42" s="10">
        <f t="shared" si="0"/>
        <v>80702.850000000006</v>
      </c>
      <c r="F42" s="437">
        <f>'B) D RI'!U44</f>
        <v>35765.75205607291</v>
      </c>
      <c r="G42" s="267">
        <f t="shared" si="1"/>
        <v>2.2564281571229232</v>
      </c>
      <c r="H42" s="55">
        <f t="shared" si="2"/>
        <v>40351.425000000003</v>
      </c>
      <c r="I42" s="428">
        <f t="shared" si="3"/>
        <v>1.1282140785614616</v>
      </c>
    </row>
    <row r="43" spans="1:9" x14ac:dyDescent="0.25">
      <c r="A43" s="49">
        <f>'A) Base RI'!A45</f>
        <v>5474</v>
      </c>
      <c r="B43" s="294" t="str">
        <f>'A) Base RI'!B45</f>
        <v>La Chaux (Cossonay)</v>
      </c>
      <c r="C43" s="10">
        <f>'B) D RI'!Y45</f>
        <v>-5577.7999999999993</v>
      </c>
      <c r="D43" s="437">
        <f>'B) D RI'!Z45</f>
        <v>2867.05</v>
      </c>
      <c r="E43" s="10">
        <f t="shared" si="0"/>
        <v>-2710.7499999999991</v>
      </c>
      <c r="F43" s="437">
        <f>'B) D RI'!U45</f>
        <v>12972.284673481885</v>
      </c>
      <c r="G43" s="267">
        <f t="shared" si="1"/>
        <v>-0.20896473275377234</v>
      </c>
      <c r="H43" s="55">
        <f t="shared" si="2"/>
        <v>-1928.7849999999996</v>
      </c>
      <c r="I43" s="428">
        <f t="shared" si="3"/>
        <v>-0.14868506578049798</v>
      </c>
    </row>
    <row r="44" spans="1:9" x14ac:dyDescent="0.25">
      <c r="A44" s="49">
        <f>'A) Base RI'!A46</f>
        <v>5475</v>
      </c>
      <c r="B44" s="294" t="str">
        <f>'A) Base RI'!B46</f>
        <v>Chavannes-le-Veyron</v>
      </c>
      <c r="C44" s="10">
        <f>'B) D RI'!Y46</f>
        <v>64643.1</v>
      </c>
      <c r="D44" s="437">
        <f>'B) D RI'!Z46</f>
        <v>0</v>
      </c>
      <c r="E44" s="10">
        <f t="shared" si="0"/>
        <v>64643.1</v>
      </c>
      <c r="F44" s="437">
        <f>'B) D RI'!U46</f>
        <v>4902.1559506290205</v>
      </c>
      <c r="G44" s="267">
        <f t="shared" si="1"/>
        <v>13.186667386969873</v>
      </c>
      <c r="H44" s="55">
        <f t="shared" si="2"/>
        <v>32321.55</v>
      </c>
      <c r="I44" s="428">
        <f t="shared" si="3"/>
        <v>6.5933336934849365</v>
      </c>
    </row>
    <row r="45" spans="1:9" x14ac:dyDescent="0.25">
      <c r="A45" s="49">
        <f>'A) Base RI'!A47</f>
        <v>5476</v>
      </c>
      <c r="B45" s="294" t="str">
        <f>'A) Base RI'!B47</f>
        <v>Chevilly</v>
      </c>
      <c r="C45" s="10">
        <f>'B) D RI'!Y47</f>
        <v>-332.19999999999982</v>
      </c>
      <c r="D45" s="437">
        <f>'B) D RI'!Z47</f>
        <v>0</v>
      </c>
      <c r="E45" s="10">
        <f t="shared" si="0"/>
        <v>-332.19999999999982</v>
      </c>
      <c r="F45" s="437">
        <f>'B) D RI'!U47</f>
        <v>10687.030816086675</v>
      </c>
      <c r="G45" s="267">
        <f t="shared" si="1"/>
        <v>-3.1084405548822323E-2</v>
      </c>
      <c r="H45" s="55">
        <f t="shared" si="2"/>
        <v>-166.09999999999991</v>
      </c>
      <c r="I45" s="428">
        <f t="shared" si="3"/>
        <v>-1.5542202774411162E-2</v>
      </c>
    </row>
    <row r="46" spans="1:9" x14ac:dyDescent="0.25">
      <c r="A46" s="49">
        <f>'A) Base RI'!A48</f>
        <v>5477</v>
      </c>
      <c r="B46" s="294" t="str">
        <f>'A) Base RI'!B48</f>
        <v>Cossonay</v>
      </c>
      <c r="C46" s="10">
        <f>'B) D RI'!Y48</f>
        <v>780195.64999999991</v>
      </c>
      <c r="D46" s="437">
        <f>'B) D RI'!Z48</f>
        <v>65546.75</v>
      </c>
      <c r="E46" s="10">
        <f t="shared" si="0"/>
        <v>845742.39999999991</v>
      </c>
      <c r="F46" s="437">
        <f>'B) D RI'!U48</f>
        <v>129587.92698014184</v>
      </c>
      <c r="G46" s="267">
        <f t="shared" si="1"/>
        <v>6.5263980967116026</v>
      </c>
      <c r="H46" s="55">
        <f t="shared" si="2"/>
        <v>409761.85</v>
      </c>
      <c r="I46" s="428">
        <f t="shared" si="3"/>
        <v>3.162037232548617</v>
      </c>
    </row>
    <row r="47" spans="1:9" x14ac:dyDescent="0.25">
      <c r="A47" s="49">
        <f>'A) Base RI'!A49</f>
        <v>5478</v>
      </c>
      <c r="B47" s="294" t="str">
        <f>'A) Base RI'!B49</f>
        <v>Cottens</v>
      </c>
      <c r="C47" s="10">
        <f>'B) D RI'!Y49</f>
        <v>46469.4</v>
      </c>
      <c r="D47" s="437">
        <f>'B) D RI'!Z49</f>
        <v>0</v>
      </c>
      <c r="E47" s="10">
        <f t="shared" si="0"/>
        <v>46469.4</v>
      </c>
      <c r="F47" s="437">
        <f>'B) D RI'!U49</f>
        <v>14208.71013401275</v>
      </c>
      <c r="G47" s="267">
        <f t="shared" si="1"/>
        <v>3.2704868747207212</v>
      </c>
      <c r="H47" s="55">
        <f t="shared" si="2"/>
        <v>23234.7</v>
      </c>
      <c r="I47" s="428">
        <f t="shared" si="3"/>
        <v>1.6352434373603606</v>
      </c>
    </row>
    <row r="48" spans="1:9" x14ac:dyDescent="0.25">
      <c r="A48" s="49">
        <f>'A) Base RI'!A50</f>
        <v>5479</v>
      </c>
      <c r="B48" s="294" t="str">
        <f>'A) Base RI'!B50</f>
        <v>Cuarnens</v>
      </c>
      <c r="C48" s="10">
        <f>'B) D RI'!Y50</f>
        <v>82848.600000000006</v>
      </c>
      <c r="D48" s="437">
        <f>'B) D RI'!Z50</f>
        <v>5626.3</v>
      </c>
      <c r="E48" s="10">
        <f t="shared" si="0"/>
        <v>88474.900000000009</v>
      </c>
      <c r="F48" s="437">
        <f>'B) D RI'!U50</f>
        <v>16421.228790353522</v>
      </c>
      <c r="G48" s="267">
        <f t="shared" si="1"/>
        <v>5.3878367526292346</v>
      </c>
      <c r="H48" s="55">
        <f t="shared" si="2"/>
        <v>43112.19</v>
      </c>
      <c r="I48" s="428">
        <f t="shared" si="3"/>
        <v>2.6253936627035976</v>
      </c>
    </row>
    <row r="49" spans="1:9" x14ac:dyDescent="0.25">
      <c r="A49" s="49">
        <f>'A) Base RI'!A51</f>
        <v>5480</v>
      </c>
      <c r="B49" s="294" t="str">
        <f>'A) Base RI'!B51</f>
        <v>Daillens</v>
      </c>
      <c r="C49" s="10">
        <f>'B) D RI'!Y51</f>
        <v>273065.75</v>
      </c>
      <c r="D49" s="437">
        <f>'B) D RI'!Z51</f>
        <v>135149.35</v>
      </c>
      <c r="E49" s="10">
        <f t="shared" si="0"/>
        <v>408215.1</v>
      </c>
      <c r="F49" s="437">
        <f>'B) D RI'!U51</f>
        <v>41263.325123050025</v>
      </c>
      <c r="G49" s="267">
        <f t="shared" si="1"/>
        <v>9.8929278913581236</v>
      </c>
      <c r="H49" s="55">
        <f t="shared" si="2"/>
        <v>177077.68</v>
      </c>
      <c r="I49" s="428">
        <f t="shared" si="3"/>
        <v>4.2914059754501697</v>
      </c>
    </row>
    <row r="50" spans="1:9" x14ac:dyDescent="0.25">
      <c r="A50" s="49">
        <f>'A) Base RI'!A52</f>
        <v>5481</v>
      </c>
      <c r="B50" s="294" t="str">
        <f>'A) Base RI'!B52</f>
        <v>Dizy</v>
      </c>
      <c r="C50" s="10">
        <f>'B) D RI'!Y52</f>
        <v>33645.699999999997</v>
      </c>
      <c r="D50" s="437">
        <f>'B) D RI'!Z52</f>
        <v>0</v>
      </c>
      <c r="E50" s="10">
        <f t="shared" si="0"/>
        <v>33645.699999999997</v>
      </c>
      <c r="F50" s="437">
        <f>'B) D RI'!U52</f>
        <v>10892.048755040036</v>
      </c>
      <c r="G50" s="267">
        <f t="shared" si="1"/>
        <v>3.0890148177523766</v>
      </c>
      <c r="H50" s="55">
        <f t="shared" si="2"/>
        <v>16822.849999999999</v>
      </c>
      <c r="I50" s="428">
        <f t="shared" si="3"/>
        <v>1.5445074088761883</v>
      </c>
    </row>
    <row r="51" spans="1:9" x14ac:dyDescent="0.25">
      <c r="A51" s="49">
        <f>'A) Base RI'!A53</f>
        <v>5482</v>
      </c>
      <c r="B51" s="294" t="str">
        <f>'A) Base RI'!B53</f>
        <v>Eclépens</v>
      </c>
      <c r="C51" s="10">
        <f>'B) D RI'!Y53</f>
        <v>85042.95</v>
      </c>
      <c r="D51" s="437">
        <f>'B) D RI'!Z53</f>
        <v>301337.95</v>
      </c>
      <c r="E51" s="10">
        <f t="shared" si="0"/>
        <v>386380.9</v>
      </c>
      <c r="F51" s="437">
        <f>'B) D RI'!U53</f>
        <v>46793.329731079626</v>
      </c>
      <c r="G51" s="267">
        <f t="shared" si="1"/>
        <v>8.2571790086434049</v>
      </c>
      <c r="H51" s="55">
        <f t="shared" si="2"/>
        <v>132922.85999999999</v>
      </c>
      <c r="I51" s="428">
        <f t="shared" si="3"/>
        <v>2.8406369190631469</v>
      </c>
    </row>
    <row r="52" spans="1:9" x14ac:dyDescent="0.25">
      <c r="A52" s="49">
        <f>'A) Base RI'!A54</f>
        <v>5483</v>
      </c>
      <c r="B52" s="294" t="str">
        <f>'A) Base RI'!B54</f>
        <v>Ferreyres</v>
      </c>
      <c r="C52" s="10">
        <f>'B) D RI'!Y54</f>
        <v>45231.25</v>
      </c>
      <c r="D52" s="437">
        <f>'B) D RI'!Z54</f>
        <v>0</v>
      </c>
      <c r="E52" s="10">
        <f t="shared" si="0"/>
        <v>45231.25</v>
      </c>
      <c r="F52" s="437">
        <f>'B) D RI'!U54</f>
        <v>8879.9356567959585</v>
      </c>
      <c r="G52" s="267">
        <f t="shared" si="1"/>
        <v>5.0936461420622789</v>
      </c>
      <c r="H52" s="55">
        <f t="shared" si="2"/>
        <v>22615.625</v>
      </c>
      <c r="I52" s="428">
        <f t="shared" si="3"/>
        <v>2.5468230710311395</v>
      </c>
    </row>
    <row r="53" spans="1:9" x14ac:dyDescent="0.25">
      <c r="A53" s="49">
        <f>'A) Base RI'!A55</f>
        <v>5484</v>
      </c>
      <c r="B53" s="294" t="str">
        <f>'A) Base RI'!B55</f>
        <v>Gollion</v>
      </c>
      <c r="C53" s="10">
        <f>'B) D RI'!Y55</f>
        <v>273526.95</v>
      </c>
      <c r="D53" s="437">
        <f>'B) D RI'!Z55</f>
        <v>24458.2</v>
      </c>
      <c r="E53" s="10">
        <f t="shared" si="0"/>
        <v>297985.15000000002</v>
      </c>
      <c r="F53" s="437">
        <f>'B) D RI'!U55</f>
        <v>31794.268758715236</v>
      </c>
      <c r="G53" s="267">
        <f t="shared" si="1"/>
        <v>9.3722913478964127</v>
      </c>
      <c r="H53" s="55">
        <f t="shared" si="2"/>
        <v>144100.935</v>
      </c>
      <c r="I53" s="428">
        <f t="shared" si="3"/>
        <v>4.532292788161703</v>
      </c>
    </row>
    <row r="54" spans="1:9" x14ac:dyDescent="0.25">
      <c r="A54" s="49">
        <f>'A) Base RI'!A56</f>
        <v>5485</v>
      </c>
      <c r="B54" s="294" t="str">
        <f>'A) Base RI'!B56</f>
        <v>Grancy</v>
      </c>
      <c r="C54" s="10">
        <f>'B) D RI'!Y56</f>
        <v>26234.2</v>
      </c>
      <c r="D54" s="437">
        <f>'B) D RI'!Z56</f>
        <v>10325.549999999999</v>
      </c>
      <c r="E54" s="10">
        <f t="shared" si="0"/>
        <v>36559.75</v>
      </c>
      <c r="F54" s="437">
        <f>'B) D RI'!U56</f>
        <v>18552.92429477413</v>
      </c>
      <c r="G54" s="267">
        <f t="shared" si="1"/>
        <v>1.9705653631270366</v>
      </c>
      <c r="H54" s="55">
        <f t="shared" si="2"/>
        <v>16214.764999999999</v>
      </c>
      <c r="I54" s="428">
        <f t="shared" si="3"/>
        <v>0.87397354413650419</v>
      </c>
    </row>
    <row r="55" spans="1:9" x14ac:dyDescent="0.25">
      <c r="A55" s="49">
        <f>'A) Base RI'!A57</f>
        <v>5486</v>
      </c>
      <c r="B55" s="294" t="str">
        <f>'A) Base RI'!B57</f>
        <v>L'Isle</v>
      </c>
      <c r="C55" s="10">
        <f>'B) D RI'!Y57</f>
        <v>134137.70000000001</v>
      </c>
      <c r="D55" s="437">
        <f>'B) D RI'!Z57</f>
        <v>81096.3</v>
      </c>
      <c r="E55" s="10">
        <f t="shared" si="0"/>
        <v>215234</v>
      </c>
      <c r="F55" s="437">
        <f>'B) D RI'!U57</f>
        <v>30546.431240274927</v>
      </c>
      <c r="G55" s="267">
        <f t="shared" si="1"/>
        <v>7.0461258896986232</v>
      </c>
      <c r="H55" s="55">
        <f t="shared" si="2"/>
        <v>91397.74</v>
      </c>
      <c r="I55" s="428">
        <f t="shared" si="3"/>
        <v>2.9920922441340285</v>
      </c>
    </row>
    <row r="56" spans="1:9" x14ac:dyDescent="0.25">
      <c r="A56" s="49">
        <f>'A) Base RI'!A58</f>
        <v>5487</v>
      </c>
      <c r="B56" s="294" t="str">
        <f>'A) Base RI'!B58</f>
        <v>Lussery-Villars</v>
      </c>
      <c r="C56" s="10">
        <f>'B) D RI'!Y58</f>
        <v>19862.400000000001</v>
      </c>
      <c r="D56" s="437">
        <f>'B) D RI'!Z58</f>
        <v>0</v>
      </c>
      <c r="E56" s="10">
        <f t="shared" si="0"/>
        <v>19862.400000000001</v>
      </c>
      <c r="F56" s="437">
        <f>'B) D RI'!U58</f>
        <v>14615.228333906985</v>
      </c>
      <c r="G56" s="267">
        <f t="shared" si="1"/>
        <v>1.3590208477222145</v>
      </c>
      <c r="H56" s="55">
        <f t="shared" si="2"/>
        <v>9931.2000000000007</v>
      </c>
      <c r="I56" s="428">
        <f t="shared" si="3"/>
        <v>0.67951042386110727</v>
      </c>
    </row>
    <row r="57" spans="1:9" x14ac:dyDescent="0.25">
      <c r="A57" s="49">
        <f>'A) Base RI'!A59</f>
        <v>5488</v>
      </c>
      <c r="B57" s="294" t="str">
        <f>'A) Base RI'!B59</f>
        <v>Mauraz</v>
      </c>
      <c r="C57" s="10">
        <f>'B) D RI'!Y59</f>
        <v>12610.7</v>
      </c>
      <c r="D57" s="437">
        <f>'B) D RI'!Z59</f>
        <v>0</v>
      </c>
      <c r="E57" s="10">
        <f t="shared" si="0"/>
        <v>12610.7</v>
      </c>
      <c r="F57" s="437">
        <f>'B) D RI'!U59</f>
        <v>1907.69174397183</v>
      </c>
      <c r="G57" s="267">
        <f t="shared" si="1"/>
        <v>6.6104495340239922</v>
      </c>
      <c r="H57" s="55">
        <f t="shared" si="2"/>
        <v>6305.35</v>
      </c>
      <c r="I57" s="428">
        <f t="shared" si="3"/>
        <v>3.3052247670119961</v>
      </c>
    </row>
    <row r="58" spans="1:9" x14ac:dyDescent="0.25">
      <c r="A58" s="49">
        <f>'A) Base RI'!A60</f>
        <v>5489</v>
      </c>
      <c r="B58" s="294" t="str">
        <f>'A) Base RI'!B60</f>
        <v>Mex</v>
      </c>
      <c r="C58" s="10">
        <f>'B) D RI'!Y60</f>
        <v>84912.25</v>
      </c>
      <c r="D58" s="437">
        <f>'B) D RI'!Z60</f>
        <v>156536.9</v>
      </c>
      <c r="E58" s="10">
        <f t="shared" si="0"/>
        <v>241449.15</v>
      </c>
      <c r="F58" s="437">
        <f>'B) D RI'!U60</f>
        <v>59050.274266098029</v>
      </c>
      <c r="G58" s="267">
        <f t="shared" si="1"/>
        <v>4.0888743193970374</v>
      </c>
      <c r="H58" s="55">
        <f t="shared" si="2"/>
        <v>89417.195000000007</v>
      </c>
      <c r="I58" s="428">
        <f t="shared" si="3"/>
        <v>1.5142553715679565</v>
      </c>
    </row>
    <row r="59" spans="1:9" x14ac:dyDescent="0.25">
      <c r="A59" s="49">
        <f>'A) Base RI'!A61</f>
        <v>5490</v>
      </c>
      <c r="B59" s="294" t="str">
        <f>'A) Base RI'!B61</f>
        <v>Moiry</v>
      </c>
      <c r="C59" s="10">
        <f>'B) D RI'!Y61</f>
        <v>32140.5</v>
      </c>
      <c r="D59" s="437">
        <f>'B) D RI'!Z61</f>
        <v>0</v>
      </c>
      <c r="E59" s="10">
        <f t="shared" si="0"/>
        <v>32140.5</v>
      </c>
      <c r="F59" s="437">
        <f>'B) D RI'!U61</f>
        <v>9338.2754275452353</v>
      </c>
      <c r="G59" s="267">
        <f t="shared" si="1"/>
        <v>3.4418025308179216</v>
      </c>
      <c r="H59" s="55">
        <f t="shared" si="2"/>
        <v>16070.25</v>
      </c>
      <c r="I59" s="428">
        <f t="shared" si="3"/>
        <v>1.7209012654089608</v>
      </c>
    </row>
    <row r="60" spans="1:9" x14ac:dyDescent="0.25">
      <c r="A60" s="49">
        <f>'A) Base RI'!A62</f>
        <v>5491</v>
      </c>
      <c r="B60" s="294" t="str">
        <f>'A) Base RI'!B62</f>
        <v>Mont-la-Ville</v>
      </c>
      <c r="C60" s="10">
        <f>'B) D RI'!Y62</f>
        <v>90534.75</v>
      </c>
      <c r="D60" s="437">
        <f>'B) D RI'!Z62</f>
        <v>2093</v>
      </c>
      <c r="E60" s="10">
        <f t="shared" si="0"/>
        <v>92627.75</v>
      </c>
      <c r="F60" s="437">
        <f>'B) D RI'!U62</f>
        <v>12342.149373733142</v>
      </c>
      <c r="G60" s="267">
        <f t="shared" si="1"/>
        <v>7.5049934330832677</v>
      </c>
      <c r="H60" s="55">
        <f t="shared" si="2"/>
        <v>45895.275000000001</v>
      </c>
      <c r="I60" s="428">
        <f t="shared" si="3"/>
        <v>3.7185804198477315</v>
      </c>
    </row>
    <row r="61" spans="1:9" x14ac:dyDescent="0.25">
      <c r="A61" s="49">
        <f>'A) Base RI'!A63</f>
        <v>5492</v>
      </c>
      <c r="B61" s="294" t="str">
        <f>'A) Base RI'!B63</f>
        <v>Montricher</v>
      </c>
      <c r="C61" s="10">
        <f>'B) D RI'!Y63</f>
        <v>630837.25</v>
      </c>
      <c r="D61" s="437">
        <f>'B) D RI'!Z63</f>
        <v>3572.45</v>
      </c>
      <c r="E61" s="10">
        <f t="shared" si="0"/>
        <v>634409.69999999995</v>
      </c>
      <c r="F61" s="437">
        <f>'B) D RI'!U63</f>
        <v>235377.8890618468</v>
      </c>
      <c r="G61" s="267">
        <f t="shared" si="1"/>
        <v>2.6952816278903131</v>
      </c>
      <c r="H61" s="55">
        <f t="shared" si="2"/>
        <v>316490.36</v>
      </c>
      <c r="I61" s="428">
        <f t="shared" si="3"/>
        <v>1.3446053121703392</v>
      </c>
    </row>
    <row r="62" spans="1:9" x14ac:dyDescent="0.25">
      <c r="A62" s="49">
        <f>'A) Base RI'!A64</f>
        <v>5493</v>
      </c>
      <c r="B62" s="294" t="str">
        <f>'A) Base RI'!B64</f>
        <v>Orny</v>
      </c>
      <c r="C62" s="10">
        <f>'B) D RI'!Y64</f>
        <v>70483.549999999988</v>
      </c>
      <c r="D62" s="437">
        <f>'B) D RI'!Z64</f>
        <v>62873.3</v>
      </c>
      <c r="E62" s="10">
        <f t="shared" si="0"/>
        <v>133356.84999999998</v>
      </c>
      <c r="F62" s="437">
        <f>'B) D RI'!U64</f>
        <v>10742.508207895562</v>
      </c>
      <c r="G62" s="267">
        <f t="shared" si="1"/>
        <v>12.413939781957527</v>
      </c>
      <c r="H62" s="55">
        <f t="shared" si="2"/>
        <v>54103.764999999999</v>
      </c>
      <c r="I62" s="428">
        <f t="shared" si="3"/>
        <v>5.0364183068749853</v>
      </c>
    </row>
    <row r="63" spans="1:9" x14ac:dyDescent="0.25">
      <c r="A63" s="49">
        <f>'A) Base RI'!A65</f>
        <v>5494</v>
      </c>
      <c r="B63" s="294" t="str">
        <f>'A) Base RI'!B65</f>
        <v>Pampigny</v>
      </c>
      <c r="C63" s="10">
        <f>'B) D RI'!Y65</f>
        <v>277991.75</v>
      </c>
      <c r="D63" s="437">
        <f>'B) D RI'!Z65</f>
        <v>46174.9</v>
      </c>
      <c r="E63" s="10">
        <f t="shared" si="0"/>
        <v>324166.65000000002</v>
      </c>
      <c r="F63" s="437">
        <f>'B) D RI'!U65</f>
        <v>37463.804333090258</v>
      </c>
      <c r="G63" s="267">
        <f t="shared" si="1"/>
        <v>8.6527958324210221</v>
      </c>
      <c r="H63" s="55">
        <f t="shared" si="2"/>
        <v>152848.345</v>
      </c>
      <c r="I63" s="428">
        <f t="shared" si="3"/>
        <v>4.0798938527712538</v>
      </c>
    </row>
    <row r="64" spans="1:9" x14ac:dyDescent="0.25">
      <c r="A64" s="49">
        <f>'A) Base RI'!A66</f>
        <v>5495</v>
      </c>
      <c r="B64" s="294" t="str">
        <f>'A) Base RI'!B66</f>
        <v>Penthalaz</v>
      </c>
      <c r="C64" s="10">
        <f>'B) D RI'!Y66</f>
        <v>366880.6</v>
      </c>
      <c r="D64" s="437">
        <f>'B) D RI'!Z66</f>
        <v>216511.1</v>
      </c>
      <c r="E64" s="10">
        <f t="shared" si="0"/>
        <v>583391.69999999995</v>
      </c>
      <c r="F64" s="437">
        <f>'B) D RI'!U66</f>
        <v>91501.360926624242</v>
      </c>
      <c r="G64" s="267">
        <f t="shared" si="1"/>
        <v>6.3757707436485775</v>
      </c>
      <c r="H64" s="55">
        <f t="shared" si="2"/>
        <v>248393.63</v>
      </c>
      <c r="I64" s="428">
        <f t="shared" si="3"/>
        <v>2.714644104574456</v>
      </c>
    </row>
    <row r="65" spans="1:9" x14ac:dyDescent="0.25">
      <c r="A65" s="49">
        <f>'A) Base RI'!A67</f>
        <v>5496</v>
      </c>
      <c r="B65" s="294" t="str">
        <f>'A) Base RI'!B67</f>
        <v>Penthaz</v>
      </c>
      <c r="C65" s="10">
        <f>'B) D RI'!Y67</f>
        <v>450222.80000000005</v>
      </c>
      <c r="D65" s="437">
        <f>'B) D RI'!Z67</f>
        <v>94624.3</v>
      </c>
      <c r="E65" s="10">
        <f t="shared" si="0"/>
        <v>544847.10000000009</v>
      </c>
      <c r="F65" s="437">
        <f>'B) D RI'!U67</f>
        <v>56734.953960585386</v>
      </c>
      <c r="G65" s="267">
        <f t="shared" si="1"/>
        <v>9.6033760841422993</v>
      </c>
      <c r="H65" s="55">
        <f t="shared" si="2"/>
        <v>253498.69000000003</v>
      </c>
      <c r="I65" s="428">
        <f t="shared" si="3"/>
        <v>4.4681218949452104</v>
      </c>
    </row>
    <row r="66" spans="1:9" x14ac:dyDescent="0.25">
      <c r="A66" s="49">
        <f>'A) Base RI'!A68</f>
        <v>5497</v>
      </c>
      <c r="B66" s="294" t="str">
        <f>'A) Base RI'!B68</f>
        <v>Pompaples</v>
      </c>
      <c r="C66" s="10">
        <f>'B) D RI'!Y68</f>
        <v>127881.25</v>
      </c>
      <c r="D66" s="437">
        <f>'B) D RI'!Z68</f>
        <v>240433.1</v>
      </c>
      <c r="E66" s="10">
        <f t="shared" si="0"/>
        <v>368314.35</v>
      </c>
      <c r="F66" s="437">
        <f>'B) D RI'!U68</f>
        <v>22161.340037381338</v>
      </c>
      <c r="G66" s="267">
        <f t="shared" si="1"/>
        <v>16.619678655655939</v>
      </c>
      <c r="H66" s="55">
        <f t="shared" si="2"/>
        <v>136070.55499999999</v>
      </c>
      <c r="I66" s="428">
        <f t="shared" si="3"/>
        <v>6.1399967136679772</v>
      </c>
    </row>
    <row r="67" spans="1:9" x14ac:dyDescent="0.25">
      <c r="A67" s="49">
        <f>'A) Base RI'!A69</f>
        <v>5498</v>
      </c>
      <c r="B67" s="294" t="str">
        <f>'A) Base RI'!B69</f>
        <v>La Sarraz</v>
      </c>
      <c r="C67" s="10">
        <f>'B) D RI'!Y69</f>
        <v>339712.4</v>
      </c>
      <c r="D67" s="437">
        <f>'B) D RI'!Z69</f>
        <v>83661.399999999994</v>
      </c>
      <c r="E67" s="10">
        <f t="shared" si="0"/>
        <v>423373.80000000005</v>
      </c>
      <c r="F67" s="437">
        <f>'B) D RI'!U69</f>
        <v>77385.435956102505</v>
      </c>
      <c r="G67" s="267">
        <f t="shared" si="1"/>
        <v>5.4709751876330079</v>
      </c>
      <c r="H67" s="55">
        <f t="shared" si="2"/>
        <v>194954.62</v>
      </c>
      <c r="I67" s="428">
        <f t="shared" si="3"/>
        <v>2.5192675804086639</v>
      </c>
    </row>
    <row r="68" spans="1:9" x14ac:dyDescent="0.25">
      <c r="A68" s="49">
        <f>'A) Base RI'!A70</f>
        <v>5499</v>
      </c>
      <c r="B68" s="294" t="str">
        <f>'A) Base RI'!B70</f>
        <v>Senarclens</v>
      </c>
      <c r="C68" s="10">
        <f>'B) D RI'!Y70</f>
        <v>84605.3</v>
      </c>
      <c r="D68" s="437">
        <f>'B) D RI'!Z70</f>
        <v>13140.25</v>
      </c>
      <c r="E68" s="10">
        <f t="shared" si="0"/>
        <v>97745.55</v>
      </c>
      <c r="F68" s="437">
        <f>'B) D RI'!U70</f>
        <v>23640.951925367579</v>
      </c>
      <c r="G68" s="267">
        <f t="shared" si="1"/>
        <v>4.1345860483357084</v>
      </c>
      <c r="H68" s="55">
        <f t="shared" si="2"/>
        <v>46244.724999999999</v>
      </c>
      <c r="I68" s="428">
        <f t="shared" si="3"/>
        <v>1.9561278727688529</v>
      </c>
    </row>
    <row r="69" spans="1:9" x14ac:dyDescent="0.25">
      <c r="A69" s="49">
        <f>'A) Base RI'!A71</f>
        <v>5500</v>
      </c>
      <c r="B69" s="294" t="str">
        <f>'A) Base RI'!B71</f>
        <v>Sévery</v>
      </c>
      <c r="C69" s="10">
        <f>'B) D RI'!Y71</f>
        <v>63155.8</v>
      </c>
      <c r="D69" s="437">
        <f>'B) D RI'!Z71</f>
        <v>1747.6</v>
      </c>
      <c r="E69" s="10">
        <f t="shared" si="0"/>
        <v>64903.4</v>
      </c>
      <c r="F69" s="437">
        <f>'B) D RI'!U71</f>
        <v>6301.5037699957575</v>
      </c>
      <c r="G69" s="267">
        <f t="shared" si="1"/>
        <v>10.299668518653238</v>
      </c>
      <c r="H69" s="55">
        <f t="shared" si="2"/>
        <v>32102.18</v>
      </c>
      <c r="I69" s="428">
        <f t="shared" si="3"/>
        <v>5.0943681336592475</v>
      </c>
    </row>
    <row r="70" spans="1:9" x14ac:dyDescent="0.25">
      <c r="A70" s="49">
        <f>'A) Base RI'!A72</f>
        <v>5501</v>
      </c>
      <c r="B70" s="294" t="str">
        <f>'A) Base RI'!B72</f>
        <v>Sullens</v>
      </c>
      <c r="C70" s="10">
        <f>'B) D RI'!Y72</f>
        <v>179161.69999999998</v>
      </c>
      <c r="D70" s="437">
        <f>'B) D RI'!Z72</f>
        <v>356.45</v>
      </c>
      <c r="E70" s="10">
        <f t="shared" ref="E70:E133" si="4">C70+D70</f>
        <v>179518.15</v>
      </c>
      <c r="F70" s="437">
        <f>'B) D RI'!U72</f>
        <v>37513.894014769903</v>
      </c>
      <c r="G70" s="267">
        <f t="shared" ref="G70:G133" si="5">E70/F70</f>
        <v>4.7853776504598651</v>
      </c>
      <c r="H70" s="55">
        <f t="shared" ref="H70:H133" si="6">(C70*$C$4)+(D70*$D$4)</f>
        <v>89687.784999999989</v>
      </c>
      <c r="I70" s="428">
        <f t="shared" ref="I70:I133" si="7">H70/F70</f>
        <v>2.390788462661015</v>
      </c>
    </row>
    <row r="71" spans="1:9" x14ac:dyDescent="0.25">
      <c r="A71" s="49">
        <f>'A) Base RI'!A73</f>
        <v>5503</v>
      </c>
      <c r="B71" s="294" t="str">
        <f>'A) Base RI'!B73</f>
        <v>Vufflens-la-Ville</v>
      </c>
      <c r="C71" s="10">
        <f>'B) D RI'!Y73</f>
        <v>751721.65</v>
      </c>
      <c r="D71" s="437">
        <f>'B) D RI'!Z73</f>
        <v>83801.5</v>
      </c>
      <c r="E71" s="10">
        <f t="shared" si="4"/>
        <v>835523.15</v>
      </c>
      <c r="F71" s="437">
        <f>'B) D RI'!U73</f>
        <v>71529.073769442432</v>
      </c>
      <c r="G71" s="267">
        <f t="shared" si="5"/>
        <v>11.680888706781207</v>
      </c>
      <c r="H71" s="55">
        <f t="shared" si="6"/>
        <v>401001.27500000002</v>
      </c>
      <c r="I71" s="428">
        <f t="shared" si="7"/>
        <v>5.6061298415877117</v>
      </c>
    </row>
    <row r="72" spans="1:9" x14ac:dyDescent="0.25">
      <c r="A72" s="49">
        <f>'A) Base RI'!A74</f>
        <v>5511</v>
      </c>
      <c r="B72" s="294" t="str">
        <f>'A) Base RI'!B74</f>
        <v>Assens</v>
      </c>
      <c r="C72" s="10">
        <f>'B) D RI'!Y74</f>
        <v>124485.70000000001</v>
      </c>
      <c r="D72" s="437">
        <f>'B) D RI'!Z74</f>
        <v>11690.75</v>
      </c>
      <c r="E72" s="10">
        <f t="shared" si="4"/>
        <v>136176.45000000001</v>
      </c>
      <c r="F72" s="437">
        <f>'B) D RI'!U74</f>
        <v>42924.75672243804</v>
      </c>
      <c r="G72" s="267">
        <f t="shared" si="5"/>
        <v>3.1724454696517022</v>
      </c>
      <c r="H72" s="55">
        <f t="shared" si="6"/>
        <v>65750.075000000012</v>
      </c>
      <c r="I72" s="428">
        <f t="shared" si="7"/>
        <v>1.5317518378765909</v>
      </c>
    </row>
    <row r="73" spans="1:9" x14ac:dyDescent="0.25">
      <c r="A73" s="49">
        <f>'A) Base RI'!A75</f>
        <v>5512</v>
      </c>
      <c r="B73" s="294" t="str">
        <f>'A) Base RI'!B75</f>
        <v>Bercher</v>
      </c>
      <c r="C73" s="10">
        <f>'B) D RI'!Y75</f>
        <v>209543.85</v>
      </c>
      <c r="D73" s="437">
        <f>'B) D RI'!Z75</f>
        <v>26032.65</v>
      </c>
      <c r="E73" s="10">
        <f t="shared" si="4"/>
        <v>235576.5</v>
      </c>
      <c r="F73" s="437">
        <f>'B) D RI'!U75</f>
        <v>37044.132282785904</v>
      </c>
      <c r="G73" s="267">
        <f t="shared" si="5"/>
        <v>6.3593472294523261</v>
      </c>
      <c r="H73" s="55">
        <f t="shared" si="6"/>
        <v>112581.72</v>
      </c>
      <c r="I73" s="428">
        <f t="shared" si="7"/>
        <v>3.0391242300016237</v>
      </c>
    </row>
    <row r="74" spans="1:9" x14ac:dyDescent="0.25">
      <c r="A74" s="49">
        <f>'A) Base RI'!A76</f>
        <v>5513</v>
      </c>
      <c r="B74" s="294" t="str">
        <f>'A) Base RI'!B76</f>
        <v>Bioley-Orjulaz</v>
      </c>
      <c r="C74" s="10">
        <f>'B) D RI'!Y76</f>
        <v>68682.850000000006</v>
      </c>
      <c r="D74" s="437">
        <f>'B) D RI'!Z76</f>
        <v>158106.54999999999</v>
      </c>
      <c r="E74" s="10">
        <f t="shared" si="4"/>
        <v>226789.4</v>
      </c>
      <c r="F74" s="437">
        <f>'B) D RI'!U76</f>
        <v>21181.93028195855</v>
      </c>
      <c r="G74" s="267">
        <f t="shared" si="5"/>
        <v>10.706739045079621</v>
      </c>
      <c r="H74" s="55">
        <f t="shared" si="6"/>
        <v>81773.39</v>
      </c>
      <c r="I74" s="428">
        <f t="shared" si="7"/>
        <v>3.8605258780239442</v>
      </c>
    </row>
    <row r="75" spans="1:9" x14ac:dyDescent="0.25">
      <c r="A75" s="49">
        <f>'A) Base RI'!A77</f>
        <v>5514</v>
      </c>
      <c r="B75" s="294" t="str">
        <f>'A) Base RI'!B77</f>
        <v>Bottens</v>
      </c>
      <c r="C75" s="10">
        <f>'B) D RI'!Y77</f>
        <v>106092.9</v>
      </c>
      <c r="D75" s="437">
        <f>'B) D RI'!Z77</f>
        <v>5404.9</v>
      </c>
      <c r="E75" s="10">
        <f t="shared" si="4"/>
        <v>111497.79999999999</v>
      </c>
      <c r="F75" s="437">
        <f>'B) D RI'!U77</f>
        <v>44638.492368569219</v>
      </c>
      <c r="G75" s="267">
        <f t="shared" si="5"/>
        <v>2.4977949317685209</v>
      </c>
      <c r="H75" s="55">
        <f t="shared" si="6"/>
        <v>54667.92</v>
      </c>
      <c r="I75" s="428">
        <f t="shared" si="7"/>
        <v>1.2246811462318266</v>
      </c>
    </row>
    <row r="76" spans="1:9" x14ac:dyDescent="0.25">
      <c r="A76" s="49">
        <f>'A) Base RI'!A78</f>
        <v>5515</v>
      </c>
      <c r="B76" s="294" t="str">
        <f>'A) Base RI'!B78</f>
        <v>Bretigny-sur-Morrens</v>
      </c>
      <c r="C76" s="10">
        <f>'B) D RI'!Y78</f>
        <v>204288</v>
      </c>
      <c r="D76" s="437">
        <f>'B) D RI'!Z78</f>
        <v>6260.8</v>
      </c>
      <c r="E76" s="10">
        <f t="shared" si="4"/>
        <v>210548.8</v>
      </c>
      <c r="F76" s="437">
        <f>'B) D RI'!U78</f>
        <v>28831.158924958156</v>
      </c>
      <c r="G76" s="267">
        <f t="shared" si="5"/>
        <v>7.3028212479427959</v>
      </c>
      <c r="H76" s="55">
        <f t="shared" si="6"/>
        <v>104022.24</v>
      </c>
      <c r="I76" s="428">
        <f t="shared" si="7"/>
        <v>3.6079798342740736</v>
      </c>
    </row>
    <row r="77" spans="1:9" x14ac:dyDescent="0.25">
      <c r="A77" s="49">
        <f>'A) Base RI'!A79</f>
        <v>5516</v>
      </c>
      <c r="B77" s="294" t="str">
        <f>'A) Base RI'!B79</f>
        <v>Cugy</v>
      </c>
      <c r="C77" s="10">
        <f>'B) D RI'!Y79</f>
        <v>440638.55000000005</v>
      </c>
      <c r="D77" s="437">
        <f>'B) D RI'!Z79</f>
        <v>96390</v>
      </c>
      <c r="E77" s="10">
        <f t="shared" si="4"/>
        <v>537028.55000000005</v>
      </c>
      <c r="F77" s="437">
        <f>'B) D RI'!U79</f>
        <v>111243.36559703569</v>
      </c>
      <c r="G77" s="267">
        <f t="shared" si="5"/>
        <v>4.8275108103553306</v>
      </c>
      <c r="H77" s="55">
        <f t="shared" si="6"/>
        <v>249236.27500000002</v>
      </c>
      <c r="I77" s="428">
        <f t="shared" si="7"/>
        <v>2.2404596774141599</v>
      </c>
    </row>
    <row r="78" spans="1:9" x14ac:dyDescent="0.25">
      <c r="A78" s="49">
        <f>'A) Base RI'!A80</f>
        <v>5518</v>
      </c>
      <c r="B78" s="294" t="str">
        <f>'A) Base RI'!B80</f>
        <v>Echallens</v>
      </c>
      <c r="C78" s="10">
        <f>'B) D RI'!Y80</f>
        <v>525973.35</v>
      </c>
      <c r="D78" s="437">
        <f>'B) D RI'!Z80</f>
        <v>190763.25</v>
      </c>
      <c r="E78" s="10">
        <f t="shared" si="4"/>
        <v>716736.6</v>
      </c>
      <c r="F78" s="437">
        <f>'B) D RI'!U80</f>
        <v>180959.47694399237</v>
      </c>
      <c r="G78" s="267">
        <f t="shared" si="5"/>
        <v>3.9607574695954311</v>
      </c>
      <c r="H78" s="55">
        <f t="shared" si="6"/>
        <v>320215.64999999997</v>
      </c>
      <c r="I78" s="428">
        <f t="shared" si="7"/>
        <v>1.7695434105344363</v>
      </c>
    </row>
    <row r="79" spans="1:9" x14ac:dyDescent="0.25">
      <c r="A79" s="49">
        <f>'A) Base RI'!A81</f>
        <v>5520</v>
      </c>
      <c r="B79" s="294" t="str">
        <f>'A) Base RI'!B81</f>
        <v>Essertines-sur-Yverdon</v>
      </c>
      <c r="C79" s="10">
        <f>'B) D RI'!Y81</f>
        <v>219621.3</v>
      </c>
      <c r="D79" s="437">
        <f>'B) D RI'!Z81</f>
        <v>6976.6</v>
      </c>
      <c r="E79" s="10">
        <f t="shared" si="4"/>
        <v>226597.9</v>
      </c>
      <c r="F79" s="437">
        <f>'B) D RI'!U81</f>
        <v>31792.947431853896</v>
      </c>
      <c r="G79" s="267">
        <f t="shared" si="5"/>
        <v>7.1273008105240248</v>
      </c>
      <c r="H79" s="55">
        <f t="shared" si="6"/>
        <v>111903.62999999999</v>
      </c>
      <c r="I79" s="428">
        <f t="shared" si="7"/>
        <v>3.5197626844713943</v>
      </c>
    </row>
    <row r="80" spans="1:9" x14ac:dyDescent="0.25">
      <c r="A80" s="49">
        <f>'A) Base RI'!A82</f>
        <v>5521</v>
      </c>
      <c r="B80" s="294" t="str">
        <f>'A) Base RI'!B82</f>
        <v>Etagnières</v>
      </c>
      <c r="C80" s="10">
        <f>'B) D RI'!Y82</f>
        <v>158453.30000000002</v>
      </c>
      <c r="D80" s="437">
        <f>'B) D RI'!Z82</f>
        <v>55180.35</v>
      </c>
      <c r="E80" s="10">
        <f t="shared" si="4"/>
        <v>213633.65000000002</v>
      </c>
      <c r="F80" s="437">
        <f>'B) D RI'!U82</f>
        <v>41863.452740254725</v>
      </c>
      <c r="G80" s="267">
        <f t="shared" si="5"/>
        <v>5.1031063138892954</v>
      </c>
      <c r="H80" s="55">
        <f t="shared" si="6"/>
        <v>95780.755000000005</v>
      </c>
      <c r="I80" s="428">
        <f t="shared" si="7"/>
        <v>2.2879325218175306</v>
      </c>
    </row>
    <row r="81" spans="1:9" x14ac:dyDescent="0.25">
      <c r="A81" s="49">
        <f>'A) Base RI'!A83</f>
        <v>5522</v>
      </c>
      <c r="B81" s="294" t="str">
        <f>'A) Base RI'!B83</f>
        <v>Fey</v>
      </c>
      <c r="C81" s="10">
        <f>'B) D RI'!Y83</f>
        <v>112024.45000000001</v>
      </c>
      <c r="D81" s="437">
        <f>'B) D RI'!Z83</f>
        <v>16661.849999999999</v>
      </c>
      <c r="E81" s="10">
        <f t="shared" si="4"/>
        <v>128686.30000000002</v>
      </c>
      <c r="F81" s="437">
        <f>'B) D RI'!U83</f>
        <v>21530.578579692767</v>
      </c>
      <c r="G81" s="267">
        <f t="shared" si="5"/>
        <v>5.9769085871837415</v>
      </c>
      <c r="H81" s="55">
        <f t="shared" si="6"/>
        <v>61010.780000000006</v>
      </c>
      <c r="I81" s="428">
        <f t="shared" si="7"/>
        <v>2.8336804686495611</v>
      </c>
    </row>
    <row r="82" spans="1:9" x14ac:dyDescent="0.25">
      <c r="A82" s="49">
        <f>'A) Base RI'!A84</f>
        <v>5523</v>
      </c>
      <c r="B82" s="294" t="str">
        <f>'A) Base RI'!B84</f>
        <v>Froideville</v>
      </c>
      <c r="C82" s="10">
        <f>'B) D RI'!Y84</f>
        <v>318313.7</v>
      </c>
      <c r="D82" s="437">
        <f>'B) D RI'!Z84</f>
        <v>4694.8999999999996</v>
      </c>
      <c r="E82" s="10">
        <f t="shared" si="4"/>
        <v>323008.60000000003</v>
      </c>
      <c r="F82" s="437">
        <f>'B) D RI'!U84</f>
        <v>82933.673531693348</v>
      </c>
      <c r="G82" s="267">
        <f t="shared" si="5"/>
        <v>3.8947822548408078</v>
      </c>
      <c r="H82" s="55">
        <f t="shared" si="6"/>
        <v>160565.32</v>
      </c>
      <c r="I82" s="428">
        <f t="shared" si="7"/>
        <v>1.9360690677549632</v>
      </c>
    </row>
    <row r="83" spans="1:9" x14ac:dyDescent="0.25">
      <c r="A83" s="49">
        <f>'A) Base RI'!A85</f>
        <v>5527</v>
      </c>
      <c r="B83" s="294" t="str">
        <f>'A) Base RI'!B85</f>
        <v>Morrens</v>
      </c>
      <c r="C83" s="10">
        <f>'B) D RI'!Y85</f>
        <v>264293.5</v>
      </c>
      <c r="D83" s="437">
        <f>'B) D RI'!Z85</f>
        <v>9200.9500000000007</v>
      </c>
      <c r="E83" s="10">
        <f t="shared" si="4"/>
        <v>273494.45</v>
      </c>
      <c r="F83" s="437">
        <f>'B) D RI'!U85</f>
        <v>37846.307885294293</v>
      </c>
      <c r="G83" s="267">
        <f t="shared" si="5"/>
        <v>7.2264499572564667</v>
      </c>
      <c r="H83" s="55">
        <f t="shared" si="6"/>
        <v>134907.035</v>
      </c>
      <c r="I83" s="428">
        <f t="shared" si="7"/>
        <v>3.5646022700253939</v>
      </c>
    </row>
    <row r="84" spans="1:9" x14ac:dyDescent="0.25">
      <c r="A84" s="49">
        <f>'A) Base RI'!A86</f>
        <v>5529</v>
      </c>
      <c r="B84" s="294" t="str">
        <f>'A) Base RI'!B86</f>
        <v>Oulens-sous-Echallens</v>
      </c>
      <c r="C84" s="10">
        <f>'B) D RI'!Y86</f>
        <v>60592.4</v>
      </c>
      <c r="D84" s="437">
        <f>'B) D RI'!Z86</f>
        <v>490.85</v>
      </c>
      <c r="E84" s="10">
        <f t="shared" si="4"/>
        <v>61083.25</v>
      </c>
      <c r="F84" s="437">
        <f>'B) D RI'!U86</f>
        <v>21232.684624593807</v>
      </c>
      <c r="G84" s="267">
        <f t="shared" si="5"/>
        <v>2.8768500582939618</v>
      </c>
      <c r="H84" s="55">
        <f t="shared" si="6"/>
        <v>30443.455000000002</v>
      </c>
      <c r="I84" s="428">
        <f t="shared" si="7"/>
        <v>1.4338014969966335</v>
      </c>
    </row>
    <row r="85" spans="1:9" x14ac:dyDescent="0.25">
      <c r="A85" s="49">
        <f>'A) Base RI'!A87</f>
        <v>5530</v>
      </c>
      <c r="B85" s="294" t="str">
        <f>'A) Base RI'!B87</f>
        <v>Pailly</v>
      </c>
      <c r="C85" s="10">
        <f>'B) D RI'!Y87</f>
        <v>180447.45</v>
      </c>
      <c r="D85" s="437">
        <f>'B) D RI'!Z87</f>
        <v>12684.65</v>
      </c>
      <c r="E85" s="10">
        <f t="shared" si="4"/>
        <v>193132.1</v>
      </c>
      <c r="F85" s="437">
        <f>'B) D RI'!U87</f>
        <v>16822.836054480296</v>
      </c>
      <c r="G85" s="267">
        <f t="shared" si="5"/>
        <v>11.480353215982547</v>
      </c>
      <c r="H85" s="55">
        <f t="shared" si="6"/>
        <v>94029.12000000001</v>
      </c>
      <c r="I85" s="428">
        <f t="shared" si="7"/>
        <v>5.5893738544136831</v>
      </c>
    </row>
    <row r="86" spans="1:9" x14ac:dyDescent="0.25">
      <c r="A86" s="49">
        <f>'A) Base RI'!A88</f>
        <v>5531</v>
      </c>
      <c r="B86" s="294" t="str">
        <f>'A) Base RI'!B88</f>
        <v>Penthéréaz</v>
      </c>
      <c r="C86" s="10">
        <f>'B) D RI'!Y88</f>
        <v>58556.45</v>
      </c>
      <c r="D86" s="437">
        <f>'B) D RI'!Z88</f>
        <v>11272.95</v>
      </c>
      <c r="E86" s="10">
        <f t="shared" si="4"/>
        <v>69829.399999999994</v>
      </c>
      <c r="F86" s="437">
        <f>'B) D RI'!U88</f>
        <v>14989.425098501475</v>
      </c>
      <c r="G86" s="267">
        <f t="shared" si="5"/>
        <v>4.6585775999495134</v>
      </c>
      <c r="H86" s="55">
        <f t="shared" si="6"/>
        <v>32660.11</v>
      </c>
      <c r="I86" s="428">
        <f t="shared" si="7"/>
        <v>2.1788767604746297</v>
      </c>
    </row>
    <row r="87" spans="1:9" x14ac:dyDescent="0.25">
      <c r="A87" s="49">
        <f>'A) Base RI'!A89</f>
        <v>5533</v>
      </c>
      <c r="B87" s="294" t="str">
        <f>'A) Base RI'!B89</f>
        <v>Poliez-Pittet</v>
      </c>
      <c r="C87" s="10">
        <f>'B) D RI'!Y89</f>
        <v>67093.05</v>
      </c>
      <c r="D87" s="437">
        <f>'B) D RI'!Z89</f>
        <v>4052.5</v>
      </c>
      <c r="E87" s="10">
        <f t="shared" si="4"/>
        <v>71145.55</v>
      </c>
      <c r="F87" s="437">
        <f>'B) D RI'!U89</f>
        <v>25275.822973621725</v>
      </c>
      <c r="G87" s="267">
        <f t="shared" si="5"/>
        <v>2.8147669048896526</v>
      </c>
      <c r="H87" s="55">
        <f t="shared" si="6"/>
        <v>34762.275000000001</v>
      </c>
      <c r="I87" s="428">
        <f t="shared" si="7"/>
        <v>1.3753172364072377</v>
      </c>
    </row>
    <row r="88" spans="1:9" x14ac:dyDescent="0.25">
      <c r="A88" s="49">
        <f>'A) Base RI'!A90</f>
        <v>5534</v>
      </c>
      <c r="B88" s="294" t="str">
        <f>'A) Base RI'!B90</f>
        <v>Rueyres</v>
      </c>
      <c r="C88" s="10">
        <f>'B) D RI'!Y90</f>
        <v>10334.599999999999</v>
      </c>
      <c r="D88" s="437">
        <f>'B) D RI'!Z90</f>
        <v>24343.4</v>
      </c>
      <c r="E88" s="10">
        <f t="shared" si="4"/>
        <v>34678</v>
      </c>
      <c r="F88" s="437">
        <f>'B) D RI'!U90</f>
        <v>8313.1321594227738</v>
      </c>
      <c r="G88" s="267">
        <f t="shared" si="5"/>
        <v>4.1714722363331083</v>
      </c>
      <c r="H88" s="55">
        <f t="shared" si="6"/>
        <v>12470.32</v>
      </c>
      <c r="I88" s="428">
        <f t="shared" si="7"/>
        <v>1.5000747926117275</v>
      </c>
    </row>
    <row r="89" spans="1:9" x14ac:dyDescent="0.25">
      <c r="A89" s="49">
        <f>'A) Base RI'!A91</f>
        <v>5535</v>
      </c>
      <c r="B89" s="294" t="str">
        <f>'A) Base RI'!B91</f>
        <v>Saint-Barthélemy</v>
      </c>
      <c r="C89" s="10">
        <f>'B) D RI'!Y91</f>
        <v>151749.54999999999</v>
      </c>
      <c r="D89" s="437">
        <f>'B) D RI'!Z91</f>
        <v>37117.599999999999</v>
      </c>
      <c r="E89" s="10">
        <f t="shared" si="4"/>
        <v>188867.15</v>
      </c>
      <c r="F89" s="437">
        <f>'B) D RI'!U91</f>
        <v>21802.428816169639</v>
      </c>
      <c r="G89" s="267">
        <f t="shared" si="5"/>
        <v>8.6626655953087131</v>
      </c>
      <c r="H89" s="55">
        <f t="shared" si="6"/>
        <v>87010.054999999993</v>
      </c>
      <c r="I89" s="428">
        <f t="shared" si="7"/>
        <v>3.9908422925554752</v>
      </c>
    </row>
    <row r="90" spans="1:9" x14ac:dyDescent="0.25">
      <c r="A90" s="49">
        <f>'A) Base RI'!A92</f>
        <v>5537</v>
      </c>
      <c r="B90" s="294" t="str">
        <f>'A) Base RI'!B92</f>
        <v>Villars-le-Terroir</v>
      </c>
      <c r="C90" s="10">
        <f>'B) D RI'!Y92</f>
        <v>120267.45000000001</v>
      </c>
      <c r="D90" s="437">
        <f>'B) D RI'!Z92</f>
        <v>0</v>
      </c>
      <c r="E90" s="10">
        <f t="shared" si="4"/>
        <v>120267.45000000001</v>
      </c>
      <c r="F90" s="437">
        <f>'B) D RI'!U92</f>
        <v>37312.302103659451</v>
      </c>
      <c r="G90" s="267">
        <f t="shared" si="5"/>
        <v>3.2232653366141304</v>
      </c>
      <c r="H90" s="55">
        <f t="shared" si="6"/>
        <v>60133.725000000006</v>
      </c>
      <c r="I90" s="428">
        <f t="shared" si="7"/>
        <v>1.6116326683070652</v>
      </c>
    </row>
    <row r="91" spans="1:9" x14ac:dyDescent="0.25">
      <c r="A91" s="49">
        <f>'A) Base RI'!A93</f>
        <v>5539</v>
      </c>
      <c r="B91" s="294" t="str">
        <f>'A) Base RI'!B93</f>
        <v>Vuarrens</v>
      </c>
      <c r="C91" s="10">
        <f>'B) D RI'!Y93</f>
        <v>162602.95000000001</v>
      </c>
      <c r="D91" s="437">
        <f>'B) D RI'!Z93</f>
        <v>14221.75</v>
      </c>
      <c r="E91" s="10">
        <f t="shared" si="4"/>
        <v>176824.7</v>
      </c>
      <c r="F91" s="437">
        <f>'B) D RI'!U93</f>
        <v>28863.357859136209</v>
      </c>
      <c r="G91" s="267">
        <f t="shared" si="5"/>
        <v>6.1262691909572515</v>
      </c>
      <c r="H91" s="55">
        <f t="shared" si="6"/>
        <v>85568</v>
      </c>
      <c r="I91" s="428">
        <f t="shared" si="7"/>
        <v>2.9645892351681074</v>
      </c>
    </row>
    <row r="92" spans="1:9" x14ac:dyDescent="0.25">
      <c r="A92" s="49">
        <f>'A) Base RI'!A94</f>
        <v>5540</v>
      </c>
      <c r="B92" s="294" t="str">
        <f>'A) Base RI'!B94</f>
        <v>Montilliez</v>
      </c>
      <c r="C92" s="10">
        <f>'B) D RI'!Y94</f>
        <v>196086.45</v>
      </c>
      <c r="D92" s="437">
        <f>'B) D RI'!Z94</f>
        <v>6897.65</v>
      </c>
      <c r="E92" s="10">
        <f t="shared" si="4"/>
        <v>202984.1</v>
      </c>
      <c r="F92" s="437">
        <f>'B) D RI'!U94</f>
        <v>59091.740495657374</v>
      </c>
      <c r="G92" s="267">
        <f t="shared" si="5"/>
        <v>3.4350672073183768</v>
      </c>
      <c r="H92" s="55">
        <f t="shared" si="6"/>
        <v>100112.52</v>
      </c>
      <c r="I92" s="428">
        <f t="shared" si="7"/>
        <v>1.6941880398218636</v>
      </c>
    </row>
    <row r="93" spans="1:9" x14ac:dyDescent="0.25">
      <c r="A93" s="49">
        <f>'A) Base RI'!A95</f>
        <v>5541</v>
      </c>
      <c r="B93" s="294" t="str">
        <f>'A) Base RI'!B95</f>
        <v>Goumoëns</v>
      </c>
      <c r="C93" s="10">
        <f>'B) D RI'!Y95</f>
        <v>126638.99999999997</v>
      </c>
      <c r="D93" s="437">
        <f>'B) D RI'!Z95</f>
        <v>12741.2</v>
      </c>
      <c r="E93" s="10">
        <f t="shared" si="4"/>
        <v>139380.19999999998</v>
      </c>
      <c r="F93" s="437">
        <f>'B) D RI'!U95</f>
        <v>35230.967112736034</v>
      </c>
      <c r="G93" s="267">
        <f t="shared" si="5"/>
        <v>3.9561843293712444</v>
      </c>
      <c r="H93" s="55">
        <f t="shared" si="6"/>
        <v>67141.859999999986</v>
      </c>
      <c r="I93" s="428">
        <f t="shared" si="7"/>
        <v>1.9057626146098081</v>
      </c>
    </row>
    <row r="94" spans="1:9" x14ac:dyDescent="0.25">
      <c r="A94" s="49">
        <f>'A) Base RI'!A96</f>
        <v>5551</v>
      </c>
      <c r="B94" s="294" t="str">
        <f>'A) Base RI'!B96</f>
        <v>Bonvillars</v>
      </c>
      <c r="C94" s="10">
        <f>'B) D RI'!Y96</f>
        <v>79899.649999999994</v>
      </c>
      <c r="D94" s="437">
        <f>'B) D RI'!Z96</f>
        <v>10084.65</v>
      </c>
      <c r="E94" s="10">
        <f t="shared" si="4"/>
        <v>89984.299999999988</v>
      </c>
      <c r="F94" s="437">
        <f>'B) D RI'!U96</f>
        <v>21415.305138743261</v>
      </c>
      <c r="G94" s="267">
        <f t="shared" si="5"/>
        <v>4.2018686830292182</v>
      </c>
      <c r="H94" s="55">
        <f t="shared" si="6"/>
        <v>42975.219999999994</v>
      </c>
      <c r="I94" s="428">
        <f t="shared" si="7"/>
        <v>2.0067526342294255</v>
      </c>
    </row>
    <row r="95" spans="1:9" x14ac:dyDescent="0.25">
      <c r="A95" s="49">
        <f>'A) Base RI'!A97</f>
        <v>5552</v>
      </c>
      <c r="B95" s="294" t="str">
        <f>'A) Base RI'!B97</f>
        <v>Bullet</v>
      </c>
      <c r="C95" s="10">
        <f>'B) D RI'!Y97</f>
        <v>75991.850000000006</v>
      </c>
      <c r="D95" s="437">
        <f>'B) D RI'!Z97</f>
        <v>40389.949999999997</v>
      </c>
      <c r="E95" s="10">
        <f t="shared" si="4"/>
        <v>116381.8</v>
      </c>
      <c r="F95" s="437">
        <f>'B) D RI'!U97</f>
        <v>17732.087898586105</v>
      </c>
      <c r="G95" s="267">
        <f t="shared" si="5"/>
        <v>6.5633444107436372</v>
      </c>
      <c r="H95" s="55">
        <f t="shared" si="6"/>
        <v>50112.91</v>
      </c>
      <c r="I95" s="428">
        <f t="shared" si="7"/>
        <v>2.8261144590872367</v>
      </c>
    </row>
    <row r="96" spans="1:9" x14ac:dyDescent="0.25">
      <c r="A96" s="49">
        <f>'A) Base RI'!A98</f>
        <v>5553</v>
      </c>
      <c r="B96" s="294" t="str">
        <f>'A) Base RI'!B98</f>
        <v>Champagne</v>
      </c>
      <c r="C96" s="10">
        <f>'B) D RI'!Y98</f>
        <v>184307.15000000002</v>
      </c>
      <c r="D96" s="437">
        <f>'B) D RI'!Z98</f>
        <v>130175.35</v>
      </c>
      <c r="E96" s="10">
        <f t="shared" si="4"/>
        <v>314482.5</v>
      </c>
      <c r="F96" s="437">
        <f>'B) D RI'!U98</f>
        <v>38083.02347761167</v>
      </c>
      <c r="G96" s="267">
        <f t="shared" si="5"/>
        <v>8.2578133583558202</v>
      </c>
      <c r="H96" s="55">
        <f t="shared" si="6"/>
        <v>131206.18000000002</v>
      </c>
      <c r="I96" s="428">
        <f t="shared" si="7"/>
        <v>3.445266893715353</v>
      </c>
    </row>
    <row r="97" spans="1:9" x14ac:dyDescent="0.25">
      <c r="A97" s="49">
        <f>'A) Base RI'!A99</f>
        <v>5554</v>
      </c>
      <c r="B97" s="294" t="str">
        <f>'A) Base RI'!B99</f>
        <v>Concise</v>
      </c>
      <c r="C97" s="10">
        <f>'B) D RI'!Y99</f>
        <v>279188.84999999998</v>
      </c>
      <c r="D97" s="437">
        <f>'B) D RI'!Z99</f>
        <v>4705.6000000000004</v>
      </c>
      <c r="E97" s="10">
        <f t="shared" si="4"/>
        <v>283894.44999999995</v>
      </c>
      <c r="F97" s="437">
        <f>'B) D RI'!U99</f>
        <v>29757.199499444905</v>
      </c>
      <c r="G97" s="267">
        <f t="shared" si="5"/>
        <v>9.5403618208526559</v>
      </c>
      <c r="H97" s="55">
        <f t="shared" si="6"/>
        <v>141006.10499999998</v>
      </c>
      <c r="I97" s="428">
        <f t="shared" si="7"/>
        <v>4.7385542783564132</v>
      </c>
    </row>
    <row r="98" spans="1:9" x14ac:dyDescent="0.25">
      <c r="A98" s="49">
        <f>'A) Base RI'!A100</f>
        <v>5555</v>
      </c>
      <c r="B98" s="294" t="str">
        <f>'A) Base RI'!B100</f>
        <v>Corcelles-près-Concise</v>
      </c>
      <c r="C98" s="10">
        <f>'B) D RI'!Y100</f>
        <v>89059.6</v>
      </c>
      <c r="D98" s="437">
        <f>'B) D RI'!Z100</f>
        <v>6304.6</v>
      </c>
      <c r="E98" s="10">
        <f t="shared" si="4"/>
        <v>95364.200000000012</v>
      </c>
      <c r="F98" s="437">
        <f>'B) D RI'!U100</f>
        <v>13026.26930420642</v>
      </c>
      <c r="G98" s="267">
        <f t="shared" si="5"/>
        <v>7.3209142059733994</v>
      </c>
      <c r="H98" s="55">
        <f t="shared" si="6"/>
        <v>46421.18</v>
      </c>
      <c r="I98" s="428">
        <f t="shared" si="7"/>
        <v>3.5636588585658791</v>
      </c>
    </row>
    <row r="99" spans="1:9" x14ac:dyDescent="0.25">
      <c r="A99" s="49">
        <f>'A) Base RI'!A101</f>
        <v>5556</v>
      </c>
      <c r="B99" s="294" t="str">
        <f>'A) Base RI'!B101</f>
        <v>Fiez</v>
      </c>
      <c r="C99" s="10">
        <f>'B) D RI'!Y101</f>
        <v>96292</v>
      </c>
      <c r="D99" s="437">
        <f>'B) D RI'!Z101</f>
        <v>0</v>
      </c>
      <c r="E99" s="10">
        <f t="shared" si="4"/>
        <v>96292</v>
      </c>
      <c r="F99" s="437">
        <f>'B) D RI'!U101</f>
        <v>12681.485348367609</v>
      </c>
      <c r="G99" s="267">
        <f t="shared" si="5"/>
        <v>7.5931168435561007</v>
      </c>
      <c r="H99" s="55">
        <f t="shared" si="6"/>
        <v>48146</v>
      </c>
      <c r="I99" s="428">
        <f t="shared" si="7"/>
        <v>3.7965584217780504</v>
      </c>
    </row>
    <row r="100" spans="1:9" x14ac:dyDescent="0.25">
      <c r="A100" s="49">
        <f>'A) Base RI'!A102</f>
        <v>5557</v>
      </c>
      <c r="B100" s="294" t="str">
        <f>'A) Base RI'!B102</f>
        <v>Fontaines-sur-Grandson</v>
      </c>
      <c r="C100" s="10">
        <f>'B) D RI'!Y102</f>
        <v>42859.35</v>
      </c>
      <c r="D100" s="437">
        <f>'B) D RI'!Z102</f>
        <v>0</v>
      </c>
      <c r="E100" s="10">
        <f t="shared" si="4"/>
        <v>42859.35</v>
      </c>
      <c r="F100" s="437">
        <f>'B) D RI'!U102</f>
        <v>5466.9806268353996</v>
      </c>
      <c r="G100" s="267">
        <f t="shared" si="5"/>
        <v>7.8396747538520977</v>
      </c>
      <c r="H100" s="55">
        <f t="shared" si="6"/>
        <v>21429.674999999999</v>
      </c>
      <c r="I100" s="428">
        <f t="shared" si="7"/>
        <v>3.9198373769260488</v>
      </c>
    </row>
    <row r="101" spans="1:9" x14ac:dyDescent="0.25">
      <c r="A101" s="49">
        <f>'A) Base RI'!A103</f>
        <v>5559</v>
      </c>
      <c r="B101" s="294" t="str">
        <f>'A) Base RI'!B103</f>
        <v>Giez</v>
      </c>
      <c r="C101" s="10">
        <f>'B) D RI'!Y103</f>
        <v>210443.95</v>
      </c>
      <c r="D101" s="437">
        <f>'B) D RI'!Z103</f>
        <v>36403</v>
      </c>
      <c r="E101" s="10">
        <f t="shared" si="4"/>
        <v>246846.95</v>
      </c>
      <c r="F101" s="437">
        <f>'B) D RI'!U103</f>
        <v>19176.421195753639</v>
      </c>
      <c r="G101" s="267">
        <f t="shared" si="5"/>
        <v>12.8724201184453</v>
      </c>
      <c r="H101" s="55">
        <f t="shared" si="6"/>
        <v>116142.875</v>
      </c>
      <c r="I101" s="428">
        <f t="shared" si="7"/>
        <v>6.0565458911446042</v>
      </c>
    </row>
    <row r="102" spans="1:9" x14ac:dyDescent="0.25">
      <c r="A102" s="49">
        <f>'A) Base RI'!A104</f>
        <v>5560</v>
      </c>
      <c r="B102" s="294" t="str">
        <f>'A) Base RI'!B104</f>
        <v>Grandevent</v>
      </c>
      <c r="C102" s="10">
        <f>'B) D RI'!Y104</f>
        <v>43352.950000000004</v>
      </c>
      <c r="D102" s="437">
        <f>'B) D RI'!Z104</f>
        <v>0</v>
      </c>
      <c r="E102" s="10">
        <f t="shared" si="4"/>
        <v>43352.950000000004</v>
      </c>
      <c r="F102" s="437">
        <f>'B) D RI'!U104</f>
        <v>7435.5518015193766</v>
      </c>
      <c r="G102" s="267">
        <f t="shared" si="5"/>
        <v>5.8304953226391731</v>
      </c>
      <c r="H102" s="55">
        <f t="shared" si="6"/>
        <v>21676.475000000002</v>
      </c>
      <c r="I102" s="428">
        <f t="shared" si="7"/>
        <v>2.9152476613195866</v>
      </c>
    </row>
    <row r="103" spans="1:9" x14ac:dyDescent="0.25">
      <c r="A103" s="49">
        <f>'A) Base RI'!A105</f>
        <v>5561</v>
      </c>
      <c r="B103" s="294" t="str">
        <f>'A) Base RI'!B105</f>
        <v>Grandson</v>
      </c>
      <c r="C103" s="10">
        <f>'B) D RI'!Y105</f>
        <v>766552.6</v>
      </c>
      <c r="D103" s="437">
        <f>'B) D RI'!Z105</f>
        <v>336581.85</v>
      </c>
      <c r="E103" s="10">
        <f t="shared" si="4"/>
        <v>1103134.45</v>
      </c>
      <c r="F103" s="437">
        <f>'B) D RI'!U105</f>
        <v>121785.01104961828</v>
      </c>
      <c r="G103" s="267">
        <f t="shared" si="5"/>
        <v>9.0580477884142514</v>
      </c>
      <c r="H103" s="55">
        <f t="shared" si="6"/>
        <v>484250.85499999998</v>
      </c>
      <c r="I103" s="428">
        <f t="shared" si="7"/>
        <v>3.9762763153398573</v>
      </c>
    </row>
    <row r="104" spans="1:9" x14ac:dyDescent="0.25">
      <c r="A104" s="49">
        <f>'A) Base RI'!A106</f>
        <v>5562</v>
      </c>
      <c r="B104" s="294" t="str">
        <f>'A) Base RI'!B106</f>
        <v>Mauborget</v>
      </c>
      <c r="C104" s="10">
        <f>'B) D RI'!Y106</f>
        <v>33919.5</v>
      </c>
      <c r="D104" s="437">
        <f>'B) D RI'!Z106</f>
        <v>452.2</v>
      </c>
      <c r="E104" s="10">
        <f t="shared" si="4"/>
        <v>34371.699999999997</v>
      </c>
      <c r="F104" s="437">
        <f>'B) D RI'!U106</f>
        <v>5293.9932786811205</v>
      </c>
      <c r="G104" s="267">
        <f t="shared" si="5"/>
        <v>6.4925847447548959</v>
      </c>
      <c r="H104" s="55">
        <f t="shared" si="6"/>
        <v>17095.41</v>
      </c>
      <c r="I104" s="428">
        <f t="shared" si="7"/>
        <v>3.2292088599437996</v>
      </c>
    </row>
    <row r="105" spans="1:9" x14ac:dyDescent="0.25">
      <c r="A105" s="49">
        <f>'A) Base RI'!A107</f>
        <v>5563</v>
      </c>
      <c r="B105" s="294" t="str">
        <f>'A) Base RI'!B107</f>
        <v>Mutrux</v>
      </c>
      <c r="C105" s="10">
        <f>'B) D RI'!Y107</f>
        <v>10884.3</v>
      </c>
      <c r="D105" s="437">
        <f>'B) D RI'!Z107</f>
        <v>0</v>
      </c>
      <c r="E105" s="10">
        <f t="shared" si="4"/>
        <v>10884.3</v>
      </c>
      <c r="F105" s="437">
        <f>'B) D RI'!U107</f>
        <v>3292.4675996165679</v>
      </c>
      <c r="G105" s="267">
        <f t="shared" si="5"/>
        <v>3.3058184084385696</v>
      </c>
      <c r="H105" s="55">
        <f t="shared" si="6"/>
        <v>5442.15</v>
      </c>
      <c r="I105" s="428">
        <f t="shared" si="7"/>
        <v>1.6529092042192848</v>
      </c>
    </row>
    <row r="106" spans="1:9" x14ac:dyDescent="0.25">
      <c r="A106" s="49">
        <f>'A) Base RI'!A108</f>
        <v>5564</v>
      </c>
      <c r="B106" s="294" t="str">
        <f>'A) Base RI'!B108</f>
        <v>Novalles</v>
      </c>
      <c r="C106" s="10">
        <f>'B) D RI'!Y108</f>
        <v>27386.799999999999</v>
      </c>
      <c r="D106" s="437">
        <f>'B) D RI'!Z108</f>
        <v>0</v>
      </c>
      <c r="E106" s="10">
        <f t="shared" si="4"/>
        <v>27386.799999999999</v>
      </c>
      <c r="F106" s="437">
        <f>'B) D RI'!U108</f>
        <v>2878.9025109575691</v>
      </c>
      <c r="G106" s="267">
        <f t="shared" si="5"/>
        <v>9.5129306726300751</v>
      </c>
      <c r="H106" s="55">
        <f t="shared" si="6"/>
        <v>13693.4</v>
      </c>
      <c r="I106" s="428">
        <f t="shared" si="7"/>
        <v>4.7564653363150375</v>
      </c>
    </row>
    <row r="107" spans="1:9" x14ac:dyDescent="0.25">
      <c r="A107" s="49">
        <f>'A) Base RI'!A109</f>
        <v>5565</v>
      </c>
      <c r="B107" s="294" t="str">
        <f>'A) Base RI'!B109</f>
        <v>Onnens</v>
      </c>
      <c r="C107" s="10">
        <f>'B) D RI'!Y109</f>
        <v>66207.049999999988</v>
      </c>
      <c r="D107" s="437">
        <f>'B) D RI'!Z109</f>
        <v>29116.15</v>
      </c>
      <c r="E107" s="10">
        <f t="shared" si="4"/>
        <v>95323.199999999983</v>
      </c>
      <c r="F107" s="437">
        <f>'B) D RI'!U109</f>
        <v>22496.162634074011</v>
      </c>
      <c r="G107" s="267">
        <f t="shared" si="5"/>
        <v>4.237309338065411</v>
      </c>
      <c r="H107" s="55">
        <f t="shared" si="6"/>
        <v>41838.369999999995</v>
      </c>
      <c r="I107" s="428">
        <f t="shared" si="7"/>
        <v>1.8598002993021192</v>
      </c>
    </row>
    <row r="108" spans="1:9" x14ac:dyDescent="0.25">
      <c r="A108" s="49">
        <f>'A) Base RI'!A110</f>
        <v>5566</v>
      </c>
      <c r="B108" s="294" t="str">
        <f>'A) Base RI'!B110</f>
        <v>Provence</v>
      </c>
      <c r="C108" s="10">
        <f>'B) D RI'!Y110</f>
        <v>61134.6</v>
      </c>
      <c r="D108" s="437">
        <f>'B) D RI'!Z110</f>
        <v>50308.05</v>
      </c>
      <c r="E108" s="10">
        <f t="shared" si="4"/>
        <v>111442.65</v>
      </c>
      <c r="F108" s="437">
        <f>'B) D RI'!U110</f>
        <v>8235.6819296483191</v>
      </c>
      <c r="G108" s="267">
        <f t="shared" si="5"/>
        <v>13.531684558968735</v>
      </c>
      <c r="H108" s="55">
        <f t="shared" si="6"/>
        <v>45659.714999999997</v>
      </c>
      <c r="I108" s="428">
        <f t="shared" si="7"/>
        <v>5.5441328829888121</v>
      </c>
    </row>
    <row r="109" spans="1:9" x14ac:dyDescent="0.25">
      <c r="A109" s="49">
        <f>'A) Base RI'!A111</f>
        <v>5568</v>
      </c>
      <c r="B109" s="294" t="str">
        <f>'A) Base RI'!B111</f>
        <v>Sainte-Croix</v>
      </c>
      <c r="C109" s="10">
        <f>'B) D RI'!Y111</f>
        <v>560642.75</v>
      </c>
      <c r="D109" s="437">
        <f>'B) D RI'!Z111</f>
        <v>1751558.4</v>
      </c>
      <c r="E109" s="10">
        <f t="shared" si="4"/>
        <v>2312201.15</v>
      </c>
      <c r="F109" s="437">
        <f>'B) D RI'!U111</f>
        <v>101939.03540611925</v>
      </c>
      <c r="G109" s="267">
        <f t="shared" si="5"/>
        <v>22.682195694596516</v>
      </c>
      <c r="H109" s="55">
        <f t="shared" si="6"/>
        <v>805788.8949999999</v>
      </c>
      <c r="I109" s="428">
        <f t="shared" si="7"/>
        <v>7.904615653756025</v>
      </c>
    </row>
    <row r="110" spans="1:9" x14ac:dyDescent="0.25">
      <c r="A110" s="49">
        <f>'A) Base RI'!A112</f>
        <v>5571</v>
      </c>
      <c r="B110" s="294" t="str">
        <f>'A) Base RI'!B112</f>
        <v>Tévenon</v>
      </c>
      <c r="C110" s="10">
        <f>'B) D RI'!Y112</f>
        <v>142974.39999999999</v>
      </c>
      <c r="D110" s="437">
        <f>'B) D RI'!Z112</f>
        <v>43949.599999999999</v>
      </c>
      <c r="E110" s="10">
        <f t="shared" si="4"/>
        <v>186924</v>
      </c>
      <c r="F110" s="437">
        <f>'B) D RI'!U112</f>
        <v>22492.192645834311</v>
      </c>
      <c r="G110" s="267">
        <f t="shared" si="5"/>
        <v>8.3106170635889267</v>
      </c>
      <c r="H110" s="55">
        <f t="shared" si="6"/>
        <v>84672.08</v>
      </c>
      <c r="I110" s="428">
        <f t="shared" si="7"/>
        <v>3.764509816061965</v>
      </c>
    </row>
    <row r="111" spans="1:9" x14ac:dyDescent="0.25">
      <c r="A111" s="49">
        <f>'A) Base RI'!A113</f>
        <v>5581</v>
      </c>
      <c r="B111" s="294" t="str">
        <f>'A) Base RI'!B113</f>
        <v>Belmont-sur-Lausanne</v>
      </c>
      <c r="C111" s="10">
        <f>'B) D RI'!Y113</f>
        <v>1299379.5499999998</v>
      </c>
      <c r="D111" s="437">
        <f>'B) D RI'!Z113</f>
        <v>8316.4500000000007</v>
      </c>
      <c r="E111" s="10">
        <f t="shared" si="4"/>
        <v>1307695.9999999998</v>
      </c>
      <c r="F111" s="437">
        <f>'B) D RI'!U113</f>
        <v>185422.93708910214</v>
      </c>
      <c r="G111" s="267">
        <f t="shared" si="5"/>
        <v>7.0525039702699059</v>
      </c>
      <c r="H111" s="55">
        <f t="shared" si="6"/>
        <v>652184.71</v>
      </c>
      <c r="I111" s="428">
        <f t="shared" si="7"/>
        <v>3.5172817356819381</v>
      </c>
    </row>
    <row r="112" spans="1:9" x14ac:dyDescent="0.25">
      <c r="A112" s="49">
        <f>'A) Base RI'!A114</f>
        <v>5582</v>
      </c>
      <c r="B112" s="294" t="str">
        <f>'A) Base RI'!B114</f>
        <v>Cheseaux-sur-Lausanne</v>
      </c>
      <c r="C112" s="10">
        <f>'B) D RI'!Y114</f>
        <v>538400.60000000009</v>
      </c>
      <c r="D112" s="437">
        <f>'B) D RI'!Z114</f>
        <v>461910.4</v>
      </c>
      <c r="E112" s="10">
        <f t="shared" si="4"/>
        <v>1000311.0000000001</v>
      </c>
      <c r="F112" s="437">
        <f>'B) D RI'!U114</f>
        <v>172785.13258345879</v>
      </c>
      <c r="G112" s="267">
        <f t="shared" si="5"/>
        <v>5.7893349100324309</v>
      </c>
      <c r="H112" s="55">
        <f t="shared" si="6"/>
        <v>407773.42000000004</v>
      </c>
      <c r="I112" s="428">
        <f t="shared" si="7"/>
        <v>2.3600029348765701</v>
      </c>
    </row>
    <row r="113" spans="1:9" x14ac:dyDescent="0.25">
      <c r="A113" s="49">
        <f>'A) Base RI'!A115</f>
        <v>5583</v>
      </c>
      <c r="B113" s="294" t="str">
        <f>'A) Base RI'!B115</f>
        <v>Crissier</v>
      </c>
      <c r="C113" s="10">
        <f>'B) D RI'!Y115</f>
        <v>3147093.5</v>
      </c>
      <c r="D113" s="437">
        <f>'B) D RI'!Z115</f>
        <v>1826234.1</v>
      </c>
      <c r="E113" s="10">
        <f t="shared" si="4"/>
        <v>4973327.5999999996</v>
      </c>
      <c r="F113" s="437">
        <f>'B) D RI'!U115</f>
        <v>311434.56630958844</v>
      </c>
      <c r="G113" s="267">
        <f t="shared" si="5"/>
        <v>15.969093151516628</v>
      </c>
      <c r="H113" s="55">
        <f t="shared" si="6"/>
        <v>2121416.98</v>
      </c>
      <c r="I113" s="428">
        <f t="shared" si="7"/>
        <v>6.8117582615770349</v>
      </c>
    </row>
    <row r="114" spans="1:9" x14ac:dyDescent="0.25">
      <c r="A114" s="49">
        <f>'A) Base RI'!A116</f>
        <v>5584</v>
      </c>
      <c r="B114" s="294" t="str">
        <f>'A) Base RI'!B116</f>
        <v>Epalinges</v>
      </c>
      <c r="C114" s="10">
        <f>'B) D RI'!Y116</f>
        <v>7484541.4499999993</v>
      </c>
      <c r="D114" s="437">
        <f>'B) D RI'!Z116</f>
        <v>292689.40000000002</v>
      </c>
      <c r="E114" s="10">
        <f t="shared" si="4"/>
        <v>7777230.8499999996</v>
      </c>
      <c r="F114" s="437">
        <f>'B) D RI'!U116</f>
        <v>462898.41144046158</v>
      </c>
      <c r="G114" s="267">
        <f t="shared" si="5"/>
        <v>16.801161243562216</v>
      </c>
      <c r="H114" s="55">
        <f t="shared" si="6"/>
        <v>3830077.5449999995</v>
      </c>
      <c r="I114" s="428">
        <f t="shared" si="7"/>
        <v>8.2741211685765901</v>
      </c>
    </row>
    <row r="115" spans="1:9" x14ac:dyDescent="0.25">
      <c r="A115" s="49">
        <f>'A) Base RI'!A117</f>
        <v>5585</v>
      </c>
      <c r="B115" s="294" t="str">
        <f>'A) Base RI'!B117</f>
        <v>Jouxtens-Mézery</v>
      </c>
      <c r="C115" s="10">
        <f>'B) D RI'!Y117</f>
        <v>485105.85</v>
      </c>
      <c r="D115" s="437">
        <f>'B) D RI'!Z117</f>
        <v>1998.15</v>
      </c>
      <c r="E115" s="10">
        <f t="shared" si="4"/>
        <v>487104</v>
      </c>
      <c r="F115" s="437">
        <f>'B) D RI'!U117</f>
        <v>219524.13851096807</v>
      </c>
      <c r="G115" s="267">
        <f t="shared" si="5"/>
        <v>2.2189086052405251</v>
      </c>
      <c r="H115" s="55">
        <f t="shared" si="6"/>
        <v>243152.37</v>
      </c>
      <c r="I115" s="428">
        <f t="shared" si="7"/>
        <v>1.1076338650013715</v>
      </c>
    </row>
    <row r="116" spans="1:9" x14ac:dyDescent="0.25">
      <c r="A116" s="49">
        <f>'A) Base RI'!A118</f>
        <v>5586</v>
      </c>
      <c r="B116" s="294" t="str">
        <f>'A) Base RI'!B118</f>
        <v>Lausanne</v>
      </c>
      <c r="C116" s="10">
        <f>'B) D RI'!Y118</f>
        <v>38903101.899999999</v>
      </c>
      <c r="D116" s="437">
        <f>'B) D RI'!Z118</f>
        <v>10875129.949999999</v>
      </c>
      <c r="E116" s="10">
        <f t="shared" si="4"/>
        <v>49778231.849999994</v>
      </c>
      <c r="F116" s="437">
        <f>'B) D RI'!U118</f>
        <v>5631743.9365920834</v>
      </c>
      <c r="G116" s="267">
        <f t="shared" si="5"/>
        <v>8.8388663281665671</v>
      </c>
      <c r="H116" s="55">
        <f t="shared" si="6"/>
        <v>22714089.934999999</v>
      </c>
      <c r="I116" s="428">
        <f t="shared" si="7"/>
        <v>4.0332249105673812</v>
      </c>
    </row>
    <row r="117" spans="1:9" x14ac:dyDescent="0.25">
      <c r="A117" s="49">
        <f>'A) Base RI'!A119</f>
        <v>5587</v>
      </c>
      <c r="B117" s="294" t="str">
        <f>'A) Base RI'!B119</f>
        <v>Le Mont-sur-Lausanne</v>
      </c>
      <c r="C117" s="10">
        <f>'B) D RI'!Y119</f>
        <v>1659336.25</v>
      </c>
      <c r="D117" s="437">
        <f>'B) D RI'!Z119</f>
        <v>538043.69999999995</v>
      </c>
      <c r="E117" s="10">
        <f t="shared" si="4"/>
        <v>2197379.9500000002</v>
      </c>
      <c r="F117" s="437">
        <f>'B) D RI'!U119</f>
        <v>419159.15757031104</v>
      </c>
      <c r="G117" s="267">
        <f t="shared" si="5"/>
        <v>5.2423522433275362</v>
      </c>
      <c r="H117" s="55">
        <f t="shared" si="6"/>
        <v>991081.23499999999</v>
      </c>
      <c r="I117" s="428">
        <f t="shared" si="7"/>
        <v>2.3644508705115261</v>
      </c>
    </row>
    <row r="118" spans="1:9" x14ac:dyDescent="0.25">
      <c r="A118" s="49">
        <f>'A) Base RI'!A120</f>
        <v>5588</v>
      </c>
      <c r="B118" s="294" t="str">
        <f>'A) Base RI'!B120</f>
        <v>Paudex</v>
      </c>
      <c r="C118" s="10">
        <f>'B) D RI'!Y120</f>
        <v>469665.4</v>
      </c>
      <c r="D118" s="437">
        <f>'B) D RI'!Z120</f>
        <v>15159.4</v>
      </c>
      <c r="E118" s="10">
        <f t="shared" si="4"/>
        <v>484824.80000000005</v>
      </c>
      <c r="F118" s="437">
        <f>'B) D RI'!U120</f>
        <v>128424.0019189813</v>
      </c>
      <c r="G118" s="267">
        <f t="shared" si="5"/>
        <v>3.7751883818872183</v>
      </c>
      <c r="H118" s="55">
        <f t="shared" si="6"/>
        <v>239380.52000000002</v>
      </c>
      <c r="I118" s="428">
        <f t="shared" si="7"/>
        <v>1.8639858314882425</v>
      </c>
    </row>
    <row r="119" spans="1:9" x14ac:dyDescent="0.25">
      <c r="A119" s="49">
        <f>'A) Base RI'!A121</f>
        <v>5589</v>
      </c>
      <c r="B119" s="294" t="str">
        <f>'A) Base RI'!B121</f>
        <v>Prilly</v>
      </c>
      <c r="C119" s="10">
        <f>'B) D RI'!Y121</f>
        <v>1767905.9000000001</v>
      </c>
      <c r="D119" s="437">
        <f>'B) D RI'!Z121</f>
        <v>1183963.75</v>
      </c>
      <c r="E119" s="10">
        <f t="shared" si="4"/>
        <v>2951869.6500000004</v>
      </c>
      <c r="F119" s="437">
        <f>'B) D RI'!U121</f>
        <v>381105.28464677284</v>
      </c>
      <c r="G119" s="267">
        <f t="shared" si="5"/>
        <v>7.7455489832315987</v>
      </c>
      <c r="H119" s="55">
        <f t="shared" si="6"/>
        <v>1239142.0750000002</v>
      </c>
      <c r="I119" s="428">
        <f t="shared" si="7"/>
        <v>3.2514429080890288</v>
      </c>
    </row>
    <row r="120" spans="1:9" x14ac:dyDescent="0.25">
      <c r="A120" s="49">
        <f>'A) Base RI'!A122</f>
        <v>5590</v>
      </c>
      <c r="B120" s="294" t="str">
        <f>'A) Base RI'!B122</f>
        <v>Pully</v>
      </c>
      <c r="C120" s="10">
        <f>'B) D RI'!Y122</f>
        <v>13781025.399999999</v>
      </c>
      <c r="D120" s="437">
        <f>'B) D RI'!Z122</f>
        <v>193434.5</v>
      </c>
      <c r="E120" s="10">
        <f t="shared" si="4"/>
        <v>13974459.899999999</v>
      </c>
      <c r="F120" s="437">
        <f>'B) D RI'!U122</f>
        <v>1400746.467371441</v>
      </c>
      <c r="G120" s="267">
        <f t="shared" si="5"/>
        <v>9.9764377248251463</v>
      </c>
      <c r="H120" s="55">
        <f t="shared" si="6"/>
        <v>6948543.0499999989</v>
      </c>
      <c r="I120" s="428">
        <f t="shared" si="7"/>
        <v>4.9606000884936936</v>
      </c>
    </row>
    <row r="121" spans="1:9" x14ac:dyDescent="0.25">
      <c r="A121" s="49">
        <f>'A) Base RI'!A123</f>
        <v>5591</v>
      </c>
      <c r="B121" s="294" t="str">
        <f>'A) Base RI'!B123</f>
        <v>Renens</v>
      </c>
      <c r="C121" s="10">
        <f>'B) D RI'!Y123</f>
        <v>4495247.3499999996</v>
      </c>
      <c r="D121" s="437">
        <f>'B) D RI'!Z123</f>
        <v>2467919.5</v>
      </c>
      <c r="E121" s="10">
        <f t="shared" si="4"/>
        <v>6963166.8499999996</v>
      </c>
      <c r="F121" s="437">
        <f>'B) D RI'!U123</f>
        <v>542865.69746271567</v>
      </c>
      <c r="G121" s="267">
        <f t="shared" si="5"/>
        <v>12.826684173534899</v>
      </c>
      <c r="H121" s="55">
        <f t="shared" si="6"/>
        <v>2987999.5249999999</v>
      </c>
      <c r="I121" s="428">
        <f t="shared" si="7"/>
        <v>5.5041229146831796</v>
      </c>
    </row>
    <row r="122" spans="1:9" x14ac:dyDescent="0.25">
      <c r="A122" s="49">
        <f>'A) Base RI'!A124</f>
        <v>5592</v>
      </c>
      <c r="B122" s="294" t="str">
        <f>'A) Base RI'!B124</f>
        <v>Romanel-sur-Lausanne</v>
      </c>
      <c r="C122" s="10">
        <f>'B) D RI'!Y124</f>
        <v>383454.3</v>
      </c>
      <c r="D122" s="437">
        <f>'B) D RI'!Z124</f>
        <v>211296.2</v>
      </c>
      <c r="E122" s="10">
        <f t="shared" si="4"/>
        <v>594750.5</v>
      </c>
      <c r="F122" s="437">
        <f>'B) D RI'!U124</f>
        <v>113665.67141569764</v>
      </c>
      <c r="G122" s="267">
        <f t="shared" si="5"/>
        <v>5.2324549056230074</v>
      </c>
      <c r="H122" s="55">
        <f t="shared" si="6"/>
        <v>255116.01</v>
      </c>
      <c r="I122" s="428">
        <f t="shared" si="7"/>
        <v>2.244442027417326</v>
      </c>
    </row>
    <row r="123" spans="1:9" x14ac:dyDescent="0.25">
      <c r="A123" s="49">
        <f>'A) Base RI'!A125</f>
        <v>5601</v>
      </c>
      <c r="B123" s="294" t="str">
        <f>'A) Base RI'!B125</f>
        <v>Chexbres</v>
      </c>
      <c r="C123" s="10">
        <f>'B) D RI'!Y125</f>
        <v>706806.4</v>
      </c>
      <c r="D123" s="437">
        <f>'B) D RI'!Z125</f>
        <v>46283.1</v>
      </c>
      <c r="E123" s="10">
        <f t="shared" si="4"/>
        <v>753089.5</v>
      </c>
      <c r="F123" s="437">
        <f>'B) D RI'!U125</f>
        <v>102425.76498358055</v>
      </c>
      <c r="G123" s="267">
        <f t="shared" si="5"/>
        <v>7.3525396673456589</v>
      </c>
      <c r="H123" s="55">
        <f t="shared" si="6"/>
        <v>367288.13</v>
      </c>
      <c r="I123" s="428">
        <f t="shared" si="7"/>
        <v>3.5858958930780593</v>
      </c>
    </row>
    <row r="124" spans="1:9" x14ac:dyDescent="0.25">
      <c r="A124" s="49">
        <f>'A) Base RI'!A126</f>
        <v>5604</v>
      </c>
      <c r="B124" s="294" t="str">
        <f>'A) Base RI'!B126</f>
        <v>Forel (Lavaux)</v>
      </c>
      <c r="C124" s="10">
        <f>'B) D RI'!Y126</f>
        <v>334039.90000000002</v>
      </c>
      <c r="D124" s="437">
        <f>'B) D RI'!Z126</f>
        <v>109339.65</v>
      </c>
      <c r="E124" s="10">
        <f t="shared" si="4"/>
        <v>443379.55000000005</v>
      </c>
      <c r="F124" s="437">
        <f>'B) D RI'!U126</f>
        <v>73155.644895461912</v>
      </c>
      <c r="G124" s="267">
        <f t="shared" si="5"/>
        <v>6.0607701652221282</v>
      </c>
      <c r="H124" s="55">
        <f t="shared" si="6"/>
        <v>199821.845</v>
      </c>
      <c r="I124" s="428">
        <f t="shared" si="7"/>
        <v>2.7314617386743265</v>
      </c>
    </row>
    <row r="125" spans="1:9" x14ac:dyDescent="0.25">
      <c r="A125" s="49">
        <f>'A) Base RI'!A127</f>
        <v>5606</v>
      </c>
      <c r="B125" s="294" t="str">
        <f>'A) Base RI'!B127</f>
        <v>Lutry</v>
      </c>
      <c r="C125" s="10">
        <f>'B) D RI'!Y127</f>
        <v>7496687.9000000004</v>
      </c>
      <c r="D125" s="437">
        <f>'B) D RI'!Z127</f>
        <v>114627.85</v>
      </c>
      <c r="E125" s="10">
        <f t="shared" si="4"/>
        <v>7611315.75</v>
      </c>
      <c r="F125" s="437">
        <f>'B) D RI'!U127</f>
        <v>811441.75973886927</v>
      </c>
      <c r="G125" s="267">
        <f t="shared" si="5"/>
        <v>9.3799901947977187</v>
      </c>
      <c r="H125" s="55">
        <f t="shared" si="6"/>
        <v>3782732.3050000002</v>
      </c>
      <c r="I125" s="428">
        <f t="shared" si="7"/>
        <v>4.6617422132887567</v>
      </c>
    </row>
    <row r="126" spans="1:9" x14ac:dyDescent="0.25">
      <c r="A126" s="49">
        <f>'A) Base RI'!A128</f>
        <v>5607</v>
      </c>
      <c r="B126" s="294" t="str">
        <f>'A) Base RI'!B128</f>
        <v>Puidoux</v>
      </c>
      <c r="C126" s="10">
        <f>'B) D RI'!Y128</f>
        <v>713867.2</v>
      </c>
      <c r="D126" s="437">
        <f>'B) D RI'!Z128</f>
        <v>226664.6</v>
      </c>
      <c r="E126" s="10">
        <f t="shared" si="4"/>
        <v>940531.79999999993</v>
      </c>
      <c r="F126" s="437">
        <f>'B) D RI'!U128</f>
        <v>106681.90706629901</v>
      </c>
      <c r="G126" s="267">
        <f t="shared" si="5"/>
        <v>8.8162259736835491</v>
      </c>
      <c r="H126" s="55">
        <f t="shared" si="6"/>
        <v>424932.98</v>
      </c>
      <c r="I126" s="428">
        <f t="shared" si="7"/>
        <v>3.9831775760806303</v>
      </c>
    </row>
    <row r="127" spans="1:9" x14ac:dyDescent="0.25">
      <c r="A127" s="49">
        <f>'A) Base RI'!A129</f>
        <v>5609</v>
      </c>
      <c r="B127" s="294" t="str">
        <f>'A) Base RI'!B129</f>
        <v>Rivaz</v>
      </c>
      <c r="C127" s="10">
        <f>'B) D RI'!Y129</f>
        <v>19580</v>
      </c>
      <c r="D127" s="437">
        <f>'B) D RI'!Z129</f>
        <v>0</v>
      </c>
      <c r="E127" s="10">
        <f t="shared" si="4"/>
        <v>19580</v>
      </c>
      <c r="F127" s="437">
        <f>'B) D RI'!U129</f>
        <v>13473.763444719882</v>
      </c>
      <c r="G127" s="267">
        <f t="shared" si="5"/>
        <v>1.4531945792526912</v>
      </c>
      <c r="H127" s="55">
        <f t="shared" si="6"/>
        <v>9790</v>
      </c>
      <c r="I127" s="428">
        <f t="shared" si="7"/>
        <v>0.72659728962634562</v>
      </c>
    </row>
    <row r="128" spans="1:9" x14ac:dyDescent="0.25">
      <c r="A128" s="49">
        <f>'A) Base RI'!A130</f>
        <v>5610</v>
      </c>
      <c r="B128" s="294" t="str">
        <f>'A) Base RI'!B130</f>
        <v>St-Saphorin (Lavaux)</v>
      </c>
      <c r="C128" s="10">
        <f>'B) D RI'!Y130</f>
        <v>37922.65</v>
      </c>
      <c r="D128" s="437">
        <f>'B) D RI'!Z130</f>
        <v>0</v>
      </c>
      <c r="E128" s="10">
        <f t="shared" si="4"/>
        <v>37922.65</v>
      </c>
      <c r="F128" s="437">
        <f>'B) D RI'!U130</f>
        <v>21538.059608526812</v>
      </c>
      <c r="G128" s="267">
        <f t="shared" si="5"/>
        <v>1.7607273212758039</v>
      </c>
      <c r="H128" s="55">
        <f t="shared" si="6"/>
        <v>18961.325000000001</v>
      </c>
      <c r="I128" s="428">
        <f t="shared" si="7"/>
        <v>0.88036366063790195</v>
      </c>
    </row>
    <row r="129" spans="1:9" x14ac:dyDescent="0.25">
      <c r="A129" s="49">
        <f>'A) Base RI'!A131</f>
        <v>5611</v>
      </c>
      <c r="B129" s="294" t="str">
        <f>'A) Base RI'!B131</f>
        <v>Savigny</v>
      </c>
      <c r="C129" s="10">
        <f>'B) D RI'!Y131</f>
        <v>1590831.25</v>
      </c>
      <c r="D129" s="437">
        <f>'B) D RI'!Z131</f>
        <v>152991.25</v>
      </c>
      <c r="E129" s="10">
        <f t="shared" si="4"/>
        <v>1743822.5</v>
      </c>
      <c r="F129" s="437">
        <f>'B) D RI'!U131</f>
        <v>135057.67308998347</v>
      </c>
      <c r="G129" s="267">
        <f t="shared" si="5"/>
        <v>12.911687726458618</v>
      </c>
      <c r="H129" s="55">
        <f t="shared" si="6"/>
        <v>841313</v>
      </c>
      <c r="I129" s="428">
        <f t="shared" si="7"/>
        <v>6.2292869464696548</v>
      </c>
    </row>
    <row r="130" spans="1:9" x14ac:dyDescent="0.25">
      <c r="A130" s="49">
        <f>'A) Base RI'!A132</f>
        <v>5613</v>
      </c>
      <c r="B130" s="294" t="str">
        <f>'A) Base RI'!B132</f>
        <v>Bourg-en-Lavaux</v>
      </c>
      <c r="C130" s="10">
        <f>'B) D RI'!Y132</f>
        <v>2165626.7999999998</v>
      </c>
      <c r="D130" s="437">
        <f>'B) D RI'!Z132</f>
        <v>27565.8</v>
      </c>
      <c r="E130" s="10">
        <f t="shared" si="4"/>
        <v>2193192.5999999996</v>
      </c>
      <c r="F130" s="437">
        <f>'B) D RI'!U132</f>
        <v>293013.05852938921</v>
      </c>
      <c r="G130" s="267">
        <f t="shared" si="5"/>
        <v>7.4849653834797349</v>
      </c>
      <c r="H130" s="55">
        <f t="shared" si="6"/>
        <v>1091083.1399999999</v>
      </c>
      <c r="I130" s="428">
        <f t="shared" si="7"/>
        <v>3.7236672845779135</v>
      </c>
    </row>
    <row r="131" spans="1:9" x14ac:dyDescent="0.25">
      <c r="A131" s="49">
        <f>'A) Base RI'!A133</f>
        <v>5621</v>
      </c>
      <c r="B131" s="294" t="str">
        <f>'A) Base RI'!B133</f>
        <v>Aclens</v>
      </c>
      <c r="C131" s="10">
        <f>'B) D RI'!Y133</f>
        <v>371073.85</v>
      </c>
      <c r="D131" s="437">
        <f>'B) D RI'!Z133</f>
        <v>216714.35</v>
      </c>
      <c r="E131" s="10">
        <f t="shared" si="4"/>
        <v>587788.19999999995</v>
      </c>
      <c r="F131" s="437">
        <f>'B) D RI'!U133</f>
        <v>33712.724093262899</v>
      </c>
      <c r="G131" s="267">
        <f t="shared" si="5"/>
        <v>17.435203348561878</v>
      </c>
      <c r="H131" s="55">
        <f t="shared" si="6"/>
        <v>250551.22999999998</v>
      </c>
      <c r="I131" s="428">
        <f t="shared" si="7"/>
        <v>7.4319485220735917</v>
      </c>
    </row>
    <row r="132" spans="1:9" x14ac:dyDescent="0.25">
      <c r="A132" s="49">
        <f>'A) Base RI'!A134</f>
        <v>5622</v>
      </c>
      <c r="B132" s="294" t="str">
        <f>'A) Base RI'!B134</f>
        <v>Bremblens</v>
      </c>
      <c r="C132" s="10">
        <f>'B) D RI'!Y134</f>
        <v>251598.7</v>
      </c>
      <c r="D132" s="437">
        <f>'B) D RI'!Z134</f>
        <v>22635.8</v>
      </c>
      <c r="E132" s="10">
        <f t="shared" si="4"/>
        <v>274234.5</v>
      </c>
      <c r="F132" s="437">
        <f>'B) D RI'!U134</f>
        <v>25760.394087687673</v>
      </c>
      <c r="G132" s="267">
        <f t="shared" si="5"/>
        <v>10.64558636279062</v>
      </c>
      <c r="H132" s="55">
        <f t="shared" si="6"/>
        <v>132590.09</v>
      </c>
      <c r="I132" s="428">
        <f t="shared" si="7"/>
        <v>5.1470520811392468</v>
      </c>
    </row>
    <row r="133" spans="1:9" x14ac:dyDescent="0.25">
      <c r="A133" s="49">
        <f>'A) Base RI'!A135</f>
        <v>5623</v>
      </c>
      <c r="B133" s="294" t="str">
        <f>'A) Base RI'!B135</f>
        <v>Buchillon</v>
      </c>
      <c r="C133" s="10">
        <f>'B) D RI'!Y135</f>
        <v>270530.69999999995</v>
      </c>
      <c r="D133" s="437">
        <f>'B) D RI'!Z135</f>
        <v>2113.4499999999998</v>
      </c>
      <c r="E133" s="10">
        <f t="shared" si="4"/>
        <v>272644.14999999997</v>
      </c>
      <c r="F133" s="437">
        <f>'B) D RI'!U135</f>
        <v>119048.13355212047</v>
      </c>
      <c r="G133" s="267">
        <f t="shared" si="5"/>
        <v>2.2902009621228845</v>
      </c>
      <c r="H133" s="55">
        <f t="shared" si="6"/>
        <v>135899.38499999998</v>
      </c>
      <c r="I133" s="428">
        <f t="shared" si="7"/>
        <v>1.141549900406476</v>
      </c>
    </row>
    <row r="134" spans="1:9" x14ac:dyDescent="0.25">
      <c r="A134" s="49">
        <f>'A) Base RI'!A136</f>
        <v>5624</v>
      </c>
      <c r="B134" s="294" t="str">
        <f>'A) Base RI'!B136</f>
        <v>Bussigny</v>
      </c>
      <c r="C134" s="10">
        <f>'B) D RI'!Y136</f>
        <v>2412799.2000000002</v>
      </c>
      <c r="D134" s="437">
        <f>'B) D RI'!Z136</f>
        <v>1436741.85</v>
      </c>
      <c r="E134" s="10">
        <f t="shared" ref="E134:E197" si="8">C134+D134</f>
        <v>3849541.0500000003</v>
      </c>
      <c r="F134" s="437">
        <f>'B) D RI'!U136</f>
        <v>356482.21982509014</v>
      </c>
      <c r="G134" s="267">
        <f t="shared" ref="G134:G197" si="9">E134/F134</f>
        <v>10.798690189622354</v>
      </c>
      <c r="H134" s="55">
        <f t="shared" ref="H134:H197" si="10">(C134*$C$4)+(D134*$D$4)</f>
        <v>1637422.155</v>
      </c>
      <c r="I134" s="428">
        <f t="shared" ref="I134:I197" si="11">H134/F134</f>
        <v>4.5932786095289959</v>
      </c>
    </row>
    <row r="135" spans="1:9" x14ac:dyDescent="0.25">
      <c r="A135" s="49">
        <f>'A) Base RI'!A137</f>
        <v>5625</v>
      </c>
      <c r="B135" s="294" t="str">
        <f>'A) Base RI'!B137</f>
        <v>Bussy-Chardonney</v>
      </c>
      <c r="C135" s="10">
        <f>'B) D RI'!Y137</f>
        <v>131630.85</v>
      </c>
      <c r="D135" s="437">
        <f>'B) D RI'!Z137</f>
        <v>0</v>
      </c>
      <c r="E135" s="10">
        <f t="shared" si="8"/>
        <v>131630.85</v>
      </c>
      <c r="F135" s="437">
        <f>'B) D RI'!U137</f>
        <v>13370.312366998642</v>
      </c>
      <c r="G135" s="267">
        <f t="shared" si="9"/>
        <v>9.8450093301409094</v>
      </c>
      <c r="H135" s="55">
        <f t="shared" si="10"/>
        <v>65815.425000000003</v>
      </c>
      <c r="I135" s="428">
        <f t="shared" si="11"/>
        <v>4.9225046650704547</v>
      </c>
    </row>
    <row r="136" spans="1:9" x14ac:dyDescent="0.25">
      <c r="A136" s="49">
        <f>'A) Base RI'!A138</f>
        <v>5627</v>
      </c>
      <c r="B136" s="294" t="str">
        <f>'A) Base RI'!B138</f>
        <v>Chavannes-près-Renens</v>
      </c>
      <c r="C136" s="10">
        <f>'B) D RI'!Y138</f>
        <v>1047328.35</v>
      </c>
      <c r="D136" s="437">
        <f>'B) D RI'!Z138</f>
        <v>405212</v>
      </c>
      <c r="E136" s="10">
        <f t="shared" si="8"/>
        <v>1452540.35</v>
      </c>
      <c r="F136" s="437">
        <f>'B) D RI'!U138</f>
        <v>173390.58290122479</v>
      </c>
      <c r="G136" s="267">
        <f t="shared" si="9"/>
        <v>8.3772735848489948</v>
      </c>
      <c r="H136" s="55">
        <f t="shared" si="10"/>
        <v>645227.77500000002</v>
      </c>
      <c r="I136" s="428">
        <f t="shared" si="11"/>
        <v>3.7212388597111192</v>
      </c>
    </row>
    <row r="137" spans="1:9" x14ac:dyDescent="0.25">
      <c r="A137" s="49">
        <f>'A) Base RI'!A139</f>
        <v>5628</v>
      </c>
      <c r="B137" s="294" t="str">
        <f>'A) Base RI'!B139</f>
        <v>Chigny</v>
      </c>
      <c r="C137" s="10">
        <f>'B) D RI'!Y139</f>
        <v>61155.55</v>
      </c>
      <c r="D137" s="437">
        <f>'B) D RI'!Z139</f>
        <v>26499.05</v>
      </c>
      <c r="E137" s="10">
        <f t="shared" si="8"/>
        <v>87654.6</v>
      </c>
      <c r="F137" s="437">
        <f>'B) D RI'!U139</f>
        <v>21894.357951349266</v>
      </c>
      <c r="G137" s="267">
        <f t="shared" si="9"/>
        <v>4.003524569881173</v>
      </c>
      <c r="H137" s="55">
        <f t="shared" si="10"/>
        <v>38527.49</v>
      </c>
      <c r="I137" s="428">
        <f t="shared" si="11"/>
        <v>1.7596994662100012</v>
      </c>
    </row>
    <row r="138" spans="1:9" x14ac:dyDescent="0.25">
      <c r="A138" s="49">
        <f>'A) Base RI'!A140</f>
        <v>5629</v>
      </c>
      <c r="B138" s="294" t="str">
        <f>'A) Base RI'!B140</f>
        <v>Clarmont</v>
      </c>
      <c r="C138" s="10">
        <f>'B) D RI'!Y140</f>
        <v>59963.9</v>
      </c>
      <c r="D138" s="437">
        <f>'B) D RI'!Z140</f>
        <v>0</v>
      </c>
      <c r="E138" s="10">
        <f t="shared" si="8"/>
        <v>59963.9</v>
      </c>
      <c r="F138" s="437">
        <f>'B) D RI'!U140</f>
        <v>6916.2311229358211</v>
      </c>
      <c r="G138" s="267">
        <f t="shared" si="9"/>
        <v>8.6700254711190681</v>
      </c>
      <c r="H138" s="55">
        <f t="shared" si="10"/>
        <v>29981.95</v>
      </c>
      <c r="I138" s="428">
        <f t="shared" si="11"/>
        <v>4.335012735559534</v>
      </c>
    </row>
    <row r="139" spans="1:9" x14ac:dyDescent="0.25">
      <c r="A139" s="49">
        <f>'A) Base RI'!A141</f>
        <v>5631</v>
      </c>
      <c r="B139" s="294" t="str">
        <f>'A) Base RI'!B141</f>
        <v>Denens</v>
      </c>
      <c r="C139" s="10">
        <f>'B) D RI'!Y141</f>
        <v>220358.39999999999</v>
      </c>
      <c r="D139" s="437">
        <f>'B) D RI'!Z141</f>
        <v>0</v>
      </c>
      <c r="E139" s="10">
        <f t="shared" si="8"/>
        <v>220358.39999999999</v>
      </c>
      <c r="F139" s="437">
        <f>'B) D RI'!U141</f>
        <v>43815.97689546422</v>
      </c>
      <c r="G139" s="267">
        <f t="shared" si="9"/>
        <v>5.029179208436438</v>
      </c>
      <c r="H139" s="55">
        <f t="shared" si="10"/>
        <v>110179.2</v>
      </c>
      <c r="I139" s="428">
        <f t="shared" si="11"/>
        <v>2.514589604218219</v>
      </c>
    </row>
    <row r="140" spans="1:9" x14ac:dyDescent="0.25">
      <c r="A140" s="49">
        <f>'A) Base RI'!A142</f>
        <v>5632</v>
      </c>
      <c r="B140" s="294" t="str">
        <f>'A) Base RI'!B142</f>
        <v>Denges</v>
      </c>
      <c r="C140" s="10">
        <f>'B) D RI'!Y142</f>
        <v>468797.75</v>
      </c>
      <c r="D140" s="437">
        <f>'B) D RI'!Z142</f>
        <v>73867.05</v>
      </c>
      <c r="E140" s="10">
        <f t="shared" si="8"/>
        <v>542664.80000000005</v>
      </c>
      <c r="F140" s="437">
        <f>'B) D RI'!U142</f>
        <v>67687.396226466764</v>
      </c>
      <c r="G140" s="267">
        <f t="shared" si="9"/>
        <v>8.0172207863390987</v>
      </c>
      <c r="H140" s="55">
        <f t="shared" si="10"/>
        <v>256558.99</v>
      </c>
      <c r="I140" s="428">
        <f t="shared" si="11"/>
        <v>3.7903510003784375</v>
      </c>
    </row>
    <row r="141" spans="1:9" x14ac:dyDescent="0.25">
      <c r="A141" s="49">
        <f>'A) Base RI'!A143</f>
        <v>5633</v>
      </c>
      <c r="B141" s="294" t="str">
        <f>'A) Base RI'!B143</f>
        <v>Echandens</v>
      </c>
      <c r="C141" s="10">
        <f>'B) D RI'!Y143</f>
        <v>265590.19</v>
      </c>
      <c r="D141" s="437">
        <f>'B) D RI'!Z143</f>
        <v>224978.2</v>
      </c>
      <c r="E141" s="10">
        <f t="shared" si="8"/>
        <v>490568.39</v>
      </c>
      <c r="F141" s="437">
        <f>'B) D RI'!U143</f>
        <v>137438.92097427152</v>
      </c>
      <c r="G141" s="267">
        <f t="shared" si="9"/>
        <v>3.5693556564798272</v>
      </c>
      <c r="H141" s="55">
        <f t="shared" si="10"/>
        <v>200288.55499999999</v>
      </c>
      <c r="I141" s="428">
        <f t="shared" si="11"/>
        <v>1.4572913813656461</v>
      </c>
    </row>
    <row r="142" spans="1:9" x14ac:dyDescent="0.25">
      <c r="A142" s="49">
        <f>'A) Base RI'!A144</f>
        <v>5634</v>
      </c>
      <c r="B142" s="294" t="str">
        <f>'A) Base RI'!B144</f>
        <v>Echichens</v>
      </c>
      <c r="C142" s="10">
        <f>'B) D RI'!Y144</f>
        <v>978755.45000000007</v>
      </c>
      <c r="D142" s="437">
        <f>'B) D RI'!Z144</f>
        <v>36676.85</v>
      </c>
      <c r="E142" s="10">
        <f t="shared" si="8"/>
        <v>1015432.3</v>
      </c>
      <c r="F142" s="437">
        <f>'B) D RI'!U144</f>
        <v>172707.41089939879</v>
      </c>
      <c r="G142" s="267">
        <f t="shared" si="9"/>
        <v>5.8794946592736794</v>
      </c>
      <c r="H142" s="55">
        <f t="shared" si="10"/>
        <v>500380.78</v>
      </c>
      <c r="I142" s="428">
        <f t="shared" si="11"/>
        <v>2.8972745141288079</v>
      </c>
    </row>
    <row r="143" spans="1:9" x14ac:dyDescent="0.25">
      <c r="A143" s="49">
        <f>'A) Base RI'!A145</f>
        <v>5635</v>
      </c>
      <c r="B143" s="294" t="str">
        <f>'A) Base RI'!B145</f>
        <v>Ecublens</v>
      </c>
      <c r="C143" s="10">
        <f>'B) D RI'!Y145</f>
        <v>1232718.5</v>
      </c>
      <c r="D143" s="437">
        <f>'B) D RI'!Z145</f>
        <v>2525188.4</v>
      </c>
      <c r="E143" s="10">
        <f t="shared" si="8"/>
        <v>3757906.9</v>
      </c>
      <c r="F143" s="437">
        <f>'B) D RI'!U145</f>
        <v>425804.36099449953</v>
      </c>
      <c r="G143" s="267">
        <f t="shared" si="9"/>
        <v>8.8254307476398619</v>
      </c>
      <c r="H143" s="55">
        <f t="shared" si="10"/>
        <v>1373915.77</v>
      </c>
      <c r="I143" s="428">
        <f t="shared" si="11"/>
        <v>3.2266362110315447</v>
      </c>
    </row>
    <row r="144" spans="1:9" x14ac:dyDescent="0.25">
      <c r="A144" s="49">
        <f>'A) Base RI'!A146</f>
        <v>5636</v>
      </c>
      <c r="B144" s="294" t="str">
        <f>'A) Base RI'!B146</f>
        <v>Etoy</v>
      </c>
      <c r="C144" s="10">
        <f>'B) D RI'!Y146</f>
        <v>1763625.1999999997</v>
      </c>
      <c r="D144" s="437">
        <f>'B) D RI'!Z146</f>
        <v>567263.44999999995</v>
      </c>
      <c r="E144" s="10">
        <f t="shared" si="8"/>
        <v>2330888.6499999994</v>
      </c>
      <c r="F144" s="437">
        <f>'B) D RI'!U146</f>
        <v>163508.07491244882</v>
      </c>
      <c r="G144" s="267">
        <f t="shared" si="9"/>
        <v>14.255495645998431</v>
      </c>
      <c r="H144" s="55">
        <f t="shared" si="10"/>
        <v>1051991.6349999998</v>
      </c>
      <c r="I144" s="428">
        <f t="shared" si="11"/>
        <v>6.4338818468952912</v>
      </c>
    </row>
    <row r="145" spans="1:9" x14ac:dyDescent="0.25">
      <c r="A145" s="49">
        <f>'A) Base RI'!A147</f>
        <v>5637</v>
      </c>
      <c r="B145" s="294" t="str">
        <f>'A) Base RI'!B147</f>
        <v>Lavigny</v>
      </c>
      <c r="C145" s="10">
        <f>'B) D RI'!Y147</f>
        <v>138512.90000000002</v>
      </c>
      <c r="D145" s="437">
        <f>'B) D RI'!Z147</f>
        <v>222794.7</v>
      </c>
      <c r="E145" s="10">
        <f t="shared" si="8"/>
        <v>361307.60000000003</v>
      </c>
      <c r="F145" s="437">
        <f>'B) D RI'!U147</f>
        <v>35527.670702114687</v>
      </c>
      <c r="G145" s="267">
        <f t="shared" si="9"/>
        <v>10.169751994984974</v>
      </c>
      <c r="H145" s="55">
        <f t="shared" si="10"/>
        <v>136094.86000000002</v>
      </c>
      <c r="I145" s="428">
        <f t="shared" si="11"/>
        <v>3.8306721862263644</v>
      </c>
    </row>
    <row r="146" spans="1:9" x14ac:dyDescent="0.25">
      <c r="A146" s="49">
        <f>'A) Base RI'!A148</f>
        <v>5638</v>
      </c>
      <c r="B146" s="294" t="str">
        <f>'A) Base RI'!B148</f>
        <v>Lonay</v>
      </c>
      <c r="C146" s="10">
        <f>'B) D RI'!Y148</f>
        <v>2361843.3000000003</v>
      </c>
      <c r="D146" s="437">
        <f>'B) D RI'!Z148</f>
        <v>215283.05</v>
      </c>
      <c r="E146" s="10">
        <f t="shared" si="8"/>
        <v>2577126.35</v>
      </c>
      <c r="F146" s="437">
        <f>'B) D RI'!U148</f>
        <v>156801.12521319877</v>
      </c>
      <c r="G146" s="267">
        <f t="shared" si="9"/>
        <v>16.435636839314402</v>
      </c>
      <c r="H146" s="55">
        <f t="shared" si="10"/>
        <v>1245506.5650000002</v>
      </c>
      <c r="I146" s="428">
        <f t="shared" si="11"/>
        <v>7.9432246631299011</v>
      </c>
    </row>
    <row r="147" spans="1:9" x14ac:dyDescent="0.25">
      <c r="A147" s="49">
        <f>'A) Base RI'!A149</f>
        <v>5639</v>
      </c>
      <c r="B147" s="294" t="str">
        <f>'A) Base RI'!B149</f>
        <v>Lully</v>
      </c>
      <c r="C147" s="10">
        <f>'B) D RI'!Y149</f>
        <v>198670.95</v>
      </c>
      <c r="D147" s="437">
        <f>'B) D RI'!Z149</f>
        <v>12986.35</v>
      </c>
      <c r="E147" s="10">
        <f t="shared" si="8"/>
        <v>211657.30000000002</v>
      </c>
      <c r="F147" s="437">
        <f>'B) D RI'!U149</f>
        <v>44733.650298121938</v>
      </c>
      <c r="G147" s="267">
        <f t="shared" si="9"/>
        <v>4.7315007514351244</v>
      </c>
      <c r="H147" s="55">
        <f t="shared" si="10"/>
        <v>103231.38</v>
      </c>
      <c r="I147" s="428">
        <f t="shared" si="11"/>
        <v>2.3076896097686439</v>
      </c>
    </row>
    <row r="148" spans="1:9" x14ac:dyDescent="0.25">
      <c r="A148" s="49">
        <f>'A) Base RI'!A150</f>
        <v>5640</v>
      </c>
      <c r="B148" s="294" t="str">
        <f>'A) Base RI'!B150</f>
        <v>Lussy-sur-Morges</v>
      </c>
      <c r="C148" s="10">
        <f>'B) D RI'!Y150</f>
        <v>325219.75</v>
      </c>
      <c r="D148" s="437">
        <f>'B) D RI'!Z150</f>
        <v>18606.95</v>
      </c>
      <c r="E148" s="10">
        <f t="shared" si="8"/>
        <v>343826.7</v>
      </c>
      <c r="F148" s="437">
        <f>'B) D RI'!U150</f>
        <v>53214.189880771395</v>
      </c>
      <c r="G148" s="267">
        <f t="shared" si="9"/>
        <v>6.4611845218419752</v>
      </c>
      <c r="H148" s="55">
        <f t="shared" si="10"/>
        <v>168191.96</v>
      </c>
      <c r="I148" s="428">
        <f t="shared" si="11"/>
        <v>3.1606599739062284</v>
      </c>
    </row>
    <row r="149" spans="1:9" x14ac:dyDescent="0.25">
      <c r="A149" s="49">
        <f>'A) Base RI'!A151</f>
        <v>5642</v>
      </c>
      <c r="B149" s="294" t="str">
        <f>'A) Base RI'!B151</f>
        <v>Morges</v>
      </c>
      <c r="C149" s="10">
        <f>'B) D RI'!Y151</f>
        <v>6569279.1999999993</v>
      </c>
      <c r="D149" s="437">
        <f>'B) D RI'!Z151</f>
        <v>1405238.4</v>
      </c>
      <c r="E149" s="10">
        <f t="shared" si="8"/>
        <v>7974517.5999999996</v>
      </c>
      <c r="F149" s="437">
        <f>'B) D RI'!U151</f>
        <v>729290.95553024486</v>
      </c>
      <c r="G149" s="267">
        <f t="shared" si="9"/>
        <v>10.934617438388463</v>
      </c>
      <c r="H149" s="55">
        <f t="shared" si="10"/>
        <v>3706211.1199999996</v>
      </c>
      <c r="I149" s="428">
        <f t="shared" si="11"/>
        <v>5.0819375886889047</v>
      </c>
    </row>
    <row r="150" spans="1:9" x14ac:dyDescent="0.25">
      <c r="A150" s="49">
        <f>'A) Base RI'!A152</f>
        <v>5643</v>
      </c>
      <c r="B150" s="294" t="str">
        <f>'A) Base RI'!B152</f>
        <v>Préverenges</v>
      </c>
      <c r="C150" s="10">
        <f>'B) D RI'!Y152</f>
        <v>430504.15</v>
      </c>
      <c r="D150" s="437">
        <f>'B) D RI'!Z152</f>
        <v>178198.39999999999</v>
      </c>
      <c r="E150" s="10">
        <f t="shared" si="8"/>
        <v>608702.55000000005</v>
      </c>
      <c r="F150" s="437">
        <f>'B) D RI'!U152</f>
        <v>256716.54312991558</v>
      </c>
      <c r="G150" s="267">
        <f t="shared" si="9"/>
        <v>2.3711076137853579</v>
      </c>
      <c r="H150" s="55">
        <f t="shared" si="10"/>
        <v>268711.59500000003</v>
      </c>
      <c r="I150" s="428">
        <f t="shared" si="11"/>
        <v>1.0467248885632359</v>
      </c>
    </row>
    <row r="151" spans="1:9" x14ac:dyDescent="0.25">
      <c r="A151" s="49">
        <f>'A) Base RI'!A153</f>
        <v>5644</v>
      </c>
      <c r="B151" s="294" t="str">
        <f>'A) Base RI'!B153</f>
        <v>Reverolle</v>
      </c>
      <c r="C151" s="10">
        <f>'B) D RI'!Y153</f>
        <v>83936.15</v>
      </c>
      <c r="D151" s="437">
        <f>'B) D RI'!Z153</f>
        <v>4010.65</v>
      </c>
      <c r="E151" s="10">
        <f t="shared" si="8"/>
        <v>87946.799999999988</v>
      </c>
      <c r="F151" s="437">
        <f>'B) D RI'!U153</f>
        <v>13425.23260136249</v>
      </c>
      <c r="G151" s="267">
        <f t="shared" si="9"/>
        <v>6.5508585669550721</v>
      </c>
      <c r="H151" s="55">
        <f t="shared" si="10"/>
        <v>43171.27</v>
      </c>
      <c r="I151" s="428">
        <f t="shared" si="11"/>
        <v>3.2156813428780864</v>
      </c>
    </row>
    <row r="152" spans="1:9" x14ac:dyDescent="0.25">
      <c r="A152" s="49">
        <f>'A) Base RI'!A154</f>
        <v>5645</v>
      </c>
      <c r="B152" s="294" t="str">
        <f>'A) Base RI'!B154</f>
        <v>Romanel-sur-Morges</v>
      </c>
      <c r="C152" s="10">
        <f>'B) D RI'!Y154</f>
        <v>118670.3</v>
      </c>
      <c r="D152" s="437">
        <f>'B) D RI'!Z154</f>
        <v>48717.45</v>
      </c>
      <c r="E152" s="10">
        <f t="shared" si="8"/>
        <v>167387.75</v>
      </c>
      <c r="F152" s="437">
        <f>'B) D RI'!U154</f>
        <v>24229.852670127519</v>
      </c>
      <c r="G152" s="267">
        <f t="shared" si="9"/>
        <v>6.9083271895569087</v>
      </c>
      <c r="H152" s="55">
        <f t="shared" si="10"/>
        <v>73950.384999999995</v>
      </c>
      <c r="I152" s="428">
        <f t="shared" si="11"/>
        <v>3.0520360980639345</v>
      </c>
    </row>
    <row r="153" spans="1:9" x14ac:dyDescent="0.25">
      <c r="A153" s="49">
        <f>'A) Base RI'!A155</f>
        <v>5646</v>
      </c>
      <c r="B153" s="294" t="str">
        <f>'A) Base RI'!B155</f>
        <v>Saint-Prex</v>
      </c>
      <c r="C153" s="10">
        <f>'B) D RI'!Y155</f>
        <v>1340751.3000000003</v>
      </c>
      <c r="D153" s="437">
        <f>'B) D RI'!Z155</f>
        <v>621335.85</v>
      </c>
      <c r="E153" s="10">
        <f t="shared" si="8"/>
        <v>1962087.1500000004</v>
      </c>
      <c r="F153" s="437">
        <f>'B) D RI'!U155</f>
        <v>461684.29365699238</v>
      </c>
      <c r="G153" s="267">
        <f t="shared" si="9"/>
        <v>4.2498460029002629</v>
      </c>
      <c r="H153" s="55">
        <f t="shared" si="10"/>
        <v>856776.40500000014</v>
      </c>
      <c r="I153" s="428">
        <f t="shared" si="11"/>
        <v>1.8557625129793582</v>
      </c>
    </row>
    <row r="154" spans="1:9" x14ac:dyDescent="0.25">
      <c r="A154" s="49">
        <f>'A) Base RI'!A156</f>
        <v>5648</v>
      </c>
      <c r="B154" s="294" t="str">
        <f>'A) Base RI'!B156</f>
        <v>Saint-Sulpice</v>
      </c>
      <c r="C154" s="10">
        <f>'B) D RI'!Y156</f>
        <v>2500000</v>
      </c>
      <c r="D154" s="437">
        <f>'B) D RI'!Z156</f>
        <v>60000</v>
      </c>
      <c r="E154" s="10">
        <f t="shared" si="8"/>
        <v>2560000</v>
      </c>
      <c r="F154" s="437">
        <f>'B) D RI'!U156</f>
        <v>359984.01578722027</v>
      </c>
      <c r="G154" s="267">
        <f t="shared" si="9"/>
        <v>7.1114268626670567</v>
      </c>
      <c r="H154" s="55">
        <f t="shared" si="10"/>
        <v>1268000</v>
      </c>
      <c r="I154" s="428">
        <f t="shared" si="11"/>
        <v>3.5223786179147765</v>
      </c>
    </row>
    <row r="155" spans="1:9" x14ac:dyDescent="0.25">
      <c r="A155" s="49">
        <f>'A) Base RI'!A157</f>
        <v>5649</v>
      </c>
      <c r="B155" s="294" t="str">
        <f>'A) Base RI'!B157</f>
        <v>Tolochenaz</v>
      </c>
      <c r="C155" s="10">
        <f>'B) D RI'!Y157</f>
        <v>137810.65000000002</v>
      </c>
      <c r="D155" s="437">
        <f>'B) D RI'!Z157</f>
        <v>294828.34999999998</v>
      </c>
      <c r="E155" s="10">
        <f t="shared" si="8"/>
        <v>432639</v>
      </c>
      <c r="F155" s="437">
        <f>'B) D RI'!U157</f>
        <v>113998.65852486389</v>
      </c>
      <c r="G155" s="267">
        <f t="shared" si="9"/>
        <v>3.7951236058241729</v>
      </c>
      <c r="H155" s="55">
        <f t="shared" si="10"/>
        <v>157353.83000000002</v>
      </c>
      <c r="I155" s="428">
        <f t="shared" si="11"/>
        <v>1.380312996978645</v>
      </c>
    </row>
    <row r="156" spans="1:9" x14ac:dyDescent="0.25">
      <c r="A156" s="49">
        <f>'A) Base RI'!A158</f>
        <v>5650</v>
      </c>
      <c r="B156" s="294" t="str">
        <f>'A) Base RI'!B158</f>
        <v>Vaux-sur-Morges</v>
      </c>
      <c r="C156" s="10">
        <f>'B) D RI'!Y158</f>
        <v>0</v>
      </c>
      <c r="D156" s="437">
        <f>'B) D RI'!Z158</f>
        <v>0</v>
      </c>
      <c r="E156" s="10">
        <f t="shared" si="8"/>
        <v>0</v>
      </c>
      <c r="F156" s="437">
        <f>'B) D RI'!U158</f>
        <v>185104.32562171915</v>
      </c>
      <c r="G156" s="267">
        <f t="shared" si="9"/>
        <v>0</v>
      </c>
      <c r="H156" s="55">
        <f t="shared" si="10"/>
        <v>0</v>
      </c>
      <c r="I156" s="428">
        <f t="shared" si="11"/>
        <v>0</v>
      </c>
    </row>
    <row r="157" spans="1:9" x14ac:dyDescent="0.25">
      <c r="A157" s="49">
        <f>'A) Base RI'!A159</f>
        <v>5651</v>
      </c>
      <c r="B157" s="294" t="str">
        <f>'A) Base RI'!B159</f>
        <v>Villars-Sainte-Croix</v>
      </c>
      <c r="C157" s="10">
        <f>'B) D RI'!Y159</f>
        <v>159288.59999999998</v>
      </c>
      <c r="D157" s="437">
        <f>'B) D RI'!Z159</f>
        <v>167054.35</v>
      </c>
      <c r="E157" s="10">
        <f t="shared" si="8"/>
        <v>326342.94999999995</v>
      </c>
      <c r="F157" s="437">
        <f>'B) D RI'!U159</f>
        <v>50327.012990433635</v>
      </c>
      <c r="G157" s="267">
        <f t="shared" si="9"/>
        <v>6.4844490187015982</v>
      </c>
      <c r="H157" s="55">
        <f t="shared" si="10"/>
        <v>129760.60499999998</v>
      </c>
      <c r="I157" s="428">
        <f t="shared" si="11"/>
        <v>2.5783490274828234</v>
      </c>
    </row>
    <row r="158" spans="1:9" x14ac:dyDescent="0.25">
      <c r="A158" s="49">
        <f>'A) Base RI'!A160</f>
        <v>5652</v>
      </c>
      <c r="B158" s="294" t="str">
        <f>'A) Base RI'!B160</f>
        <v>Villars-sous-Yens</v>
      </c>
      <c r="C158" s="10">
        <f>'B) D RI'!Y160</f>
        <v>58323.45</v>
      </c>
      <c r="D158" s="437">
        <f>'B) D RI'!Z160</f>
        <v>8597.2999999999993</v>
      </c>
      <c r="E158" s="10">
        <f t="shared" si="8"/>
        <v>66920.75</v>
      </c>
      <c r="F158" s="437">
        <f>'B) D RI'!U160</f>
        <v>29665.347417842095</v>
      </c>
      <c r="G158" s="267">
        <f t="shared" si="9"/>
        <v>2.2558559337737876</v>
      </c>
      <c r="H158" s="55">
        <f t="shared" si="10"/>
        <v>31740.914999999997</v>
      </c>
      <c r="I158" s="428">
        <f t="shared" si="11"/>
        <v>1.0699660635327521</v>
      </c>
    </row>
    <row r="159" spans="1:9" x14ac:dyDescent="0.25">
      <c r="A159" s="49">
        <f>'A) Base RI'!A161</f>
        <v>5653</v>
      </c>
      <c r="B159" s="294" t="str">
        <f>'A) Base RI'!B161</f>
        <v>Vufflens-le-Château</v>
      </c>
      <c r="C159" s="10">
        <f>'B) D RI'!Y161</f>
        <v>266206</v>
      </c>
      <c r="D159" s="437">
        <f>'B) D RI'!Z161</f>
        <v>2139.1999999999998</v>
      </c>
      <c r="E159" s="10">
        <f t="shared" si="8"/>
        <v>268345.2</v>
      </c>
      <c r="F159" s="437">
        <f>'B) D RI'!U161</f>
        <v>61628.734956407359</v>
      </c>
      <c r="G159" s="267">
        <f t="shared" si="9"/>
        <v>4.354222104182603</v>
      </c>
      <c r="H159" s="55">
        <f t="shared" si="10"/>
        <v>133744.76</v>
      </c>
      <c r="I159" s="428">
        <f t="shared" si="11"/>
        <v>2.1701688359269973</v>
      </c>
    </row>
    <row r="160" spans="1:9" x14ac:dyDescent="0.25">
      <c r="A160" s="49">
        <f>'A) Base RI'!A162</f>
        <v>5654</v>
      </c>
      <c r="B160" s="294" t="str">
        <f>'A) Base RI'!B162</f>
        <v>Vullierens</v>
      </c>
      <c r="C160" s="10">
        <f>'B) D RI'!Y162</f>
        <v>110697.2</v>
      </c>
      <c r="D160" s="437">
        <f>'B) D RI'!Z162</f>
        <v>5126</v>
      </c>
      <c r="E160" s="10">
        <f t="shared" si="8"/>
        <v>115823.2</v>
      </c>
      <c r="F160" s="437">
        <f>'B) D RI'!U162</f>
        <v>19147.575291748301</v>
      </c>
      <c r="G160" s="267">
        <f t="shared" si="9"/>
        <v>6.0489747780187253</v>
      </c>
      <c r="H160" s="55">
        <f t="shared" si="10"/>
        <v>56886.400000000001</v>
      </c>
      <c r="I160" s="428">
        <f t="shared" si="11"/>
        <v>2.9709453616571153</v>
      </c>
    </row>
    <row r="161" spans="1:9" x14ac:dyDescent="0.25">
      <c r="A161" s="49">
        <f>'A) Base RI'!A163</f>
        <v>5655</v>
      </c>
      <c r="B161" s="294" t="str">
        <f>'A) Base RI'!B163</f>
        <v>Yens</v>
      </c>
      <c r="C161" s="10">
        <f>'B) D RI'!Y163</f>
        <v>251739.6</v>
      </c>
      <c r="D161" s="437">
        <f>'B) D RI'!Z163</f>
        <v>70006.649999999994</v>
      </c>
      <c r="E161" s="10">
        <f t="shared" si="8"/>
        <v>321746.25</v>
      </c>
      <c r="F161" s="437">
        <f>'B) D RI'!U163</f>
        <v>86097.458084051032</v>
      </c>
      <c r="G161" s="267">
        <f t="shared" si="9"/>
        <v>3.7370005707474112</v>
      </c>
      <c r="H161" s="55">
        <f t="shared" si="10"/>
        <v>146871.79500000001</v>
      </c>
      <c r="I161" s="428">
        <f t="shared" si="11"/>
        <v>1.7058784111444867</v>
      </c>
    </row>
    <row r="162" spans="1:9" x14ac:dyDescent="0.25">
      <c r="A162" s="49">
        <f>'A) Base RI'!A164</f>
        <v>5661</v>
      </c>
      <c r="B162" s="294" t="str">
        <f>'A) Base RI'!B164</f>
        <v>Boulens</v>
      </c>
      <c r="C162" s="10">
        <f>'B) D RI'!Y164</f>
        <v>18415.2</v>
      </c>
      <c r="D162" s="437">
        <f>'B) D RI'!Z164</f>
        <v>18523.2</v>
      </c>
      <c r="E162" s="10">
        <f t="shared" si="8"/>
        <v>36938.400000000001</v>
      </c>
      <c r="F162" s="437">
        <f>'B) D RI'!U164</f>
        <v>10242.097149449037</v>
      </c>
      <c r="G162" s="267">
        <f t="shared" si="9"/>
        <v>3.6065270091669719</v>
      </c>
      <c r="H162" s="55">
        <f t="shared" si="10"/>
        <v>14764.560000000001</v>
      </c>
      <c r="I162" s="428">
        <f t="shared" si="11"/>
        <v>1.4415563321222984</v>
      </c>
    </row>
    <row r="163" spans="1:9" x14ac:dyDescent="0.25">
      <c r="A163" s="49">
        <f>'A) Base RI'!A165</f>
        <v>5663</v>
      </c>
      <c r="B163" s="294" t="str">
        <f>'A) Base RI'!B165</f>
        <v>Bussy-sur-Moudon</v>
      </c>
      <c r="C163" s="10">
        <f>'B) D RI'!Y165</f>
        <v>14508</v>
      </c>
      <c r="D163" s="437">
        <f>'B) D RI'!Z165</f>
        <v>0</v>
      </c>
      <c r="E163" s="10">
        <f t="shared" si="8"/>
        <v>14508</v>
      </c>
      <c r="F163" s="437">
        <f>'B) D RI'!U165</f>
        <v>5275.6077688756623</v>
      </c>
      <c r="G163" s="267">
        <f t="shared" si="9"/>
        <v>2.7500149055038534</v>
      </c>
      <c r="H163" s="55">
        <f t="shared" si="10"/>
        <v>7254</v>
      </c>
      <c r="I163" s="428">
        <f t="shared" si="11"/>
        <v>1.3750074527519267</v>
      </c>
    </row>
    <row r="164" spans="1:9" x14ac:dyDescent="0.25">
      <c r="A164" s="49">
        <f>'A) Base RI'!A166</f>
        <v>5665</v>
      </c>
      <c r="B164" s="294" t="str">
        <f>'A) Base RI'!B166</f>
        <v>Chavannes-sur-Moudon</v>
      </c>
      <c r="C164" s="10">
        <f>'B) D RI'!Y166</f>
        <v>19224</v>
      </c>
      <c r="D164" s="437">
        <f>'B) D RI'!Z166</f>
        <v>0</v>
      </c>
      <c r="E164" s="10">
        <f t="shared" si="8"/>
        <v>19224</v>
      </c>
      <c r="F164" s="437">
        <f>'B) D RI'!U166</f>
        <v>4607.2565465259731</v>
      </c>
      <c r="G164" s="267">
        <f t="shared" si="9"/>
        <v>4.1725481977980028</v>
      </c>
      <c r="H164" s="55">
        <f t="shared" si="10"/>
        <v>9612</v>
      </c>
      <c r="I164" s="428">
        <f t="shared" si="11"/>
        <v>2.0862740988990014</v>
      </c>
    </row>
    <row r="165" spans="1:9" x14ac:dyDescent="0.25">
      <c r="A165" s="49">
        <f>'A) Base RI'!A167</f>
        <v>5669</v>
      </c>
      <c r="B165" s="294" t="str">
        <f>'A) Base RI'!B167</f>
        <v>Curtilles</v>
      </c>
      <c r="C165" s="10">
        <f>'B) D RI'!Y167</f>
        <v>22232.25</v>
      </c>
      <c r="D165" s="437">
        <f>'B) D RI'!Z167</f>
        <v>0</v>
      </c>
      <c r="E165" s="10">
        <f t="shared" si="8"/>
        <v>22232.25</v>
      </c>
      <c r="F165" s="437">
        <f>'B) D RI'!U167</f>
        <v>7730.4977240355793</v>
      </c>
      <c r="G165" s="267">
        <f t="shared" si="9"/>
        <v>2.8759144357388182</v>
      </c>
      <c r="H165" s="55">
        <f t="shared" si="10"/>
        <v>11116.125</v>
      </c>
      <c r="I165" s="428">
        <f t="shared" si="11"/>
        <v>1.4379572178694091</v>
      </c>
    </row>
    <row r="166" spans="1:9" x14ac:dyDescent="0.25">
      <c r="A166" s="49">
        <f>'A) Base RI'!A168</f>
        <v>5671</v>
      </c>
      <c r="B166" s="294" t="str">
        <f>'A) Base RI'!B168</f>
        <v>Dompierre</v>
      </c>
      <c r="C166" s="10">
        <f>'B) D RI'!Y168</f>
        <v>34487.75</v>
      </c>
      <c r="D166" s="437">
        <f>'B) D RI'!Z168</f>
        <v>0</v>
      </c>
      <c r="E166" s="10">
        <f t="shared" si="8"/>
        <v>34487.75</v>
      </c>
      <c r="F166" s="437">
        <f>'B) D RI'!U168</f>
        <v>6107.4315082005251</v>
      </c>
      <c r="G166" s="267">
        <f t="shared" si="9"/>
        <v>5.6468500635157124</v>
      </c>
      <c r="H166" s="55">
        <f t="shared" si="10"/>
        <v>17243.875</v>
      </c>
      <c r="I166" s="428">
        <f t="shared" si="11"/>
        <v>2.8234250317578562</v>
      </c>
    </row>
    <row r="167" spans="1:9" x14ac:dyDescent="0.25">
      <c r="A167" s="49">
        <f>'A) Base RI'!A169</f>
        <v>5673</v>
      </c>
      <c r="B167" s="294" t="str">
        <f>'A) Base RI'!B169</f>
        <v>Hermenches</v>
      </c>
      <c r="C167" s="10">
        <f>'B) D RI'!Y169</f>
        <v>16436.900000000001</v>
      </c>
      <c r="D167" s="437">
        <f>'B) D RI'!Z169</f>
        <v>15579.35</v>
      </c>
      <c r="E167" s="10">
        <f t="shared" si="8"/>
        <v>32016.25</v>
      </c>
      <c r="F167" s="437">
        <f>'B) D RI'!U169</f>
        <v>9275.5467189326828</v>
      </c>
      <c r="G167" s="267">
        <f t="shared" si="9"/>
        <v>3.4516833314687934</v>
      </c>
      <c r="H167" s="55">
        <f t="shared" si="10"/>
        <v>12892.255000000001</v>
      </c>
      <c r="I167" s="428">
        <f t="shared" si="11"/>
        <v>1.389918609723038</v>
      </c>
    </row>
    <row r="168" spans="1:9" x14ac:dyDescent="0.25">
      <c r="A168" s="49">
        <f>'A) Base RI'!A170</f>
        <v>5674</v>
      </c>
      <c r="B168" s="294" t="str">
        <f>'A) Base RI'!B170</f>
        <v>Lovatens</v>
      </c>
      <c r="C168" s="10">
        <f>'B) D RI'!Y170</f>
        <v>27124.7</v>
      </c>
      <c r="D168" s="437">
        <f>'B) D RI'!Z170</f>
        <v>0</v>
      </c>
      <c r="E168" s="10">
        <f t="shared" si="8"/>
        <v>27124.7</v>
      </c>
      <c r="F168" s="437">
        <f>'B) D RI'!U170</f>
        <v>3271.992985930126</v>
      </c>
      <c r="G168" s="267">
        <f t="shared" si="9"/>
        <v>8.2899627586729956</v>
      </c>
      <c r="H168" s="55">
        <f t="shared" si="10"/>
        <v>13562.35</v>
      </c>
      <c r="I168" s="428">
        <f t="shared" si="11"/>
        <v>4.1449813793364978</v>
      </c>
    </row>
    <row r="169" spans="1:9" x14ac:dyDescent="0.25">
      <c r="A169" s="49">
        <f>'A) Base RI'!A171</f>
        <v>5675</v>
      </c>
      <c r="B169" s="294" t="str">
        <f>'A) Base RI'!B171</f>
        <v>Lucens</v>
      </c>
      <c r="C169" s="10">
        <f>'B) D RI'!Y171</f>
        <v>662110.19999999995</v>
      </c>
      <c r="D169" s="437">
        <f>'B) D RI'!Z171</f>
        <v>47041.05</v>
      </c>
      <c r="E169" s="10">
        <f t="shared" si="8"/>
        <v>709151.25</v>
      </c>
      <c r="F169" s="437">
        <f>'B) D RI'!U171</f>
        <v>90143.04189619486</v>
      </c>
      <c r="G169" s="267">
        <f t="shared" si="9"/>
        <v>7.8669549538458039</v>
      </c>
      <c r="H169" s="55">
        <f t="shared" si="10"/>
        <v>345167.41499999998</v>
      </c>
      <c r="I169" s="428">
        <f t="shared" si="11"/>
        <v>3.8291076908352064</v>
      </c>
    </row>
    <row r="170" spans="1:9" x14ac:dyDescent="0.25">
      <c r="A170" s="49">
        <f>'A) Base RI'!A172</f>
        <v>5678</v>
      </c>
      <c r="B170" s="294" t="str">
        <f>'A) Base RI'!B172</f>
        <v>Moudon</v>
      </c>
      <c r="C170" s="10">
        <f>'B) D RI'!Y172</f>
        <v>703303.2</v>
      </c>
      <c r="D170" s="437">
        <f>'B) D RI'!Z172</f>
        <v>212792.05</v>
      </c>
      <c r="E170" s="10">
        <f t="shared" si="8"/>
        <v>916095.25</v>
      </c>
      <c r="F170" s="437">
        <f>'B) D RI'!U172</f>
        <v>115752.26296280598</v>
      </c>
      <c r="G170" s="267">
        <f t="shared" si="9"/>
        <v>7.9142750780981599</v>
      </c>
      <c r="H170" s="55">
        <f t="shared" si="10"/>
        <v>415489.21499999997</v>
      </c>
      <c r="I170" s="428">
        <f t="shared" si="11"/>
        <v>3.5894694787393209</v>
      </c>
    </row>
    <row r="171" spans="1:9" x14ac:dyDescent="0.25">
      <c r="A171" s="49">
        <f>'A) Base RI'!A173</f>
        <v>5680</v>
      </c>
      <c r="B171" s="294" t="str">
        <f>'A) Base RI'!B173</f>
        <v>Ogens</v>
      </c>
      <c r="C171" s="10">
        <f>'B) D RI'!Y173</f>
        <v>57846.899999999994</v>
      </c>
      <c r="D171" s="437">
        <f>'B) D RI'!Z173</f>
        <v>0</v>
      </c>
      <c r="E171" s="10">
        <f t="shared" si="8"/>
        <v>57846.899999999994</v>
      </c>
      <c r="F171" s="437">
        <f>'B) D RI'!U173</f>
        <v>6425.0974128432881</v>
      </c>
      <c r="G171" s="267">
        <f t="shared" si="9"/>
        <v>9.0032720569136231</v>
      </c>
      <c r="H171" s="55">
        <f t="shared" si="10"/>
        <v>28923.449999999997</v>
      </c>
      <c r="I171" s="428">
        <f t="shared" si="11"/>
        <v>4.5016360284568115</v>
      </c>
    </row>
    <row r="172" spans="1:9" x14ac:dyDescent="0.25">
      <c r="A172" s="49">
        <f>'A) Base RI'!A174</f>
        <v>5683</v>
      </c>
      <c r="B172" s="294" t="str">
        <f>'A) Base RI'!B174</f>
        <v>Prévonloup</v>
      </c>
      <c r="C172" s="10">
        <f>'B) D RI'!Y174</f>
        <v>28411.5</v>
      </c>
      <c r="D172" s="437">
        <f>'B) D RI'!Z174</f>
        <v>0</v>
      </c>
      <c r="E172" s="10">
        <f t="shared" si="8"/>
        <v>28411.5</v>
      </c>
      <c r="F172" s="437">
        <f>'B) D RI'!U174</f>
        <v>3739.7592858383009</v>
      </c>
      <c r="G172" s="267">
        <f t="shared" si="9"/>
        <v>7.5971467221402476</v>
      </c>
      <c r="H172" s="55">
        <f t="shared" si="10"/>
        <v>14205.75</v>
      </c>
      <c r="I172" s="428">
        <f t="shared" si="11"/>
        <v>3.7985733610701238</v>
      </c>
    </row>
    <row r="173" spans="1:9" x14ac:dyDescent="0.25">
      <c r="A173" s="49">
        <f>'A) Base RI'!A175</f>
        <v>5684</v>
      </c>
      <c r="B173" s="294" t="str">
        <f>'A) Base RI'!B175</f>
        <v>Rossenges</v>
      </c>
      <c r="C173" s="10">
        <f>'B) D RI'!Y175</f>
        <v>11921.8</v>
      </c>
      <c r="D173" s="437">
        <f>'B) D RI'!Z175</f>
        <v>0</v>
      </c>
      <c r="E173" s="10">
        <f t="shared" si="8"/>
        <v>11921.8</v>
      </c>
      <c r="F173" s="437">
        <f>'B) D RI'!U175</f>
        <v>1960.0054491323369</v>
      </c>
      <c r="G173" s="267">
        <f t="shared" si="9"/>
        <v>6.0825341099319852</v>
      </c>
      <c r="H173" s="55">
        <f t="shared" si="10"/>
        <v>5960.9</v>
      </c>
      <c r="I173" s="428">
        <f t="shared" si="11"/>
        <v>3.0412670549659926</v>
      </c>
    </row>
    <row r="174" spans="1:9" x14ac:dyDescent="0.25">
      <c r="A174" s="49">
        <f>'A) Base RI'!A176</f>
        <v>5688</v>
      </c>
      <c r="B174" s="294" t="str">
        <f>'A) Base RI'!B176</f>
        <v>Syens</v>
      </c>
      <c r="C174" s="10">
        <f>'B) D RI'!Y176</f>
        <v>35392.75</v>
      </c>
      <c r="D174" s="437">
        <f>'B) D RI'!Z176</f>
        <v>0</v>
      </c>
      <c r="E174" s="10">
        <f t="shared" si="8"/>
        <v>35392.75</v>
      </c>
      <c r="F174" s="437">
        <f>'B) D RI'!U176</f>
        <v>3766.5702445621059</v>
      </c>
      <c r="G174" s="267">
        <f t="shared" si="9"/>
        <v>9.3965458499273762</v>
      </c>
      <c r="H174" s="55">
        <f t="shared" si="10"/>
        <v>17696.375</v>
      </c>
      <c r="I174" s="428">
        <f t="shared" si="11"/>
        <v>4.6982729249636881</v>
      </c>
    </row>
    <row r="175" spans="1:9" x14ac:dyDescent="0.25">
      <c r="A175" s="49">
        <f>'A) Base RI'!A177</f>
        <v>5690</v>
      </c>
      <c r="B175" s="294" t="str">
        <f>'A) Base RI'!B177</f>
        <v>Villars-le-Comte</v>
      </c>
      <c r="C175" s="10">
        <f>'B) D RI'!Y177</f>
        <v>10226.85</v>
      </c>
      <c r="D175" s="437">
        <f>'B) D RI'!Z177</f>
        <v>0</v>
      </c>
      <c r="E175" s="10">
        <f t="shared" si="8"/>
        <v>10226.85</v>
      </c>
      <c r="F175" s="437">
        <f>'B) D RI'!U177</f>
        <v>4066.8729144140357</v>
      </c>
      <c r="G175" s="267">
        <f t="shared" si="9"/>
        <v>2.5146716445830983</v>
      </c>
      <c r="H175" s="55">
        <f t="shared" si="10"/>
        <v>5113.4250000000002</v>
      </c>
      <c r="I175" s="428">
        <f t="shared" si="11"/>
        <v>1.2573358222915492</v>
      </c>
    </row>
    <row r="176" spans="1:9" x14ac:dyDescent="0.25">
      <c r="A176" s="49">
        <f>'A) Base RI'!A178</f>
        <v>5692</v>
      </c>
      <c r="B176" s="294" t="str">
        <f>'A) Base RI'!B178</f>
        <v>Vucherens</v>
      </c>
      <c r="C176" s="10">
        <f>'B) D RI'!Y178</f>
        <v>149002.75</v>
      </c>
      <c r="D176" s="437">
        <f>'B) D RI'!Z178</f>
        <v>14555.75</v>
      </c>
      <c r="E176" s="10">
        <f t="shared" si="8"/>
        <v>163558.5</v>
      </c>
      <c r="F176" s="437">
        <f>'B) D RI'!U178</f>
        <v>16181.962340912567</v>
      </c>
      <c r="G176" s="267">
        <f t="shared" si="9"/>
        <v>10.107457708418833</v>
      </c>
      <c r="H176" s="55">
        <f t="shared" si="10"/>
        <v>78868.100000000006</v>
      </c>
      <c r="I176" s="428">
        <f t="shared" si="11"/>
        <v>4.8738279288043573</v>
      </c>
    </row>
    <row r="177" spans="1:9" x14ac:dyDescent="0.25">
      <c r="A177" s="49">
        <f>'A) Base RI'!A179</f>
        <v>5693</v>
      </c>
      <c r="B177" s="294" t="str">
        <f>'A) Base RI'!B179</f>
        <v>Montanaire</v>
      </c>
      <c r="C177" s="10">
        <f>'B) D RI'!Y179</f>
        <v>316697.55000000005</v>
      </c>
      <c r="D177" s="437">
        <f>'B) D RI'!Z179</f>
        <v>38276.35</v>
      </c>
      <c r="E177" s="10">
        <f t="shared" si="8"/>
        <v>354973.9</v>
      </c>
      <c r="F177" s="437">
        <f>'B) D RI'!U179</f>
        <v>69189.830336889005</v>
      </c>
      <c r="G177" s="267">
        <f t="shared" si="9"/>
        <v>5.1304346068145135</v>
      </c>
      <c r="H177" s="55">
        <f t="shared" si="10"/>
        <v>169831.68000000002</v>
      </c>
      <c r="I177" s="428">
        <f t="shared" si="11"/>
        <v>2.4545757544581397</v>
      </c>
    </row>
    <row r="178" spans="1:9" x14ac:dyDescent="0.25">
      <c r="A178" s="49">
        <f>'A) Base RI'!A180</f>
        <v>5701</v>
      </c>
      <c r="B178" s="294" t="str">
        <f>'A) Base RI'!B180</f>
        <v>Arnex-sur-Nyon</v>
      </c>
      <c r="C178" s="10">
        <f>'B) D RI'!Y180</f>
        <v>149671.9</v>
      </c>
      <c r="D178" s="437">
        <f>'B) D RI'!Z180</f>
        <v>0</v>
      </c>
      <c r="E178" s="10">
        <f t="shared" si="8"/>
        <v>149671.9</v>
      </c>
      <c r="F178" s="437">
        <f>'B) D RI'!U180</f>
        <v>13494.151628023246</v>
      </c>
      <c r="G178" s="267">
        <f t="shared" si="9"/>
        <v>11.0916124352106</v>
      </c>
      <c r="H178" s="55">
        <f t="shared" si="10"/>
        <v>74835.95</v>
      </c>
      <c r="I178" s="428">
        <f t="shared" si="11"/>
        <v>5.5458062176052998</v>
      </c>
    </row>
    <row r="179" spans="1:9" x14ac:dyDescent="0.25">
      <c r="A179" s="49">
        <f>'A) Base RI'!A181</f>
        <v>5702</v>
      </c>
      <c r="B179" s="294" t="str">
        <f>'A) Base RI'!B181</f>
        <v>Arzier-Le Muids</v>
      </c>
      <c r="C179" s="10">
        <f>'B) D RI'!Y181</f>
        <v>1309654.9000000001</v>
      </c>
      <c r="D179" s="437">
        <f>'B) D RI'!Z181</f>
        <v>66724</v>
      </c>
      <c r="E179" s="10">
        <f t="shared" si="8"/>
        <v>1376378.9000000001</v>
      </c>
      <c r="F179" s="437">
        <f>'B) D RI'!U181</f>
        <v>176187.34911477199</v>
      </c>
      <c r="G179" s="267">
        <f t="shared" si="9"/>
        <v>7.8120188930443533</v>
      </c>
      <c r="H179" s="55">
        <f t="shared" si="10"/>
        <v>674844.65</v>
      </c>
      <c r="I179" s="428">
        <f t="shared" si="11"/>
        <v>3.8302673454743483</v>
      </c>
    </row>
    <row r="180" spans="1:9" x14ac:dyDescent="0.25">
      <c r="A180" s="49">
        <f>'A) Base RI'!A182</f>
        <v>5703</v>
      </c>
      <c r="B180" s="294" t="str">
        <f>'A) Base RI'!B182</f>
        <v>Bassins</v>
      </c>
      <c r="C180" s="10">
        <f>'B) D RI'!Y182</f>
        <v>378224.05</v>
      </c>
      <c r="D180" s="437">
        <f>'B) D RI'!Z182</f>
        <v>26060.7</v>
      </c>
      <c r="E180" s="10">
        <f t="shared" si="8"/>
        <v>404284.75</v>
      </c>
      <c r="F180" s="437">
        <f>'B) D RI'!U182</f>
        <v>55300.638649310058</v>
      </c>
      <c r="G180" s="267">
        <f t="shared" si="9"/>
        <v>7.3106705433146733</v>
      </c>
      <c r="H180" s="55">
        <f t="shared" si="10"/>
        <v>196930.23499999999</v>
      </c>
      <c r="I180" s="428">
        <f t="shared" si="11"/>
        <v>3.5610842805783207</v>
      </c>
    </row>
    <row r="181" spans="1:9" x14ac:dyDescent="0.25">
      <c r="A181" s="49">
        <f>'A) Base RI'!A183</f>
        <v>5704</v>
      </c>
      <c r="B181" s="294" t="str">
        <f>'A) Base RI'!B183</f>
        <v>Begnins</v>
      </c>
      <c r="C181" s="10">
        <f>'B) D RI'!Y183</f>
        <v>1204905.8</v>
      </c>
      <c r="D181" s="437">
        <f>'B) D RI'!Z183</f>
        <v>54589</v>
      </c>
      <c r="E181" s="10">
        <f t="shared" si="8"/>
        <v>1259494.8</v>
      </c>
      <c r="F181" s="437">
        <f>'B) D RI'!U183</f>
        <v>122435.43857401636</v>
      </c>
      <c r="G181" s="267">
        <f t="shared" si="9"/>
        <v>10.287011788981284</v>
      </c>
      <c r="H181" s="55">
        <f t="shared" si="10"/>
        <v>618829.6</v>
      </c>
      <c r="I181" s="428">
        <f t="shared" si="11"/>
        <v>5.0543340000852499</v>
      </c>
    </row>
    <row r="182" spans="1:9" x14ac:dyDescent="0.25">
      <c r="A182" s="49">
        <f>'A) Base RI'!A184</f>
        <v>5705</v>
      </c>
      <c r="B182" s="294" t="str">
        <f>'A) Base RI'!B184</f>
        <v>Bogis-Bossey</v>
      </c>
      <c r="C182" s="10">
        <f>'B) D RI'!Y184</f>
        <v>334018.8</v>
      </c>
      <c r="D182" s="437">
        <f>'B) D RI'!Z184</f>
        <v>29452.400000000001</v>
      </c>
      <c r="E182" s="10">
        <f t="shared" si="8"/>
        <v>363471.2</v>
      </c>
      <c r="F182" s="437">
        <f>'B) D RI'!U184</f>
        <v>49357.057232158906</v>
      </c>
      <c r="G182" s="267">
        <f t="shared" si="9"/>
        <v>7.364118129862451</v>
      </c>
      <c r="H182" s="55">
        <f t="shared" si="10"/>
        <v>175845.12</v>
      </c>
      <c r="I182" s="428">
        <f t="shared" si="11"/>
        <v>3.5627148347374931</v>
      </c>
    </row>
    <row r="183" spans="1:9" x14ac:dyDescent="0.25">
      <c r="A183" s="49">
        <f>'A) Base RI'!A185</f>
        <v>5706</v>
      </c>
      <c r="B183" s="294" t="str">
        <f>'A) Base RI'!B185</f>
        <v>Borex</v>
      </c>
      <c r="C183" s="10">
        <f>'B) D RI'!Y185</f>
        <v>268152.19999999995</v>
      </c>
      <c r="D183" s="437">
        <f>'B) D RI'!Z185</f>
        <v>11748.1</v>
      </c>
      <c r="E183" s="10">
        <f t="shared" si="8"/>
        <v>279900.29999999993</v>
      </c>
      <c r="F183" s="437">
        <f>'B) D RI'!U185</f>
        <v>70814.792156181808</v>
      </c>
      <c r="G183" s="267">
        <f t="shared" si="9"/>
        <v>3.9525682626121483</v>
      </c>
      <c r="H183" s="55">
        <f t="shared" si="10"/>
        <v>137600.52999999997</v>
      </c>
      <c r="I183" s="428">
        <f t="shared" si="11"/>
        <v>1.9431043403548007</v>
      </c>
    </row>
    <row r="184" spans="1:9" x14ac:dyDescent="0.25">
      <c r="A184" s="49">
        <f>'A) Base RI'!A186</f>
        <v>5707</v>
      </c>
      <c r="B184" s="294" t="str">
        <f>'A) Base RI'!B186</f>
        <v>Chavannes-de-Bogis</v>
      </c>
      <c r="C184" s="10">
        <f>'B) D RI'!Y186</f>
        <v>453399.6</v>
      </c>
      <c r="D184" s="437">
        <f>'B) D RI'!Z186</f>
        <v>711866.65</v>
      </c>
      <c r="E184" s="10">
        <f t="shared" si="8"/>
        <v>1165266.25</v>
      </c>
      <c r="F184" s="437">
        <f>'B) D RI'!U186</f>
        <v>74977.772605941107</v>
      </c>
      <c r="G184" s="267">
        <f t="shared" si="9"/>
        <v>15.541489290756369</v>
      </c>
      <c r="H184" s="55">
        <f t="shared" si="10"/>
        <v>440259.79499999998</v>
      </c>
      <c r="I184" s="428">
        <f t="shared" si="11"/>
        <v>5.8718708184872721</v>
      </c>
    </row>
    <row r="185" spans="1:9" x14ac:dyDescent="0.25">
      <c r="A185" s="49">
        <f>'A) Base RI'!A187</f>
        <v>5708</v>
      </c>
      <c r="B185" s="294" t="str">
        <f>'A) Base RI'!B187</f>
        <v>Chavannes-des-Bois</v>
      </c>
      <c r="C185" s="10">
        <f>'B) D RI'!Y187</f>
        <v>342065.5</v>
      </c>
      <c r="D185" s="437">
        <f>'B) D RI'!Z187</f>
        <v>1605.75</v>
      </c>
      <c r="E185" s="10">
        <f t="shared" si="8"/>
        <v>343671.25</v>
      </c>
      <c r="F185" s="437">
        <f>'B) D RI'!U187</f>
        <v>57043.960322475032</v>
      </c>
      <c r="G185" s="267">
        <f t="shared" si="9"/>
        <v>6.0246737438493598</v>
      </c>
      <c r="H185" s="55">
        <f t="shared" si="10"/>
        <v>171514.47500000001</v>
      </c>
      <c r="I185" s="428">
        <f t="shared" si="11"/>
        <v>3.0067070033428966</v>
      </c>
    </row>
    <row r="186" spans="1:9" x14ac:dyDescent="0.25">
      <c r="A186" s="49">
        <f>'A) Base RI'!A188</f>
        <v>5709</v>
      </c>
      <c r="B186" s="294" t="str">
        <f>'A) Base RI'!B188</f>
        <v>Chéserex</v>
      </c>
      <c r="C186" s="10">
        <f>'B) D RI'!Y188</f>
        <v>353533.9</v>
      </c>
      <c r="D186" s="437">
        <f>'B) D RI'!Z188</f>
        <v>51557.85</v>
      </c>
      <c r="E186" s="10">
        <f t="shared" si="8"/>
        <v>405091.75</v>
      </c>
      <c r="F186" s="437">
        <f>'B) D RI'!U188</f>
        <v>106115.90679849937</v>
      </c>
      <c r="G186" s="267">
        <f t="shared" si="9"/>
        <v>3.817446057066805</v>
      </c>
      <c r="H186" s="55">
        <f t="shared" si="10"/>
        <v>192234.30500000002</v>
      </c>
      <c r="I186" s="428">
        <f t="shared" si="11"/>
        <v>1.8115503207735721</v>
      </c>
    </row>
    <row r="187" spans="1:9" x14ac:dyDescent="0.25">
      <c r="A187" s="49">
        <f>'A) Base RI'!A189</f>
        <v>5710</v>
      </c>
      <c r="B187" s="294" t="str">
        <f>'A) Base RI'!B189</f>
        <v>Coinsins</v>
      </c>
      <c r="C187" s="10">
        <f>'B) D RI'!Y189</f>
        <v>68003.149999999994</v>
      </c>
      <c r="D187" s="437">
        <f>'B) D RI'!Z189</f>
        <v>87982.2</v>
      </c>
      <c r="E187" s="10">
        <f t="shared" si="8"/>
        <v>155985.34999999998</v>
      </c>
      <c r="F187" s="437">
        <f>'B) D RI'!U189</f>
        <v>136110.49360949438</v>
      </c>
      <c r="G187" s="267">
        <f t="shared" si="9"/>
        <v>1.1460200155289071</v>
      </c>
      <c r="H187" s="55">
        <f t="shared" si="10"/>
        <v>60396.235000000001</v>
      </c>
      <c r="I187" s="428">
        <f t="shared" si="11"/>
        <v>0.44372945390440538</v>
      </c>
    </row>
    <row r="188" spans="1:9" x14ac:dyDescent="0.25">
      <c r="A188" s="49">
        <f>'A) Base RI'!A190</f>
        <v>5711</v>
      </c>
      <c r="B188" s="294" t="str">
        <f>'A) Base RI'!B190</f>
        <v>Commugny</v>
      </c>
      <c r="C188" s="10">
        <f>'B) D RI'!Y190</f>
        <v>1316855.5</v>
      </c>
      <c r="D188" s="437">
        <f>'B) D RI'!Z190</f>
        <v>38875.550000000003</v>
      </c>
      <c r="E188" s="10">
        <f t="shared" si="8"/>
        <v>1355731.05</v>
      </c>
      <c r="F188" s="437">
        <f>'B) D RI'!U190</f>
        <v>277708.93037627928</v>
      </c>
      <c r="G188" s="267">
        <f t="shared" si="9"/>
        <v>4.8818417476278642</v>
      </c>
      <c r="H188" s="55">
        <f t="shared" si="10"/>
        <v>670090.41500000004</v>
      </c>
      <c r="I188" s="428">
        <f t="shared" si="11"/>
        <v>2.4129235386563437</v>
      </c>
    </row>
    <row r="189" spans="1:9" x14ac:dyDescent="0.25">
      <c r="A189" s="49">
        <f>'A) Base RI'!A191</f>
        <v>5712</v>
      </c>
      <c r="B189" s="294" t="str">
        <f>'A) Base RI'!B191</f>
        <v>Coppet</v>
      </c>
      <c r="C189" s="10">
        <f>'B) D RI'!Y191</f>
        <v>3819818.7</v>
      </c>
      <c r="D189" s="437">
        <f>'B) D RI'!Z191</f>
        <v>185740.55</v>
      </c>
      <c r="E189" s="10">
        <f t="shared" si="8"/>
        <v>4005559.25</v>
      </c>
      <c r="F189" s="437">
        <f>'B) D RI'!U191</f>
        <v>337534.69243130391</v>
      </c>
      <c r="G189" s="267">
        <f t="shared" si="9"/>
        <v>11.867103855747283</v>
      </c>
      <c r="H189" s="55">
        <f t="shared" si="10"/>
        <v>1965631.5150000001</v>
      </c>
      <c r="I189" s="428">
        <f t="shared" si="11"/>
        <v>5.823494766838083</v>
      </c>
    </row>
    <row r="190" spans="1:9" x14ac:dyDescent="0.25">
      <c r="A190" s="49">
        <f>'A) Base RI'!A192</f>
        <v>5713</v>
      </c>
      <c r="B190" s="294" t="str">
        <f>'A) Base RI'!B192</f>
        <v>Crans-près-Céligny</v>
      </c>
      <c r="C190" s="10">
        <f>'B) D RI'!Y192</f>
        <v>1351798.5</v>
      </c>
      <c r="D190" s="437">
        <f>'B) D RI'!Z192</f>
        <v>36107.35</v>
      </c>
      <c r="E190" s="10">
        <f t="shared" si="8"/>
        <v>1387905.85</v>
      </c>
      <c r="F190" s="437">
        <f>'B) D RI'!U192</f>
        <v>273158.77225218777</v>
      </c>
      <c r="G190" s="267">
        <f t="shared" si="9"/>
        <v>5.0809492170313568</v>
      </c>
      <c r="H190" s="55">
        <f t="shared" si="10"/>
        <v>686731.45499999996</v>
      </c>
      <c r="I190" s="428">
        <f t="shared" si="11"/>
        <v>2.5140377127116036</v>
      </c>
    </row>
    <row r="191" spans="1:9" x14ac:dyDescent="0.25">
      <c r="A191" s="49">
        <f>'A) Base RI'!A193</f>
        <v>5714</v>
      </c>
      <c r="B191" s="294" t="str">
        <f>'A) Base RI'!B193</f>
        <v>Crassier</v>
      </c>
      <c r="C191" s="10">
        <f>'B) D RI'!Y193</f>
        <v>275186.7</v>
      </c>
      <c r="D191" s="437">
        <f>'B) D RI'!Z193</f>
        <v>86331.8</v>
      </c>
      <c r="E191" s="10">
        <f t="shared" si="8"/>
        <v>361518.5</v>
      </c>
      <c r="F191" s="437">
        <f>'B) D RI'!U193</f>
        <v>74464.147646326936</v>
      </c>
      <c r="G191" s="267">
        <f t="shared" si="9"/>
        <v>4.8549337020153551</v>
      </c>
      <c r="H191" s="55">
        <f t="shared" si="10"/>
        <v>163492.89000000001</v>
      </c>
      <c r="I191" s="428">
        <f t="shared" si="11"/>
        <v>2.1955920421801078</v>
      </c>
    </row>
    <row r="192" spans="1:9" x14ac:dyDescent="0.25">
      <c r="A192" s="49">
        <f>'A) Base RI'!A194</f>
        <v>5715</v>
      </c>
      <c r="B192" s="294" t="str">
        <f>'A) Base RI'!B194</f>
        <v>Duillier</v>
      </c>
      <c r="C192" s="10">
        <f>'B) D RI'!Y194</f>
        <v>550777.55000000005</v>
      </c>
      <c r="D192" s="437">
        <f>'B) D RI'!Z194</f>
        <v>68196.2</v>
      </c>
      <c r="E192" s="10">
        <f t="shared" si="8"/>
        <v>618973.75</v>
      </c>
      <c r="F192" s="437">
        <f>'B) D RI'!U194</f>
        <v>77556.587804651164</v>
      </c>
      <c r="G192" s="267">
        <f t="shared" si="9"/>
        <v>7.9809306665097939</v>
      </c>
      <c r="H192" s="55">
        <f t="shared" si="10"/>
        <v>295847.63500000001</v>
      </c>
      <c r="I192" s="428">
        <f t="shared" si="11"/>
        <v>3.8146035478659579</v>
      </c>
    </row>
    <row r="193" spans="1:9" x14ac:dyDescent="0.25">
      <c r="A193" s="49">
        <f>'A) Base RI'!A195</f>
        <v>5716</v>
      </c>
      <c r="B193" s="294" t="str">
        <f>'A) Base RI'!B195</f>
        <v>Eysins</v>
      </c>
      <c r="C193" s="10">
        <f>'B) D RI'!Y195</f>
        <v>484008.05</v>
      </c>
      <c r="D193" s="437">
        <f>'B) D RI'!Z195</f>
        <v>679442.25</v>
      </c>
      <c r="E193" s="10">
        <f t="shared" si="8"/>
        <v>1163450.3</v>
      </c>
      <c r="F193" s="437">
        <f>'B) D RI'!U195</f>
        <v>177981.86327972834</v>
      </c>
      <c r="G193" s="267">
        <f t="shared" si="9"/>
        <v>6.5369036965943144</v>
      </c>
      <c r="H193" s="55">
        <f t="shared" si="10"/>
        <v>445836.69999999995</v>
      </c>
      <c r="I193" s="428">
        <f t="shared" si="11"/>
        <v>2.5049557959694626</v>
      </c>
    </row>
    <row r="194" spans="1:9" x14ac:dyDescent="0.25">
      <c r="A194" s="49">
        <f>'A) Base RI'!A196</f>
        <v>5717</v>
      </c>
      <c r="B194" s="294" t="str">
        <f>'A) Base RI'!B196</f>
        <v>Founex</v>
      </c>
      <c r="C194" s="10">
        <f>'B) D RI'!Y196</f>
        <v>1069578.1499999999</v>
      </c>
      <c r="D194" s="437">
        <f>'B) D RI'!Z196</f>
        <v>249276.3</v>
      </c>
      <c r="E194" s="10">
        <f t="shared" si="8"/>
        <v>1318854.45</v>
      </c>
      <c r="F194" s="437">
        <f>'B) D RI'!U196</f>
        <v>372726.48546710185</v>
      </c>
      <c r="G194" s="267">
        <f t="shared" si="9"/>
        <v>3.5383974614715346</v>
      </c>
      <c r="H194" s="55">
        <f t="shared" si="10"/>
        <v>609571.96499999997</v>
      </c>
      <c r="I194" s="428">
        <f t="shared" si="11"/>
        <v>1.6354404335825041</v>
      </c>
    </row>
    <row r="195" spans="1:9" x14ac:dyDescent="0.25">
      <c r="A195" s="49">
        <f>'A) Base RI'!A197</f>
        <v>5718</v>
      </c>
      <c r="B195" s="294" t="str">
        <f>'A) Base RI'!B197</f>
        <v>Genolier</v>
      </c>
      <c r="C195" s="10">
        <f>'B) D RI'!Y197</f>
        <v>1290747.9500000002</v>
      </c>
      <c r="D195" s="437">
        <f>'B) D RI'!Z197</f>
        <v>325758.59999999998</v>
      </c>
      <c r="E195" s="10">
        <f t="shared" si="8"/>
        <v>1616506.5500000003</v>
      </c>
      <c r="F195" s="437">
        <f>'B) D RI'!U197</f>
        <v>170666.41821719555</v>
      </c>
      <c r="G195" s="267">
        <f t="shared" si="9"/>
        <v>9.4717318549615435</v>
      </c>
      <c r="H195" s="55">
        <f t="shared" si="10"/>
        <v>743101.55500000005</v>
      </c>
      <c r="I195" s="428">
        <f t="shared" si="11"/>
        <v>4.3541170123714981</v>
      </c>
    </row>
    <row r="196" spans="1:9" x14ac:dyDescent="0.25">
      <c r="A196" s="49">
        <f>'A) Base RI'!A198</f>
        <v>5719</v>
      </c>
      <c r="B196" s="294" t="str">
        <f>'A) Base RI'!B198</f>
        <v>Gingins</v>
      </c>
      <c r="C196" s="10">
        <f>'B) D RI'!Y198</f>
        <v>878566.6</v>
      </c>
      <c r="D196" s="437">
        <f>'B) D RI'!Z198</f>
        <v>59727.15</v>
      </c>
      <c r="E196" s="10">
        <f t="shared" si="8"/>
        <v>938293.75</v>
      </c>
      <c r="F196" s="437">
        <f>'B) D RI'!U198</f>
        <v>110505.6531809626</v>
      </c>
      <c r="G196" s="267">
        <f t="shared" si="9"/>
        <v>8.490911758726611</v>
      </c>
      <c r="H196" s="55">
        <f t="shared" si="10"/>
        <v>457201.44500000001</v>
      </c>
      <c r="I196" s="428">
        <f t="shared" si="11"/>
        <v>4.1373579707392247</v>
      </c>
    </row>
    <row r="197" spans="1:9" x14ac:dyDescent="0.25">
      <c r="A197" s="49">
        <f>'A) Base RI'!A199</f>
        <v>5720</v>
      </c>
      <c r="B197" s="294" t="str">
        <f>'A) Base RI'!B199</f>
        <v>Givrins</v>
      </c>
      <c r="C197" s="10">
        <f>'B) D RI'!Y199</f>
        <v>320346.09999999998</v>
      </c>
      <c r="D197" s="437">
        <f>'B) D RI'!Z199</f>
        <v>9158.4500000000007</v>
      </c>
      <c r="E197" s="10">
        <f t="shared" si="8"/>
        <v>329504.55</v>
      </c>
      <c r="F197" s="437">
        <f>'B) D RI'!U199</f>
        <v>66980.280368955675</v>
      </c>
      <c r="G197" s="267">
        <f t="shared" si="9"/>
        <v>4.9194262577724333</v>
      </c>
      <c r="H197" s="55">
        <f t="shared" si="10"/>
        <v>162920.58499999999</v>
      </c>
      <c r="I197" s="428">
        <f t="shared" si="11"/>
        <v>2.4323664234094662</v>
      </c>
    </row>
    <row r="198" spans="1:9" x14ac:dyDescent="0.25">
      <c r="A198" s="49">
        <f>'A) Base RI'!A200</f>
        <v>5721</v>
      </c>
      <c r="B198" s="294" t="str">
        <f>'A) Base RI'!B200</f>
        <v>Gland</v>
      </c>
      <c r="C198" s="10">
        <f>'B) D RI'!Y200</f>
        <v>3001022.45</v>
      </c>
      <c r="D198" s="437">
        <f>'B) D RI'!Z200</f>
        <v>1948987.2</v>
      </c>
      <c r="E198" s="10">
        <f t="shared" ref="E198:E261" si="12">C198+D198</f>
        <v>4950009.6500000004</v>
      </c>
      <c r="F198" s="437">
        <f>'B) D RI'!U200</f>
        <v>636120.41665849148</v>
      </c>
      <c r="G198" s="267">
        <f t="shared" ref="G198:G261" si="13">E198/F198</f>
        <v>7.7815607239933469</v>
      </c>
      <c r="H198" s="55">
        <f t="shared" ref="H198:H261" si="14">(C198*$C$4)+(D198*$D$4)</f>
        <v>2085207.385</v>
      </c>
      <c r="I198" s="428">
        <f t="shared" ref="I198:I261" si="15">H198/F198</f>
        <v>3.2780073243891299</v>
      </c>
    </row>
    <row r="199" spans="1:9" x14ac:dyDescent="0.25">
      <c r="A199" s="49">
        <f>'A) Base RI'!A201</f>
        <v>5722</v>
      </c>
      <c r="B199" s="294" t="str">
        <f>'A) Base RI'!B201</f>
        <v>Grens</v>
      </c>
      <c r="C199" s="10">
        <f>'B) D RI'!Y201</f>
        <v>17710</v>
      </c>
      <c r="D199" s="437">
        <f>'B) D RI'!Z201</f>
        <v>21808.65</v>
      </c>
      <c r="E199" s="10">
        <f t="shared" si="12"/>
        <v>39518.65</v>
      </c>
      <c r="F199" s="437">
        <f>'B) D RI'!U201</f>
        <v>22061.884042906917</v>
      </c>
      <c r="G199" s="267">
        <f t="shared" si="13"/>
        <v>1.7912636075478596</v>
      </c>
      <c r="H199" s="55">
        <f t="shared" si="14"/>
        <v>15397.595000000001</v>
      </c>
      <c r="I199" s="428">
        <f t="shared" si="15"/>
        <v>0.69792747392081678</v>
      </c>
    </row>
    <row r="200" spans="1:9" x14ac:dyDescent="0.25">
      <c r="A200" s="49">
        <f>'A) Base RI'!A202</f>
        <v>5723</v>
      </c>
      <c r="B200" s="294" t="str">
        <f>'A) Base RI'!B202</f>
        <v>Mies</v>
      </c>
      <c r="C200" s="10">
        <f>'B) D RI'!Y202</f>
        <v>1611610.9500000002</v>
      </c>
      <c r="D200" s="437">
        <f>'B) D RI'!Z202</f>
        <v>138805.70000000001</v>
      </c>
      <c r="E200" s="10">
        <f t="shared" si="12"/>
        <v>1750416.6500000001</v>
      </c>
      <c r="F200" s="437">
        <f>'B) D RI'!U202</f>
        <v>508753.19533233909</v>
      </c>
      <c r="G200" s="267">
        <f t="shared" si="13"/>
        <v>3.4406007983036924</v>
      </c>
      <c r="H200" s="55">
        <f t="shared" si="14"/>
        <v>847447.18500000006</v>
      </c>
      <c r="I200" s="428">
        <f t="shared" si="15"/>
        <v>1.6657333905223175</v>
      </c>
    </row>
    <row r="201" spans="1:9" x14ac:dyDescent="0.25">
      <c r="A201" s="49">
        <f>'A) Base RI'!A203</f>
        <v>5724</v>
      </c>
      <c r="B201" s="294" t="str">
        <f>'A) Base RI'!B203</f>
        <v>Nyon</v>
      </c>
      <c r="C201" s="10">
        <f>'B) D RI'!Y203</f>
        <v>8724225.5999999996</v>
      </c>
      <c r="D201" s="437">
        <f>'B) D RI'!Z203</f>
        <v>4786782.4000000004</v>
      </c>
      <c r="E201" s="10">
        <f t="shared" si="12"/>
        <v>13511008</v>
      </c>
      <c r="F201" s="437">
        <f>'B) D RI'!U203</f>
        <v>1284648.9485752215</v>
      </c>
      <c r="G201" s="267">
        <f t="shared" si="13"/>
        <v>10.517276346183749</v>
      </c>
      <c r="H201" s="55">
        <f t="shared" si="14"/>
        <v>5798147.5199999996</v>
      </c>
      <c r="I201" s="428">
        <f t="shared" si="15"/>
        <v>4.51341008485673</v>
      </c>
    </row>
    <row r="202" spans="1:9" x14ac:dyDescent="0.25">
      <c r="A202" s="49">
        <f>'A) Base RI'!A204</f>
        <v>5725</v>
      </c>
      <c r="B202" s="294" t="str">
        <f>'A) Base RI'!B204</f>
        <v>Prangins</v>
      </c>
      <c r="C202" s="10">
        <f>'B) D RI'!Y204</f>
        <v>2070656.5499999998</v>
      </c>
      <c r="D202" s="437">
        <f>'B) D RI'!Z204</f>
        <v>1330506.95</v>
      </c>
      <c r="E202" s="10">
        <f t="shared" si="12"/>
        <v>3401163.5</v>
      </c>
      <c r="F202" s="437">
        <f>'B) D RI'!U204</f>
        <v>331424.63115044968</v>
      </c>
      <c r="G202" s="267">
        <f t="shared" si="13"/>
        <v>10.262253255570638</v>
      </c>
      <c r="H202" s="55">
        <f t="shared" si="14"/>
        <v>1434480.3599999999</v>
      </c>
      <c r="I202" s="428">
        <f t="shared" si="15"/>
        <v>4.3282249572718685</v>
      </c>
    </row>
    <row r="203" spans="1:9" x14ac:dyDescent="0.25">
      <c r="A203" s="49">
        <f>'A) Base RI'!A205</f>
        <v>5726</v>
      </c>
      <c r="B203" s="294" t="str">
        <f>'A) Base RI'!B205</f>
        <v>La Rippe</v>
      </c>
      <c r="C203" s="10">
        <f>'B) D RI'!Y205</f>
        <v>89126.5</v>
      </c>
      <c r="D203" s="437">
        <f>'B) D RI'!Z205</f>
        <v>45807</v>
      </c>
      <c r="E203" s="10">
        <f t="shared" si="12"/>
        <v>134933.5</v>
      </c>
      <c r="F203" s="437">
        <f>'B) D RI'!U205</f>
        <v>59775.654047436234</v>
      </c>
      <c r="G203" s="267">
        <f t="shared" si="13"/>
        <v>2.2573320551694955</v>
      </c>
      <c r="H203" s="55">
        <f t="shared" si="14"/>
        <v>58305.35</v>
      </c>
      <c r="I203" s="428">
        <f t="shared" si="15"/>
        <v>0.97540296177655461</v>
      </c>
    </row>
    <row r="204" spans="1:9" x14ac:dyDescent="0.25">
      <c r="A204" s="49">
        <f>'A) Base RI'!A206</f>
        <v>5727</v>
      </c>
      <c r="B204" s="294" t="str">
        <f>'A) Base RI'!B206</f>
        <v>Saint-Cergue</v>
      </c>
      <c r="C204" s="10">
        <f>'B) D RI'!Y206</f>
        <v>529847</v>
      </c>
      <c r="D204" s="437">
        <f>'B) D RI'!Z206</f>
        <v>153366.29999999999</v>
      </c>
      <c r="E204" s="10">
        <f t="shared" si="12"/>
        <v>683213.3</v>
      </c>
      <c r="F204" s="437">
        <f>'B) D RI'!U206</f>
        <v>84837.616861897855</v>
      </c>
      <c r="G204" s="267">
        <f t="shared" si="13"/>
        <v>8.0531882586018728</v>
      </c>
      <c r="H204" s="55">
        <f t="shared" si="14"/>
        <v>310933.39</v>
      </c>
      <c r="I204" s="428">
        <f t="shared" si="15"/>
        <v>3.6650415405485766</v>
      </c>
    </row>
    <row r="205" spans="1:9" x14ac:dyDescent="0.25">
      <c r="A205" s="49">
        <f>'A) Base RI'!A207</f>
        <v>5728</v>
      </c>
      <c r="B205" s="294" t="str">
        <f>'A) Base RI'!B207</f>
        <v>Signy-Avenex</v>
      </c>
      <c r="C205" s="10">
        <f>'B) D RI'!Y207</f>
        <v>196105.45</v>
      </c>
      <c r="D205" s="437">
        <f>'B) D RI'!Z207</f>
        <v>225885.4</v>
      </c>
      <c r="E205" s="10">
        <f t="shared" si="12"/>
        <v>421990.85</v>
      </c>
      <c r="F205" s="437">
        <f>'B) D RI'!U207</f>
        <v>43642.129855163919</v>
      </c>
      <c r="G205" s="267">
        <f t="shared" si="13"/>
        <v>9.6693459141538263</v>
      </c>
      <c r="H205" s="55">
        <f t="shared" si="14"/>
        <v>165818.345</v>
      </c>
      <c r="I205" s="428">
        <f t="shared" si="15"/>
        <v>3.799501663880863</v>
      </c>
    </row>
    <row r="206" spans="1:9" x14ac:dyDescent="0.25">
      <c r="A206" s="49">
        <f>'A) Base RI'!A208</f>
        <v>5729</v>
      </c>
      <c r="B206" s="294" t="str">
        <f>'A) Base RI'!B208</f>
        <v>Tannay</v>
      </c>
      <c r="C206" s="10">
        <f>'B) D RI'!Y208</f>
        <v>523236.05</v>
      </c>
      <c r="D206" s="437">
        <f>'B) D RI'!Z208</f>
        <v>26471.25</v>
      </c>
      <c r="E206" s="10">
        <f t="shared" si="12"/>
        <v>549707.30000000005</v>
      </c>
      <c r="F206" s="437">
        <f>'B) D RI'!U208</f>
        <v>140788.91539066879</v>
      </c>
      <c r="G206" s="267">
        <f t="shared" si="13"/>
        <v>3.9044785484328943</v>
      </c>
      <c r="H206" s="55">
        <f t="shared" si="14"/>
        <v>269559.40000000002</v>
      </c>
      <c r="I206" s="428">
        <f t="shared" si="15"/>
        <v>1.9146351064074316</v>
      </c>
    </row>
    <row r="207" spans="1:9" x14ac:dyDescent="0.25">
      <c r="A207" s="49">
        <f>'A) Base RI'!A209</f>
        <v>5730</v>
      </c>
      <c r="B207" s="294" t="str">
        <f>'A) Base RI'!B209</f>
        <v>Trélex</v>
      </c>
      <c r="C207" s="10">
        <f>'B) D RI'!Y209</f>
        <v>544013</v>
      </c>
      <c r="D207" s="437">
        <f>'B) D RI'!Z209</f>
        <v>9936.85</v>
      </c>
      <c r="E207" s="10">
        <f t="shared" si="12"/>
        <v>553949.85</v>
      </c>
      <c r="F207" s="437">
        <f>'B) D RI'!U209</f>
        <v>159385.15609090315</v>
      </c>
      <c r="G207" s="267">
        <f t="shared" si="13"/>
        <v>3.4755422875393882</v>
      </c>
      <c r="H207" s="55">
        <f t="shared" si="14"/>
        <v>274987.55499999999</v>
      </c>
      <c r="I207" s="428">
        <f t="shared" si="15"/>
        <v>1.7253021657999605</v>
      </c>
    </row>
    <row r="208" spans="1:9" x14ac:dyDescent="0.25">
      <c r="A208" s="49">
        <f>'A) Base RI'!A210</f>
        <v>5731</v>
      </c>
      <c r="B208" s="294" t="str">
        <f>'A) Base RI'!B210</f>
        <v>Le Vaud</v>
      </c>
      <c r="C208" s="10">
        <f>'B) D RI'!Y210</f>
        <v>725057.35000000009</v>
      </c>
      <c r="D208" s="437">
        <f>'B) D RI'!Z210</f>
        <v>31194.65</v>
      </c>
      <c r="E208" s="10">
        <f t="shared" si="12"/>
        <v>756252.00000000012</v>
      </c>
      <c r="F208" s="437">
        <f>'B) D RI'!U210</f>
        <v>52787.084696622871</v>
      </c>
      <c r="G208" s="267">
        <f t="shared" si="13"/>
        <v>14.326458912181268</v>
      </c>
      <c r="H208" s="55">
        <f t="shared" si="14"/>
        <v>371887.07000000007</v>
      </c>
      <c r="I208" s="428">
        <f t="shared" si="15"/>
        <v>7.0450389927252806</v>
      </c>
    </row>
    <row r="209" spans="1:9" x14ac:dyDescent="0.25">
      <c r="A209" s="49">
        <f>'A) Base RI'!A211</f>
        <v>5732</v>
      </c>
      <c r="B209" s="294" t="str">
        <f>'A) Base RI'!B211</f>
        <v>Vich</v>
      </c>
      <c r="C209" s="10">
        <f>'B) D RI'!Y211</f>
        <v>749103.85</v>
      </c>
      <c r="D209" s="437">
        <f>'B) D RI'!Z211</f>
        <v>94359.45</v>
      </c>
      <c r="E209" s="10">
        <f t="shared" si="12"/>
        <v>843463.29999999993</v>
      </c>
      <c r="F209" s="437">
        <f>'B) D RI'!U211</f>
        <v>63679.159894206758</v>
      </c>
      <c r="G209" s="267">
        <f t="shared" si="13"/>
        <v>13.245515509332817</v>
      </c>
      <c r="H209" s="55">
        <f t="shared" si="14"/>
        <v>402859.76</v>
      </c>
      <c r="I209" s="428">
        <f t="shared" si="15"/>
        <v>6.3263987883836759</v>
      </c>
    </row>
    <row r="210" spans="1:9" x14ac:dyDescent="0.25">
      <c r="A210" s="49">
        <f>'A) Base RI'!A212</f>
        <v>5741</v>
      </c>
      <c r="B210" s="294" t="str">
        <f>'A) Base RI'!B212</f>
        <v>L'Abergement</v>
      </c>
      <c r="C210" s="10">
        <f>'B) D RI'!Y212</f>
        <v>43743.5</v>
      </c>
      <c r="D210" s="437">
        <f>'B) D RI'!Z212</f>
        <v>6488.75</v>
      </c>
      <c r="E210" s="10">
        <f t="shared" si="12"/>
        <v>50232.25</v>
      </c>
      <c r="F210" s="437">
        <f>'B) D RI'!U212</f>
        <v>7417.8594757266228</v>
      </c>
      <c r="G210" s="267">
        <f t="shared" si="13"/>
        <v>6.7717985443610003</v>
      </c>
      <c r="H210" s="55">
        <f t="shared" si="14"/>
        <v>23818.375</v>
      </c>
      <c r="I210" s="428">
        <f t="shared" si="15"/>
        <v>3.2109498808841819</v>
      </c>
    </row>
    <row r="211" spans="1:9" x14ac:dyDescent="0.25">
      <c r="A211" s="49">
        <f>'A) Base RI'!A213</f>
        <v>5742</v>
      </c>
      <c r="B211" s="294" t="str">
        <f>'A) Base RI'!B213</f>
        <v>Agiez</v>
      </c>
      <c r="C211" s="10">
        <f>'B) D RI'!Y213</f>
        <v>21984.2</v>
      </c>
      <c r="D211" s="437">
        <f>'B) D RI'!Z213</f>
        <v>0</v>
      </c>
      <c r="E211" s="10">
        <f t="shared" si="12"/>
        <v>21984.2</v>
      </c>
      <c r="F211" s="437">
        <f>'B) D RI'!U213</f>
        <v>9044.2293566491917</v>
      </c>
      <c r="G211" s="267">
        <f t="shared" si="13"/>
        <v>2.4307433096925526</v>
      </c>
      <c r="H211" s="55">
        <f t="shared" si="14"/>
        <v>10992.1</v>
      </c>
      <c r="I211" s="428">
        <f t="shared" si="15"/>
        <v>1.2153716548462763</v>
      </c>
    </row>
    <row r="212" spans="1:9" x14ac:dyDescent="0.25">
      <c r="A212" s="49">
        <f>'A) Base RI'!A214</f>
        <v>5743</v>
      </c>
      <c r="B212" s="294" t="str">
        <f>'A) Base RI'!B214</f>
        <v>Arnex-sur-Orbe</v>
      </c>
      <c r="C212" s="10">
        <f>'B) D RI'!Y214</f>
        <v>283274.8</v>
      </c>
      <c r="D212" s="437">
        <f>'B) D RI'!Z214</f>
        <v>28250.799999999999</v>
      </c>
      <c r="E212" s="10">
        <f t="shared" si="12"/>
        <v>311525.59999999998</v>
      </c>
      <c r="F212" s="437">
        <f>'B) D RI'!U214</f>
        <v>18380.074354130466</v>
      </c>
      <c r="G212" s="267">
        <f t="shared" si="13"/>
        <v>16.949093567186377</v>
      </c>
      <c r="H212" s="55">
        <f t="shared" si="14"/>
        <v>150112.63999999998</v>
      </c>
      <c r="I212" s="428">
        <f t="shared" si="15"/>
        <v>8.1671399749406284</v>
      </c>
    </row>
    <row r="213" spans="1:9" x14ac:dyDescent="0.25">
      <c r="A213" s="49">
        <f>'A) Base RI'!A215</f>
        <v>5744</v>
      </c>
      <c r="B213" s="294" t="str">
        <f>'A) Base RI'!B215</f>
        <v>Ballaigues</v>
      </c>
      <c r="C213" s="10">
        <f>'B) D RI'!Y215</f>
        <v>118029.70000000001</v>
      </c>
      <c r="D213" s="437">
        <f>'B) D RI'!Z215</f>
        <v>1259054.6499999999</v>
      </c>
      <c r="E213" s="10">
        <f t="shared" si="12"/>
        <v>1377084.3499999999</v>
      </c>
      <c r="F213" s="437">
        <f>'B) D RI'!U215</f>
        <v>36664.575000922312</v>
      </c>
      <c r="G213" s="267">
        <f t="shared" si="13"/>
        <v>37.558988477716127</v>
      </c>
      <c r="H213" s="55">
        <f t="shared" si="14"/>
        <v>436731.245</v>
      </c>
      <c r="I213" s="428">
        <f t="shared" si="15"/>
        <v>11.911531634800454</v>
      </c>
    </row>
    <row r="214" spans="1:9" x14ac:dyDescent="0.25">
      <c r="A214" s="49">
        <f>'A) Base RI'!A216</f>
        <v>5745</v>
      </c>
      <c r="B214" s="294" t="str">
        <f>'A) Base RI'!B216</f>
        <v>Baulmes</v>
      </c>
      <c r="C214" s="10">
        <f>'B) D RI'!Y216</f>
        <v>303476.80000000005</v>
      </c>
      <c r="D214" s="437">
        <f>'B) D RI'!Z216</f>
        <v>206170.15</v>
      </c>
      <c r="E214" s="10">
        <f t="shared" si="12"/>
        <v>509646.95000000007</v>
      </c>
      <c r="F214" s="437">
        <f>'B) D RI'!U216</f>
        <v>26462.919353923764</v>
      </c>
      <c r="G214" s="267">
        <f t="shared" si="13"/>
        <v>19.258908784167559</v>
      </c>
      <c r="H214" s="55">
        <f t="shared" si="14"/>
        <v>213589.44500000001</v>
      </c>
      <c r="I214" s="428">
        <f t="shared" si="15"/>
        <v>8.0712729439781263</v>
      </c>
    </row>
    <row r="215" spans="1:9" x14ac:dyDescent="0.25">
      <c r="A215" s="49">
        <f>'A) Base RI'!A217</f>
        <v>5746</v>
      </c>
      <c r="B215" s="294" t="str">
        <f>'A) Base RI'!B217</f>
        <v>Bavois</v>
      </c>
      <c r="C215" s="10">
        <f>'B) D RI'!Y217</f>
        <v>128046.5</v>
      </c>
      <c r="D215" s="437">
        <f>'B) D RI'!Z217</f>
        <v>25740.55</v>
      </c>
      <c r="E215" s="10">
        <f t="shared" si="12"/>
        <v>153787.04999999999</v>
      </c>
      <c r="F215" s="437">
        <f>'B) D RI'!U217</f>
        <v>26553.96285852553</v>
      </c>
      <c r="G215" s="267">
        <f t="shared" si="13"/>
        <v>5.7914914929778343</v>
      </c>
      <c r="H215" s="55">
        <f t="shared" si="14"/>
        <v>71745.414999999994</v>
      </c>
      <c r="I215" s="428">
        <f t="shared" si="15"/>
        <v>2.7018722358785365</v>
      </c>
    </row>
    <row r="216" spans="1:9" x14ac:dyDescent="0.25">
      <c r="A216" s="49">
        <f>'A) Base RI'!A218</f>
        <v>5747</v>
      </c>
      <c r="B216" s="294" t="str">
        <f>'A) Base RI'!B218</f>
        <v>Bofflens</v>
      </c>
      <c r="C216" s="10">
        <f>'B) D RI'!Y218</f>
        <v>39024.6</v>
      </c>
      <c r="D216" s="437">
        <f>'B) D RI'!Z218</f>
        <v>0</v>
      </c>
      <c r="E216" s="10">
        <f t="shared" si="12"/>
        <v>39024.6</v>
      </c>
      <c r="F216" s="437">
        <f>'B) D RI'!U218</f>
        <v>4975.9343453180645</v>
      </c>
      <c r="G216" s="267">
        <f t="shared" si="13"/>
        <v>7.8426677869491712</v>
      </c>
      <c r="H216" s="55">
        <f t="shared" si="14"/>
        <v>19512.3</v>
      </c>
      <c r="I216" s="428">
        <f t="shared" si="15"/>
        <v>3.9213338934745856</v>
      </c>
    </row>
    <row r="217" spans="1:9" x14ac:dyDescent="0.25">
      <c r="A217" s="49">
        <f>'A) Base RI'!A219</f>
        <v>5748</v>
      </c>
      <c r="B217" s="294" t="str">
        <f>'A) Base RI'!B219</f>
        <v>Bretonnières</v>
      </c>
      <c r="C217" s="10">
        <f>'B) D RI'!Y219</f>
        <v>44187.1</v>
      </c>
      <c r="D217" s="437">
        <f>'B) D RI'!Z219</f>
        <v>5549.6</v>
      </c>
      <c r="E217" s="10">
        <f t="shared" si="12"/>
        <v>49736.7</v>
      </c>
      <c r="F217" s="437">
        <f>'B) D RI'!U219</f>
        <v>5547.867770022187</v>
      </c>
      <c r="G217" s="267">
        <f t="shared" si="13"/>
        <v>8.9650117958382936</v>
      </c>
      <c r="H217" s="55">
        <f t="shared" si="14"/>
        <v>23758.43</v>
      </c>
      <c r="I217" s="428">
        <f t="shared" si="15"/>
        <v>4.2824434512261247</v>
      </c>
    </row>
    <row r="218" spans="1:9" x14ac:dyDescent="0.25">
      <c r="A218" s="49">
        <f>'A) Base RI'!A220</f>
        <v>5749</v>
      </c>
      <c r="B218" s="294" t="str">
        <f>'A) Base RI'!B220</f>
        <v>Chavornay</v>
      </c>
      <c r="C218" s="10">
        <f>'B) D RI'!Y220</f>
        <v>389659.55000000005</v>
      </c>
      <c r="D218" s="437">
        <f>'B) D RI'!Z220</f>
        <v>656402.80000000005</v>
      </c>
      <c r="E218" s="10">
        <f t="shared" si="12"/>
        <v>1046062.3500000001</v>
      </c>
      <c r="F218" s="437">
        <f>'B) D RI'!U220</f>
        <v>136712.84503559873</v>
      </c>
      <c r="G218" s="267">
        <f t="shared" si="13"/>
        <v>7.6515293769770896</v>
      </c>
      <c r="H218" s="55">
        <f t="shared" si="14"/>
        <v>391750.61499999999</v>
      </c>
      <c r="I218" s="428">
        <f t="shared" si="15"/>
        <v>2.8654996894987579</v>
      </c>
    </row>
    <row r="219" spans="1:9" x14ac:dyDescent="0.25">
      <c r="A219" s="49">
        <f>'A) Base RI'!A221</f>
        <v>5750</v>
      </c>
      <c r="B219" s="294" t="str">
        <f>'A) Base RI'!B221</f>
        <v>Les Clées</v>
      </c>
      <c r="C219" s="10">
        <f>'B) D RI'!Y221</f>
        <v>174.95</v>
      </c>
      <c r="D219" s="437">
        <f>'B) D RI'!Z221</f>
        <v>0</v>
      </c>
      <c r="E219" s="10">
        <f t="shared" si="12"/>
        <v>174.95</v>
      </c>
      <c r="F219" s="437">
        <f>'B) D RI'!U221</f>
        <v>5161.3627278037393</v>
      </c>
      <c r="G219" s="267">
        <f t="shared" si="13"/>
        <v>3.3896086988337792E-2</v>
      </c>
      <c r="H219" s="55">
        <f t="shared" si="14"/>
        <v>87.474999999999994</v>
      </c>
      <c r="I219" s="428">
        <f t="shared" si="15"/>
        <v>1.6948043494168896E-2</v>
      </c>
    </row>
    <row r="220" spans="1:9" x14ac:dyDescent="0.25">
      <c r="A220" s="49">
        <f>'A) Base RI'!A222</f>
        <v>5752</v>
      </c>
      <c r="B220" s="294" t="str">
        <f>'A) Base RI'!B222</f>
        <v>Croy</v>
      </c>
      <c r="C220" s="10">
        <f>'B) D RI'!Y222</f>
        <v>37004.1</v>
      </c>
      <c r="D220" s="437">
        <f>'B) D RI'!Z222</f>
        <v>27809.35</v>
      </c>
      <c r="E220" s="10">
        <f t="shared" si="12"/>
        <v>64813.45</v>
      </c>
      <c r="F220" s="437">
        <f>'B) D RI'!U222</f>
        <v>10757.15843408766</v>
      </c>
      <c r="G220" s="267">
        <f t="shared" si="13"/>
        <v>6.0251459897268846</v>
      </c>
      <c r="H220" s="55">
        <f t="shared" si="14"/>
        <v>26844.854999999996</v>
      </c>
      <c r="I220" s="428">
        <f t="shared" si="15"/>
        <v>2.4955340357294618</v>
      </c>
    </row>
    <row r="221" spans="1:9" x14ac:dyDescent="0.25">
      <c r="A221" s="49">
        <f>'A) Base RI'!A223</f>
        <v>5754</v>
      </c>
      <c r="B221" s="294" t="str">
        <f>'A) Base RI'!B223</f>
        <v>Juriens</v>
      </c>
      <c r="C221" s="10">
        <f>'B) D RI'!Y223</f>
        <v>8614.9</v>
      </c>
      <c r="D221" s="437">
        <f>'B) D RI'!Z223</f>
        <v>1446.55</v>
      </c>
      <c r="E221" s="10">
        <f t="shared" si="12"/>
        <v>10061.449999999999</v>
      </c>
      <c r="F221" s="437">
        <f>'B) D RI'!U223</f>
        <v>8043.6966976741023</v>
      </c>
      <c r="G221" s="267">
        <f t="shared" si="13"/>
        <v>1.2508490036564091</v>
      </c>
      <c r="H221" s="55">
        <f t="shared" si="14"/>
        <v>4741.415</v>
      </c>
      <c r="I221" s="428">
        <f t="shared" si="15"/>
        <v>0.58945720832201653</v>
      </c>
    </row>
    <row r="222" spans="1:9" x14ac:dyDescent="0.25">
      <c r="A222" s="49">
        <f>'A) Base RI'!A224</f>
        <v>5755</v>
      </c>
      <c r="B222" s="294" t="str">
        <f>'A) Base RI'!B224</f>
        <v>Lignerolle</v>
      </c>
      <c r="C222" s="10">
        <f>'B) D RI'!Y224</f>
        <v>31118.15</v>
      </c>
      <c r="D222" s="437">
        <f>'B) D RI'!Z224</f>
        <v>18805.45</v>
      </c>
      <c r="E222" s="10">
        <f t="shared" si="12"/>
        <v>49923.600000000006</v>
      </c>
      <c r="F222" s="437">
        <f>'B) D RI'!U224</f>
        <v>9515.1754002495127</v>
      </c>
      <c r="G222" s="267">
        <f t="shared" si="13"/>
        <v>5.2467346002566471</v>
      </c>
      <c r="H222" s="55">
        <f t="shared" si="14"/>
        <v>21200.71</v>
      </c>
      <c r="I222" s="428">
        <f t="shared" si="15"/>
        <v>2.2280945025400225</v>
      </c>
    </row>
    <row r="223" spans="1:9" x14ac:dyDescent="0.25">
      <c r="A223" s="49">
        <f>'A) Base RI'!A225</f>
        <v>5756</v>
      </c>
      <c r="B223" s="294" t="str">
        <f>'A) Base RI'!B225</f>
        <v>Montcherand</v>
      </c>
      <c r="C223" s="10">
        <f>'B) D RI'!Y225</f>
        <v>15239.25</v>
      </c>
      <c r="D223" s="437">
        <f>'B) D RI'!Z225</f>
        <v>22927.65</v>
      </c>
      <c r="E223" s="10">
        <f t="shared" si="12"/>
        <v>38166.9</v>
      </c>
      <c r="F223" s="437">
        <f>'B) D RI'!U225</f>
        <v>16469.035494125688</v>
      </c>
      <c r="G223" s="267">
        <f t="shared" si="13"/>
        <v>2.3174945499154269</v>
      </c>
      <c r="H223" s="55">
        <f t="shared" si="14"/>
        <v>14497.92</v>
      </c>
      <c r="I223" s="428">
        <f t="shared" si="15"/>
        <v>0.88031384747280661</v>
      </c>
    </row>
    <row r="224" spans="1:9" x14ac:dyDescent="0.25">
      <c r="A224" s="49">
        <f>'A) Base RI'!A226</f>
        <v>5757</v>
      </c>
      <c r="B224" s="294" t="str">
        <f>'A) Base RI'!B226</f>
        <v>Orbe</v>
      </c>
      <c r="C224" s="10">
        <f>'B) D RI'!Y226</f>
        <v>1182697.1499999999</v>
      </c>
      <c r="D224" s="437">
        <f>'B) D RI'!Z226</f>
        <v>2769162.05</v>
      </c>
      <c r="E224" s="10">
        <f t="shared" si="12"/>
        <v>3951859.1999999997</v>
      </c>
      <c r="F224" s="437">
        <f>'B) D RI'!U226</f>
        <v>204851.86723579146</v>
      </c>
      <c r="G224" s="267">
        <f t="shared" si="13"/>
        <v>19.291301823728439</v>
      </c>
      <c r="H224" s="55">
        <f t="shared" si="14"/>
        <v>1422097.19</v>
      </c>
      <c r="I224" s="428">
        <f t="shared" si="15"/>
        <v>6.9420757994024909</v>
      </c>
    </row>
    <row r="225" spans="1:9" x14ac:dyDescent="0.25">
      <c r="A225" s="49">
        <f>'A) Base RI'!A227</f>
        <v>5758</v>
      </c>
      <c r="B225" s="294" t="str">
        <f>'A) Base RI'!B227</f>
        <v>La Praz</v>
      </c>
      <c r="C225" s="10">
        <f>'B) D RI'!Y227</f>
        <v>65279.649999999994</v>
      </c>
      <c r="D225" s="437">
        <f>'B) D RI'!Z227</f>
        <v>0</v>
      </c>
      <c r="E225" s="10">
        <f t="shared" si="12"/>
        <v>65279.649999999994</v>
      </c>
      <c r="F225" s="437">
        <f>'B) D RI'!U227</f>
        <v>4452.1612722088212</v>
      </c>
      <c r="G225" s="267">
        <f t="shared" si="13"/>
        <v>14.662463017116456</v>
      </c>
      <c r="H225" s="55">
        <f t="shared" si="14"/>
        <v>32639.824999999997</v>
      </c>
      <c r="I225" s="428">
        <f t="shared" si="15"/>
        <v>7.3312315085582282</v>
      </c>
    </row>
    <row r="226" spans="1:9" x14ac:dyDescent="0.25">
      <c r="A226" s="49">
        <f>'A) Base RI'!A228</f>
        <v>5759</v>
      </c>
      <c r="B226" s="294" t="str">
        <f>'A) Base RI'!B228</f>
        <v>Premier</v>
      </c>
      <c r="C226" s="10">
        <f>'B) D RI'!Y228</f>
        <v>59580.4</v>
      </c>
      <c r="D226" s="437">
        <f>'B) D RI'!Z228</f>
        <v>2720.8</v>
      </c>
      <c r="E226" s="10">
        <f t="shared" si="12"/>
        <v>62301.200000000004</v>
      </c>
      <c r="F226" s="437">
        <f>'B) D RI'!U228</f>
        <v>4744.8996537773928</v>
      </c>
      <c r="G226" s="267">
        <f t="shared" si="13"/>
        <v>13.130140687043257</v>
      </c>
      <c r="H226" s="55">
        <f t="shared" si="14"/>
        <v>30606.440000000002</v>
      </c>
      <c r="I226" s="428">
        <f t="shared" si="15"/>
        <v>6.4503872016838875</v>
      </c>
    </row>
    <row r="227" spans="1:9" x14ac:dyDescent="0.25">
      <c r="A227" s="49">
        <f>'A) Base RI'!A229</f>
        <v>5760</v>
      </c>
      <c r="B227" s="294" t="str">
        <f>'A) Base RI'!B229</f>
        <v>Rances</v>
      </c>
      <c r="C227" s="10">
        <f>'B) D RI'!Y229</f>
        <v>75739.350000000006</v>
      </c>
      <c r="D227" s="437">
        <f>'B) D RI'!Z229</f>
        <v>17708.400000000001</v>
      </c>
      <c r="E227" s="10">
        <f t="shared" si="12"/>
        <v>93447.75</v>
      </c>
      <c r="F227" s="437">
        <f>'B) D RI'!U229</f>
        <v>11421.2396274482</v>
      </c>
      <c r="G227" s="267">
        <f t="shared" si="13"/>
        <v>8.1819270979501066</v>
      </c>
      <c r="H227" s="55">
        <f t="shared" si="14"/>
        <v>43182.195000000007</v>
      </c>
      <c r="I227" s="428">
        <f t="shared" si="15"/>
        <v>3.7808676123230964</v>
      </c>
    </row>
    <row r="228" spans="1:9" x14ac:dyDescent="0.25">
      <c r="A228" s="49">
        <f>'A) Base RI'!A230</f>
        <v>5761</v>
      </c>
      <c r="B228" s="294" t="str">
        <f>'A) Base RI'!B230</f>
        <v>Romainmôtier-Envy</v>
      </c>
      <c r="C228" s="10">
        <f>'B) D RI'!Y230</f>
        <v>83390.5</v>
      </c>
      <c r="D228" s="437">
        <f>'B) D RI'!Z230</f>
        <v>53214.400000000001</v>
      </c>
      <c r="E228" s="10">
        <f t="shared" si="12"/>
        <v>136604.9</v>
      </c>
      <c r="F228" s="437">
        <f>'B) D RI'!U230</f>
        <v>14547.39613540147</v>
      </c>
      <c r="G228" s="267">
        <f t="shared" si="13"/>
        <v>9.3903334128345062</v>
      </c>
      <c r="H228" s="55">
        <f t="shared" si="14"/>
        <v>57659.57</v>
      </c>
      <c r="I228" s="428">
        <f t="shared" si="15"/>
        <v>3.9635663635833716</v>
      </c>
    </row>
    <row r="229" spans="1:9" x14ac:dyDescent="0.25">
      <c r="A229" s="49">
        <f>'A) Base RI'!A231</f>
        <v>5762</v>
      </c>
      <c r="B229" s="294" t="str">
        <f>'A) Base RI'!B231</f>
        <v>Sergey</v>
      </c>
      <c r="C229" s="10">
        <f>'B) D RI'!Y231</f>
        <v>2671.7</v>
      </c>
      <c r="D229" s="437">
        <f>'B) D RI'!Z231</f>
        <v>2645.8</v>
      </c>
      <c r="E229" s="10">
        <f t="shared" si="12"/>
        <v>5317.5</v>
      </c>
      <c r="F229" s="437">
        <f>'B) D RI'!U231</f>
        <v>3763.729317622563</v>
      </c>
      <c r="G229" s="267">
        <f t="shared" si="13"/>
        <v>1.4128274249432231</v>
      </c>
      <c r="H229" s="55">
        <f t="shared" si="14"/>
        <v>2129.59</v>
      </c>
      <c r="I229" s="428">
        <f t="shared" si="15"/>
        <v>0.56581911723269185</v>
      </c>
    </row>
    <row r="230" spans="1:9" x14ac:dyDescent="0.25">
      <c r="A230" s="49">
        <f>'A) Base RI'!A232</f>
        <v>5763</v>
      </c>
      <c r="B230" s="294" t="str">
        <f>'A) Base RI'!B232</f>
        <v>Valeyres-sous-Rances</v>
      </c>
      <c r="C230" s="10">
        <f>'B) D RI'!Y232</f>
        <v>-11950.3</v>
      </c>
      <c r="D230" s="437">
        <f>'B) D RI'!Z232</f>
        <v>37741.050000000003</v>
      </c>
      <c r="E230" s="10">
        <f t="shared" si="12"/>
        <v>25790.750000000004</v>
      </c>
      <c r="F230" s="437">
        <f>'B) D RI'!U232</f>
        <v>20916.396171179269</v>
      </c>
      <c r="G230" s="267">
        <f t="shared" si="13"/>
        <v>1.2330398501218442</v>
      </c>
      <c r="H230" s="55">
        <f t="shared" si="14"/>
        <v>5347.1650000000009</v>
      </c>
      <c r="I230" s="428">
        <f t="shared" si="15"/>
        <v>0.25564466059252916</v>
      </c>
    </row>
    <row r="231" spans="1:9" x14ac:dyDescent="0.25">
      <c r="A231" s="49">
        <f>'A) Base RI'!A233</f>
        <v>5764</v>
      </c>
      <c r="B231" s="294" t="str">
        <f>'A) Base RI'!B233</f>
        <v>Vallorbe</v>
      </c>
      <c r="C231" s="10">
        <f>'B) D RI'!Y233</f>
        <v>323922.05</v>
      </c>
      <c r="D231" s="437">
        <f>'B) D RI'!Z233</f>
        <v>2339312.5499999998</v>
      </c>
      <c r="E231" s="10">
        <f t="shared" si="12"/>
        <v>2663234.5999999996</v>
      </c>
      <c r="F231" s="437">
        <f>'B) D RI'!U233</f>
        <v>83482.591885585367</v>
      </c>
      <c r="G231" s="267">
        <f t="shared" si="13"/>
        <v>31.90167602426645</v>
      </c>
      <c r="H231" s="55">
        <f t="shared" si="14"/>
        <v>863754.78999999992</v>
      </c>
      <c r="I231" s="428">
        <f t="shared" si="15"/>
        <v>10.346525790476102</v>
      </c>
    </row>
    <row r="232" spans="1:9" x14ac:dyDescent="0.25">
      <c r="A232" s="49">
        <f>'A) Base RI'!A234</f>
        <v>5765</v>
      </c>
      <c r="B232" s="294" t="str">
        <f>'A) Base RI'!B234</f>
        <v>Vaulion</v>
      </c>
      <c r="C232" s="10">
        <f>'B) D RI'!Y234</f>
        <v>55420.649999999994</v>
      </c>
      <c r="D232" s="437">
        <f>'B) D RI'!Z234</f>
        <v>44268</v>
      </c>
      <c r="E232" s="10">
        <f t="shared" si="12"/>
        <v>99688.65</v>
      </c>
      <c r="F232" s="437">
        <f>'B) D RI'!U234</f>
        <v>9771.3712818501954</v>
      </c>
      <c r="G232" s="267">
        <f t="shared" si="13"/>
        <v>10.202114639238648</v>
      </c>
      <c r="H232" s="55">
        <f t="shared" si="14"/>
        <v>40990.724999999999</v>
      </c>
      <c r="I232" s="428">
        <f t="shared" si="15"/>
        <v>4.1949818318886418</v>
      </c>
    </row>
    <row r="233" spans="1:9" x14ac:dyDescent="0.25">
      <c r="A233" s="49">
        <f>'A) Base RI'!A235</f>
        <v>5766</v>
      </c>
      <c r="B233" s="294" t="str">
        <f>'A) Base RI'!B235</f>
        <v>Vuiteboeuf</v>
      </c>
      <c r="C233" s="10">
        <f>'B) D RI'!Y235</f>
        <v>42287.5</v>
      </c>
      <c r="D233" s="437">
        <f>'B) D RI'!Z235</f>
        <v>22902.3</v>
      </c>
      <c r="E233" s="10">
        <f t="shared" si="12"/>
        <v>65189.8</v>
      </c>
      <c r="F233" s="437">
        <f>'B) D RI'!U235</f>
        <v>13156.989379669412</v>
      </c>
      <c r="G233" s="267">
        <f t="shared" si="13"/>
        <v>4.9547657232841811</v>
      </c>
      <c r="H233" s="55">
        <f t="shared" si="14"/>
        <v>28014.44</v>
      </c>
      <c r="I233" s="428">
        <f t="shared" si="15"/>
        <v>2.1292439471972804</v>
      </c>
    </row>
    <row r="234" spans="1:9" x14ac:dyDescent="0.25">
      <c r="A234" s="49">
        <f>'A) Base RI'!A236</f>
        <v>5785</v>
      </c>
      <c r="B234" s="294" t="str">
        <f>'A) Base RI'!B236</f>
        <v>Corcelles-le-Jorat</v>
      </c>
      <c r="C234" s="10">
        <f>'B) D RI'!Y236</f>
        <v>51454.25</v>
      </c>
      <c r="D234" s="437">
        <f>'B) D RI'!Z236</f>
        <v>0</v>
      </c>
      <c r="E234" s="10">
        <f t="shared" si="12"/>
        <v>51454.25</v>
      </c>
      <c r="F234" s="437">
        <f>'B) D RI'!U236</f>
        <v>15572.051048960157</v>
      </c>
      <c r="G234" s="267">
        <f t="shared" si="13"/>
        <v>3.3042692859291596</v>
      </c>
      <c r="H234" s="55">
        <f t="shared" si="14"/>
        <v>25727.125</v>
      </c>
      <c r="I234" s="428">
        <f t="shared" si="15"/>
        <v>1.6521346429645798</v>
      </c>
    </row>
    <row r="235" spans="1:9" x14ac:dyDescent="0.25">
      <c r="A235" s="49">
        <f>'A) Base RI'!A237</f>
        <v>5788</v>
      </c>
      <c r="B235" s="294" t="str">
        <f>'A) Base RI'!B237</f>
        <v>Essertes</v>
      </c>
      <c r="C235" s="10">
        <f>'B) D RI'!Y237</f>
        <v>46531.05</v>
      </c>
      <c r="D235" s="437">
        <f>'B) D RI'!Z237</f>
        <v>0</v>
      </c>
      <c r="E235" s="10">
        <f t="shared" si="12"/>
        <v>46531.05</v>
      </c>
      <c r="F235" s="437">
        <f>'B) D RI'!U237</f>
        <v>11883.854268348969</v>
      </c>
      <c r="G235" s="267">
        <f t="shared" si="13"/>
        <v>3.9154847366253165</v>
      </c>
      <c r="H235" s="55">
        <f t="shared" si="14"/>
        <v>23265.525000000001</v>
      </c>
      <c r="I235" s="428">
        <f t="shared" si="15"/>
        <v>1.9577423683126582</v>
      </c>
    </row>
    <row r="236" spans="1:9" x14ac:dyDescent="0.25">
      <c r="A236" s="49">
        <f>'A) Base RI'!A238</f>
        <v>5790</v>
      </c>
      <c r="B236" s="294" t="str">
        <f>'A) Base RI'!B238</f>
        <v>Maracon</v>
      </c>
      <c r="C236" s="10">
        <f>'B) D RI'!Y238</f>
        <v>130908.15</v>
      </c>
      <c r="D236" s="437">
        <f>'B) D RI'!Z238</f>
        <v>10203.049999999999</v>
      </c>
      <c r="E236" s="10">
        <f t="shared" si="12"/>
        <v>141111.19999999998</v>
      </c>
      <c r="F236" s="437">
        <f>'B) D RI'!U238</f>
        <v>13256.164125976293</v>
      </c>
      <c r="G236" s="267">
        <f t="shared" si="13"/>
        <v>10.644949674656159</v>
      </c>
      <c r="H236" s="55">
        <f t="shared" si="14"/>
        <v>68514.989999999991</v>
      </c>
      <c r="I236" s="428">
        <f t="shared" si="15"/>
        <v>5.168538149413866</v>
      </c>
    </row>
    <row r="237" spans="1:9" x14ac:dyDescent="0.25">
      <c r="A237" s="49">
        <f>'A) Base RI'!A239</f>
        <v>5792</v>
      </c>
      <c r="B237" s="294" t="str">
        <f>'A) Base RI'!B239</f>
        <v>Montpreveyres</v>
      </c>
      <c r="C237" s="10">
        <f>'B) D RI'!Y239</f>
        <v>141165.75</v>
      </c>
      <c r="D237" s="437">
        <f>'B) D RI'!Z239</f>
        <v>16.149999999999999</v>
      </c>
      <c r="E237" s="10">
        <f t="shared" si="12"/>
        <v>141181.9</v>
      </c>
      <c r="F237" s="437">
        <f>'B) D RI'!U239</f>
        <v>18726.471313410195</v>
      </c>
      <c r="G237" s="267">
        <f t="shared" si="13"/>
        <v>7.5391619508635541</v>
      </c>
      <c r="H237" s="55">
        <f t="shared" si="14"/>
        <v>70587.72</v>
      </c>
      <c r="I237" s="428">
        <f t="shared" si="15"/>
        <v>3.7694084923223894</v>
      </c>
    </row>
    <row r="238" spans="1:9" x14ac:dyDescent="0.25">
      <c r="A238" s="49">
        <f>'A) Base RI'!A240</f>
        <v>5798</v>
      </c>
      <c r="B238" s="294" t="str">
        <f>'A) Base RI'!B240</f>
        <v>Ropraz</v>
      </c>
      <c r="C238" s="10">
        <f>'B) D RI'!Y240</f>
        <v>93347.05</v>
      </c>
      <c r="D238" s="437">
        <f>'B) D RI'!Z240</f>
        <v>7800.35</v>
      </c>
      <c r="E238" s="10">
        <f t="shared" si="12"/>
        <v>101147.40000000001</v>
      </c>
      <c r="F238" s="437">
        <f>'B) D RI'!U240</f>
        <v>13725.260150883058</v>
      </c>
      <c r="G238" s="267">
        <f t="shared" si="13"/>
        <v>7.369434086354449</v>
      </c>
      <c r="H238" s="55">
        <f t="shared" si="14"/>
        <v>49013.630000000005</v>
      </c>
      <c r="I238" s="428">
        <f t="shared" si="15"/>
        <v>3.5710528952594434</v>
      </c>
    </row>
    <row r="239" spans="1:9" x14ac:dyDescent="0.25">
      <c r="A239" s="49">
        <f>'A) Base RI'!A241</f>
        <v>5799</v>
      </c>
      <c r="B239" s="294" t="str">
        <f>'A) Base RI'!B241</f>
        <v>Servion</v>
      </c>
      <c r="C239" s="10">
        <f>'B) D RI'!Y241</f>
        <v>622690.1</v>
      </c>
      <c r="D239" s="437">
        <f>'B) D RI'!Z241</f>
        <v>22437.1</v>
      </c>
      <c r="E239" s="10">
        <f t="shared" si="12"/>
        <v>645127.19999999995</v>
      </c>
      <c r="F239" s="437">
        <f>'B) D RI'!U241</f>
        <v>68712.576636224549</v>
      </c>
      <c r="G239" s="267">
        <f t="shared" si="13"/>
        <v>9.3887790500916193</v>
      </c>
      <c r="H239" s="55">
        <f t="shared" si="14"/>
        <v>318076.18</v>
      </c>
      <c r="I239" s="428">
        <f t="shared" si="15"/>
        <v>4.629082412146273</v>
      </c>
    </row>
    <row r="240" spans="1:9" x14ac:dyDescent="0.25">
      <c r="A240" s="49">
        <f>'A) Base RI'!A242</f>
        <v>5803</v>
      </c>
      <c r="B240" s="294" t="str">
        <f>'A) Base RI'!B242</f>
        <v>Vulliens</v>
      </c>
      <c r="C240" s="10">
        <f>'B) D RI'!Y242</f>
        <v>131189.95000000001</v>
      </c>
      <c r="D240" s="437">
        <f>'B) D RI'!Z242</f>
        <v>0</v>
      </c>
      <c r="E240" s="10">
        <f t="shared" si="12"/>
        <v>131189.95000000001</v>
      </c>
      <c r="F240" s="437">
        <f>'B) D RI'!U242</f>
        <v>16546.34632030463</v>
      </c>
      <c r="G240" s="267">
        <f t="shared" si="13"/>
        <v>7.928635570682574</v>
      </c>
      <c r="H240" s="55">
        <f t="shared" si="14"/>
        <v>65594.975000000006</v>
      </c>
      <c r="I240" s="428">
        <f t="shared" si="15"/>
        <v>3.964317785341287</v>
      </c>
    </row>
    <row r="241" spans="1:9" x14ac:dyDescent="0.25">
      <c r="A241" s="49">
        <f>'A) Base RI'!A243</f>
        <v>5804</v>
      </c>
      <c r="B241" s="294" t="str">
        <f>'A) Base RI'!B243</f>
        <v>Jorat-Menthue</v>
      </c>
      <c r="C241" s="10">
        <f>'B) D RI'!Y243</f>
        <v>96867.950000000012</v>
      </c>
      <c r="D241" s="437">
        <f>'B) D RI'!Z243</f>
        <v>5038.1000000000004</v>
      </c>
      <c r="E241" s="10">
        <f t="shared" si="12"/>
        <v>101906.05000000002</v>
      </c>
      <c r="F241" s="437">
        <f>'B) D RI'!U243</f>
        <v>47504.398266419383</v>
      </c>
      <c r="G241" s="267">
        <f t="shared" si="13"/>
        <v>2.1451918920955344</v>
      </c>
      <c r="H241" s="55">
        <f t="shared" si="14"/>
        <v>49945.405000000006</v>
      </c>
      <c r="I241" s="428">
        <f t="shared" si="15"/>
        <v>1.0513848574586864</v>
      </c>
    </row>
    <row r="242" spans="1:9" x14ac:dyDescent="0.25">
      <c r="A242" s="49">
        <f>'A) Base RI'!A244</f>
        <v>5805</v>
      </c>
      <c r="B242" s="294" t="str">
        <f>'A) Base RI'!B244</f>
        <v>Oron</v>
      </c>
      <c r="C242" s="10">
        <f>'B) D RI'!Y244</f>
        <v>1190272.55</v>
      </c>
      <c r="D242" s="437">
        <f>'B) D RI'!Z244</f>
        <v>71863.5</v>
      </c>
      <c r="E242" s="10">
        <f t="shared" si="12"/>
        <v>1262136.05</v>
      </c>
      <c r="F242" s="437">
        <f>'B) D RI'!U244</f>
        <v>152415.01875763744</v>
      </c>
      <c r="G242" s="267">
        <f t="shared" si="13"/>
        <v>8.280916541479316</v>
      </c>
      <c r="H242" s="55">
        <f t="shared" si="14"/>
        <v>616695.32500000007</v>
      </c>
      <c r="I242" s="428">
        <f t="shared" si="15"/>
        <v>4.0461585087007563</v>
      </c>
    </row>
    <row r="243" spans="1:9" x14ac:dyDescent="0.25">
      <c r="A243" s="49">
        <f>'A) Base RI'!A245</f>
        <v>5806</v>
      </c>
      <c r="B243" s="294" t="str">
        <f>'A) Base RI'!B245</f>
        <v>Jorat-Mézières</v>
      </c>
      <c r="C243" s="10">
        <f>'B) D RI'!Y245</f>
        <v>659160.94999999995</v>
      </c>
      <c r="D243" s="437">
        <f>'B) D RI'!Z245</f>
        <v>38920.85</v>
      </c>
      <c r="E243" s="10">
        <f t="shared" si="12"/>
        <v>698081.79999999993</v>
      </c>
      <c r="F243" s="437">
        <f>'B) D RI'!U245</f>
        <v>89827.60291631594</v>
      </c>
      <c r="G243" s="267">
        <f t="shared" si="13"/>
        <v>7.771350646530534</v>
      </c>
      <c r="H243" s="55">
        <f t="shared" si="14"/>
        <v>341256.73</v>
      </c>
      <c r="I243" s="428">
        <f t="shared" si="15"/>
        <v>3.7990185524366855</v>
      </c>
    </row>
    <row r="244" spans="1:9" x14ac:dyDescent="0.25">
      <c r="A244" s="49">
        <f>'A) Base RI'!A246</f>
        <v>5812</v>
      </c>
      <c r="B244" s="294" t="str">
        <f>'A) Base RI'!B246</f>
        <v>Champtauroz</v>
      </c>
      <c r="C244" s="10">
        <f>'B) D RI'!Y246</f>
        <v>20903.350000000002</v>
      </c>
      <c r="D244" s="437">
        <f>'B) D RI'!Z246</f>
        <v>0</v>
      </c>
      <c r="E244" s="10">
        <f t="shared" si="12"/>
        <v>20903.350000000002</v>
      </c>
      <c r="F244" s="437">
        <f>'B) D RI'!U246</f>
        <v>2432.9524302206905</v>
      </c>
      <c r="G244" s="267">
        <f t="shared" si="13"/>
        <v>8.5917627243142931</v>
      </c>
      <c r="H244" s="55">
        <f t="shared" si="14"/>
        <v>10451.675000000001</v>
      </c>
      <c r="I244" s="428">
        <f t="shared" si="15"/>
        <v>4.2958813621571466</v>
      </c>
    </row>
    <row r="245" spans="1:9" x14ac:dyDescent="0.25">
      <c r="A245" s="49">
        <f>'A) Base RI'!A247</f>
        <v>5813</v>
      </c>
      <c r="B245" s="294" t="str">
        <f>'A) Base RI'!B247</f>
        <v>Chevroux</v>
      </c>
      <c r="C245" s="10">
        <f>'B) D RI'!Y247</f>
        <v>172556.1</v>
      </c>
      <c r="D245" s="437">
        <f>'B) D RI'!Z247</f>
        <v>0</v>
      </c>
      <c r="E245" s="10">
        <f t="shared" si="12"/>
        <v>172556.1</v>
      </c>
      <c r="F245" s="437">
        <f>'B) D RI'!U247</f>
        <v>12841.233936581375</v>
      </c>
      <c r="G245" s="267">
        <f t="shared" si="13"/>
        <v>13.437657226104418</v>
      </c>
      <c r="H245" s="55">
        <f t="shared" si="14"/>
        <v>86278.05</v>
      </c>
      <c r="I245" s="428">
        <f t="shared" si="15"/>
        <v>6.7188286130522092</v>
      </c>
    </row>
    <row r="246" spans="1:9" x14ac:dyDescent="0.25">
      <c r="A246" s="49">
        <f>'A) Base RI'!A248</f>
        <v>5816</v>
      </c>
      <c r="B246" s="294" t="str">
        <f>'A) Base RI'!B248</f>
        <v>Corcelles-près-Payerne</v>
      </c>
      <c r="C246" s="10">
        <f>'B) D RI'!Y248</f>
        <v>256784.1</v>
      </c>
      <c r="D246" s="437">
        <f>'B) D RI'!Z248</f>
        <v>7944.55</v>
      </c>
      <c r="E246" s="10">
        <f t="shared" si="12"/>
        <v>264728.65000000002</v>
      </c>
      <c r="F246" s="437">
        <f>'B) D RI'!U248</f>
        <v>55328.106299465391</v>
      </c>
      <c r="G246" s="267">
        <f t="shared" si="13"/>
        <v>4.784704695424538</v>
      </c>
      <c r="H246" s="55">
        <f t="shared" si="14"/>
        <v>130775.41500000001</v>
      </c>
      <c r="I246" s="428">
        <f t="shared" si="15"/>
        <v>2.3636343939222013</v>
      </c>
    </row>
    <row r="247" spans="1:9" x14ac:dyDescent="0.25">
      <c r="A247" s="49">
        <f>'A) Base RI'!A249</f>
        <v>5817</v>
      </c>
      <c r="B247" s="294" t="str">
        <f>'A) Base RI'!B249</f>
        <v>Grandcour</v>
      </c>
      <c r="C247" s="10">
        <f>'B) D RI'!Y249</f>
        <v>266763.15000000002</v>
      </c>
      <c r="D247" s="437">
        <f>'B) D RI'!Z249</f>
        <v>0</v>
      </c>
      <c r="E247" s="10">
        <f t="shared" si="12"/>
        <v>266763.15000000002</v>
      </c>
      <c r="F247" s="437">
        <f>'B) D RI'!U249</f>
        <v>23406.066601684674</v>
      </c>
      <c r="G247" s="267">
        <f t="shared" si="13"/>
        <v>11.397179822636218</v>
      </c>
      <c r="H247" s="55">
        <f t="shared" si="14"/>
        <v>133381.57500000001</v>
      </c>
      <c r="I247" s="428">
        <f t="shared" si="15"/>
        <v>5.6985899113181091</v>
      </c>
    </row>
    <row r="248" spans="1:9" x14ac:dyDescent="0.25">
      <c r="A248" s="49">
        <f>'A) Base RI'!A250</f>
        <v>5819</v>
      </c>
      <c r="B248" s="294" t="str">
        <f>'A) Base RI'!B250</f>
        <v>Henniez</v>
      </c>
      <c r="C248" s="10">
        <f>'B) D RI'!Y250</f>
        <v>64838.5</v>
      </c>
      <c r="D248" s="437">
        <f>'B) D RI'!Z250</f>
        <v>19038.25</v>
      </c>
      <c r="E248" s="10">
        <f t="shared" si="12"/>
        <v>83876.75</v>
      </c>
      <c r="F248" s="437">
        <f>'B) D RI'!U250</f>
        <v>12438.573202549422</v>
      </c>
      <c r="G248" s="267">
        <f t="shared" si="13"/>
        <v>6.7432774349720868</v>
      </c>
      <c r="H248" s="55">
        <f t="shared" si="14"/>
        <v>38130.724999999999</v>
      </c>
      <c r="I248" s="428">
        <f t="shared" si="15"/>
        <v>3.0655224179719172</v>
      </c>
    </row>
    <row r="249" spans="1:9" x14ac:dyDescent="0.25">
      <c r="A249" s="49">
        <f>'A) Base RI'!A251</f>
        <v>5821</v>
      </c>
      <c r="B249" s="294" t="str">
        <f>'A) Base RI'!B251</f>
        <v>Missy</v>
      </c>
      <c r="C249" s="10">
        <f>'B) D RI'!Y251</f>
        <v>30212.05</v>
      </c>
      <c r="D249" s="437">
        <f>'B) D RI'!Z251</f>
        <v>0</v>
      </c>
      <c r="E249" s="10">
        <f t="shared" si="12"/>
        <v>30212.05</v>
      </c>
      <c r="F249" s="437">
        <f>'B) D RI'!U251</f>
        <v>8575.631351638991</v>
      </c>
      <c r="G249" s="267">
        <f t="shared" si="13"/>
        <v>3.5230117481934218</v>
      </c>
      <c r="H249" s="55">
        <f t="shared" si="14"/>
        <v>15106.025</v>
      </c>
      <c r="I249" s="428">
        <f t="shared" si="15"/>
        <v>1.7615058740967109</v>
      </c>
    </row>
    <row r="250" spans="1:9" x14ac:dyDescent="0.25">
      <c r="A250" s="49">
        <f>'A) Base RI'!A252</f>
        <v>5822</v>
      </c>
      <c r="B250" s="294" t="str">
        <f>'A) Base RI'!B252</f>
        <v>Payerne</v>
      </c>
      <c r="C250" s="10">
        <f>'B) D RI'!Y252</f>
        <v>1443765.3</v>
      </c>
      <c r="D250" s="437">
        <f>'B) D RI'!Z252</f>
        <v>67583.05</v>
      </c>
      <c r="E250" s="10">
        <f t="shared" si="12"/>
        <v>1511348.35</v>
      </c>
      <c r="F250" s="437">
        <f>'B) D RI'!U252</f>
        <v>236916.04439002261</v>
      </c>
      <c r="G250" s="267">
        <f t="shared" si="13"/>
        <v>6.3792570650552713</v>
      </c>
      <c r="H250" s="55">
        <f t="shared" si="14"/>
        <v>742157.56500000006</v>
      </c>
      <c r="I250" s="428">
        <f t="shared" si="15"/>
        <v>3.1325762124333991</v>
      </c>
    </row>
    <row r="251" spans="1:9" x14ac:dyDescent="0.25">
      <c r="A251" s="49">
        <f>'A) Base RI'!A253</f>
        <v>5827</v>
      </c>
      <c r="B251" s="294" t="str">
        <f>'A) Base RI'!B253</f>
        <v>Trey</v>
      </c>
      <c r="C251" s="10">
        <f>'B) D RI'!Y253</f>
        <v>38255.5</v>
      </c>
      <c r="D251" s="437">
        <f>'B) D RI'!Z253</f>
        <v>0</v>
      </c>
      <c r="E251" s="10">
        <f t="shared" si="12"/>
        <v>38255.5</v>
      </c>
      <c r="F251" s="437">
        <f>'B) D RI'!U253</f>
        <v>7081.6159611211069</v>
      </c>
      <c r="G251" s="267">
        <f t="shared" si="13"/>
        <v>5.402086220154712</v>
      </c>
      <c r="H251" s="55">
        <f t="shared" si="14"/>
        <v>19127.75</v>
      </c>
      <c r="I251" s="428">
        <f t="shared" si="15"/>
        <v>2.701043110077356</v>
      </c>
    </row>
    <row r="252" spans="1:9" x14ac:dyDescent="0.25">
      <c r="A252" s="49">
        <f>'A) Base RI'!A254</f>
        <v>5828</v>
      </c>
      <c r="B252" s="294" t="str">
        <f>'A) Base RI'!B254</f>
        <v>Treytorrens (Payerne)</v>
      </c>
      <c r="C252" s="10">
        <f>'B) D RI'!Y254</f>
        <v>21875.9</v>
      </c>
      <c r="D252" s="437">
        <f>'B) D RI'!Z254</f>
        <v>0</v>
      </c>
      <c r="E252" s="10">
        <f t="shared" si="12"/>
        <v>21875.9</v>
      </c>
      <c r="F252" s="437">
        <f>'B) D RI'!U254</f>
        <v>2673.2421559488716</v>
      </c>
      <c r="G252" s="267">
        <f t="shared" si="13"/>
        <v>8.1832840886930853</v>
      </c>
      <c r="H252" s="55">
        <f t="shared" si="14"/>
        <v>10937.95</v>
      </c>
      <c r="I252" s="428">
        <f t="shared" si="15"/>
        <v>4.0916420443465427</v>
      </c>
    </row>
    <row r="253" spans="1:9" x14ac:dyDescent="0.25">
      <c r="A253" s="49">
        <f>'A) Base RI'!A255</f>
        <v>5830</v>
      </c>
      <c r="B253" s="294" t="str">
        <f>'A) Base RI'!B255</f>
        <v>Villarzel</v>
      </c>
      <c r="C253" s="10">
        <f>'B) D RI'!Y255</f>
        <v>58088.15</v>
      </c>
      <c r="D253" s="437">
        <f>'B) D RI'!Z255</f>
        <v>0</v>
      </c>
      <c r="E253" s="10">
        <f t="shared" si="12"/>
        <v>58088.15</v>
      </c>
      <c r="F253" s="437">
        <f>'B) D RI'!U255</f>
        <v>12117.556810814382</v>
      </c>
      <c r="G253" s="267">
        <f t="shared" si="13"/>
        <v>4.7937179834930834</v>
      </c>
      <c r="H253" s="55">
        <f t="shared" si="14"/>
        <v>29044.075000000001</v>
      </c>
      <c r="I253" s="428">
        <f t="shared" si="15"/>
        <v>2.3968589917465417</v>
      </c>
    </row>
    <row r="254" spans="1:9" x14ac:dyDescent="0.25">
      <c r="A254" s="49">
        <f>'A) Base RI'!A256</f>
        <v>5831</v>
      </c>
      <c r="B254" s="294" t="str">
        <f>'A) Base RI'!B256</f>
        <v>Valbroye</v>
      </c>
      <c r="C254" s="10">
        <f>'B) D RI'!Y256</f>
        <v>677960.8</v>
      </c>
      <c r="D254" s="437">
        <f>'B) D RI'!Z256</f>
        <v>18680.75</v>
      </c>
      <c r="E254" s="10">
        <f t="shared" si="12"/>
        <v>696641.55</v>
      </c>
      <c r="F254" s="437">
        <f>'B) D RI'!U256</f>
        <v>83651.867392232569</v>
      </c>
      <c r="G254" s="267">
        <f t="shared" si="13"/>
        <v>8.3278660921404146</v>
      </c>
      <c r="H254" s="55">
        <f t="shared" si="14"/>
        <v>344584.625</v>
      </c>
      <c r="I254" s="428">
        <f t="shared" si="15"/>
        <v>4.1192699666139925</v>
      </c>
    </row>
    <row r="255" spans="1:9" x14ac:dyDescent="0.25">
      <c r="A255" s="49">
        <f>'A) Base RI'!A257</f>
        <v>5841</v>
      </c>
      <c r="B255" s="294" t="str">
        <f>'A) Base RI'!B257</f>
        <v>Château-d'Oex</v>
      </c>
      <c r="C255" s="10">
        <f>'B) D RI'!Y257</f>
        <v>998135.7</v>
      </c>
      <c r="D255" s="437">
        <f>'B) D RI'!Z257</f>
        <v>5396.8</v>
      </c>
      <c r="E255" s="10">
        <f t="shared" si="12"/>
        <v>1003532.5</v>
      </c>
      <c r="F255" s="437">
        <f>'B) D RI'!U257</f>
        <v>116299.93992329082</v>
      </c>
      <c r="G255" s="267">
        <f t="shared" si="13"/>
        <v>8.6288307686307544</v>
      </c>
      <c r="H255" s="55">
        <f t="shared" si="14"/>
        <v>500686.88999999996</v>
      </c>
      <c r="I255" s="428">
        <f t="shared" si="15"/>
        <v>4.3051345540697898</v>
      </c>
    </row>
    <row r="256" spans="1:9" x14ac:dyDescent="0.25">
      <c r="A256" s="49">
        <f>'A) Base RI'!A258</f>
        <v>5842</v>
      </c>
      <c r="B256" s="294" t="str">
        <f>'A) Base RI'!B258</f>
        <v>Rossinière</v>
      </c>
      <c r="C256" s="10">
        <f>'B) D RI'!Y258</f>
        <v>110703.4</v>
      </c>
      <c r="D256" s="437">
        <f>'B) D RI'!Z258</f>
        <v>0</v>
      </c>
      <c r="E256" s="10">
        <f t="shared" si="12"/>
        <v>110703.4</v>
      </c>
      <c r="F256" s="437">
        <f>'B) D RI'!U258</f>
        <v>16094.216375513943</v>
      </c>
      <c r="G256" s="267">
        <f t="shared" si="13"/>
        <v>6.8784585354790133</v>
      </c>
      <c r="H256" s="55">
        <f t="shared" si="14"/>
        <v>55351.7</v>
      </c>
      <c r="I256" s="428">
        <f t="shared" si="15"/>
        <v>3.4392292677395067</v>
      </c>
    </row>
    <row r="257" spans="1:9" x14ac:dyDescent="0.25">
      <c r="A257" s="49">
        <f>'A) Base RI'!A259</f>
        <v>5843</v>
      </c>
      <c r="B257" s="294" t="str">
        <f>'A) Base RI'!B259</f>
        <v>Rougemont</v>
      </c>
      <c r="C257" s="10">
        <f>'B) D RI'!Y259</f>
        <v>1260194.6499999999</v>
      </c>
      <c r="D257" s="437">
        <f>'B) D RI'!Z259</f>
        <v>0</v>
      </c>
      <c r="E257" s="10">
        <f t="shared" si="12"/>
        <v>1260194.6499999999</v>
      </c>
      <c r="F257" s="437">
        <f>'B) D RI'!U259</f>
        <v>94148.401666926264</v>
      </c>
      <c r="G257" s="267">
        <f t="shared" si="13"/>
        <v>13.385194306943804</v>
      </c>
      <c r="H257" s="55">
        <f t="shared" si="14"/>
        <v>630097.32499999995</v>
      </c>
      <c r="I257" s="428">
        <f t="shared" si="15"/>
        <v>6.692597153471902</v>
      </c>
    </row>
    <row r="258" spans="1:9" x14ac:dyDescent="0.25">
      <c r="A258" s="49">
        <f>'A) Base RI'!A260</f>
        <v>5851</v>
      </c>
      <c r="B258" s="294" t="str">
        <f>'A) Base RI'!B260</f>
        <v>Allaman</v>
      </c>
      <c r="C258" s="10">
        <f>'B) D RI'!Y260</f>
        <v>541529.69999999995</v>
      </c>
      <c r="D258" s="437">
        <f>'B) D RI'!Z260</f>
        <v>45630.25</v>
      </c>
      <c r="E258" s="10">
        <f t="shared" si="12"/>
        <v>587159.94999999995</v>
      </c>
      <c r="F258" s="437">
        <f>'B) D RI'!U260</f>
        <v>28833.689592297927</v>
      </c>
      <c r="G258" s="267">
        <f t="shared" si="13"/>
        <v>20.363677292164596</v>
      </c>
      <c r="H258" s="55">
        <f t="shared" si="14"/>
        <v>284453.92499999999</v>
      </c>
      <c r="I258" s="428">
        <f t="shared" si="15"/>
        <v>9.8653321521496675</v>
      </c>
    </row>
    <row r="259" spans="1:9" x14ac:dyDescent="0.25">
      <c r="A259" s="49">
        <f>'A) Base RI'!A261</f>
        <v>5852</v>
      </c>
      <c r="B259" s="294" t="str">
        <f>'A) Base RI'!B261</f>
        <v>Bursinel</v>
      </c>
      <c r="C259" s="10">
        <f>'B) D RI'!Y261</f>
        <v>306584.5</v>
      </c>
      <c r="D259" s="437">
        <f>'B) D RI'!Z261</f>
        <v>10718.8</v>
      </c>
      <c r="E259" s="10">
        <f t="shared" si="12"/>
        <v>317303.3</v>
      </c>
      <c r="F259" s="437">
        <f>'B) D RI'!U261</f>
        <v>39695.951591324636</v>
      </c>
      <c r="G259" s="267">
        <f t="shared" si="13"/>
        <v>7.9933415696059331</v>
      </c>
      <c r="H259" s="55">
        <f t="shared" si="14"/>
        <v>156507.89000000001</v>
      </c>
      <c r="I259" s="428">
        <f t="shared" si="15"/>
        <v>3.9426662852492012</v>
      </c>
    </row>
    <row r="260" spans="1:9" x14ac:dyDescent="0.25">
      <c r="A260" s="49">
        <f>'A) Base RI'!A262</f>
        <v>5853</v>
      </c>
      <c r="B260" s="294" t="str">
        <f>'A) Base RI'!B262</f>
        <v>Bursins</v>
      </c>
      <c r="C260" s="10">
        <f>'B) D RI'!Y262</f>
        <v>271927.5</v>
      </c>
      <c r="D260" s="437">
        <f>'B) D RI'!Z262</f>
        <v>64233</v>
      </c>
      <c r="E260" s="10">
        <f t="shared" si="12"/>
        <v>336160.5</v>
      </c>
      <c r="F260" s="437">
        <f>'B) D RI'!U262</f>
        <v>36570.93565140845</v>
      </c>
      <c r="G260" s="267">
        <f t="shared" si="13"/>
        <v>9.1920125644106534</v>
      </c>
      <c r="H260" s="55">
        <f t="shared" si="14"/>
        <v>155233.65</v>
      </c>
      <c r="I260" s="428">
        <f t="shared" si="15"/>
        <v>4.2447273288186027</v>
      </c>
    </row>
    <row r="261" spans="1:9" x14ac:dyDescent="0.25">
      <c r="A261" s="49">
        <f>'A) Base RI'!A263</f>
        <v>5854</v>
      </c>
      <c r="B261" s="294" t="str">
        <f>'A) Base RI'!B263</f>
        <v>Burtigny</v>
      </c>
      <c r="C261" s="10">
        <f>'B) D RI'!Y263</f>
        <v>210505.65</v>
      </c>
      <c r="D261" s="437">
        <f>'B) D RI'!Z263</f>
        <v>23521.05</v>
      </c>
      <c r="E261" s="10">
        <f t="shared" si="12"/>
        <v>234026.69999999998</v>
      </c>
      <c r="F261" s="437">
        <f>'B) D RI'!U263</f>
        <v>15186.776169765042</v>
      </c>
      <c r="G261" s="267">
        <f t="shared" si="13"/>
        <v>15.409899861823055</v>
      </c>
      <c r="H261" s="55">
        <f t="shared" si="14"/>
        <v>112309.14</v>
      </c>
      <c r="I261" s="428">
        <f t="shared" si="15"/>
        <v>7.3951929457940748</v>
      </c>
    </row>
    <row r="262" spans="1:9" x14ac:dyDescent="0.25">
      <c r="A262" s="49">
        <f>'A) Base RI'!A264</f>
        <v>5855</v>
      </c>
      <c r="B262" s="294" t="str">
        <f>'A) Base RI'!B264</f>
        <v>Dully</v>
      </c>
      <c r="C262" s="10">
        <f>'B) D RI'!Y264</f>
        <v>592479.79999999993</v>
      </c>
      <c r="D262" s="437">
        <f>'B) D RI'!Z264</f>
        <v>1160.95</v>
      </c>
      <c r="E262" s="10">
        <f t="shared" ref="E262:E313" si="16">C262+D262</f>
        <v>593640.74999999988</v>
      </c>
      <c r="F262" s="437">
        <f>'B) D RI'!U264</f>
        <v>91369.635498396179</v>
      </c>
      <c r="G262" s="267">
        <f t="shared" ref="G262:G313" si="17">E262/F262</f>
        <v>6.4971338318452645</v>
      </c>
      <c r="H262" s="55">
        <f t="shared" ref="H262:H313" si="18">(C262*$C$4)+(D262*$D$4)</f>
        <v>296588.18499999994</v>
      </c>
      <c r="I262" s="428">
        <f t="shared" ref="I262:I313" si="19">H262/F262</f>
        <v>3.2460256996998305</v>
      </c>
    </row>
    <row r="263" spans="1:9" x14ac:dyDescent="0.25">
      <c r="A263" s="49">
        <f>'A) Base RI'!A265</f>
        <v>5856</v>
      </c>
      <c r="B263" s="294" t="str">
        <f>'A) Base RI'!B265</f>
        <v>Essertines-sur-Rolle</v>
      </c>
      <c r="C263" s="10">
        <f>'B) D RI'!Y265</f>
        <v>357121.6</v>
      </c>
      <c r="D263" s="437">
        <f>'B) D RI'!Z265</f>
        <v>11104.25</v>
      </c>
      <c r="E263" s="10">
        <f t="shared" si="16"/>
        <v>368225.85</v>
      </c>
      <c r="F263" s="437">
        <f>'B) D RI'!U265</f>
        <v>37403.277675115321</v>
      </c>
      <c r="G263" s="267">
        <f t="shared" si="17"/>
        <v>9.8447481848625085</v>
      </c>
      <c r="H263" s="55">
        <f t="shared" si="18"/>
        <v>181892.07499999998</v>
      </c>
      <c r="I263" s="428">
        <f t="shared" si="19"/>
        <v>4.862998279988016</v>
      </c>
    </row>
    <row r="264" spans="1:9" x14ac:dyDescent="0.25">
      <c r="A264" s="49">
        <f>'A) Base RI'!A266</f>
        <v>5857</v>
      </c>
      <c r="B264" s="294" t="str">
        <f>'A) Base RI'!B266</f>
        <v>Gilly</v>
      </c>
      <c r="C264" s="10">
        <f>'B) D RI'!Y266</f>
        <v>359409.80000000005</v>
      </c>
      <c r="D264" s="437">
        <f>'B) D RI'!Z266</f>
        <v>85330</v>
      </c>
      <c r="E264" s="10">
        <f t="shared" si="16"/>
        <v>444739.80000000005</v>
      </c>
      <c r="F264" s="437">
        <f>'B) D RI'!U266</f>
        <v>88640.687774331382</v>
      </c>
      <c r="G264" s="267">
        <f t="shared" si="17"/>
        <v>5.0173324594711461</v>
      </c>
      <c r="H264" s="55">
        <f t="shared" si="18"/>
        <v>205303.90000000002</v>
      </c>
      <c r="I264" s="428">
        <f t="shared" si="19"/>
        <v>2.3161361351649172</v>
      </c>
    </row>
    <row r="265" spans="1:9" x14ac:dyDescent="0.25">
      <c r="A265" s="49">
        <f>'A) Base RI'!A267</f>
        <v>5858</v>
      </c>
      <c r="B265" s="294" t="str">
        <f>'A) Base RI'!B267</f>
        <v>Luins</v>
      </c>
      <c r="C265" s="10">
        <f>'B) D RI'!Y267</f>
        <v>177968.65</v>
      </c>
      <c r="D265" s="437">
        <f>'B) D RI'!Z267</f>
        <v>7432.25</v>
      </c>
      <c r="E265" s="10">
        <f t="shared" si="16"/>
        <v>185400.9</v>
      </c>
      <c r="F265" s="437">
        <f>'B) D RI'!U267</f>
        <v>43780.812152194871</v>
      </c>
      <c r="G265" s="267">
        <f t="shared" si="17"/>
        <v>4.2347524151788782</v>
      </c>
      <c r="H265" s="55">
        <f t="shared" si="18"/>
        <v>91214</v>
      </c>
      <c r="I265" s="428">
        <f t="shared" si="19"/>
        <v>2.0834241192902847</v>
      </c>
    </row>
    <row r="266" spans="1:9" x14ac:dyDescent="0.25">
      <c r="A266" s="49">
        <f>'A) Base RI'!A268</f>
        <v>5859</v>
      </c>
      <c r="B266" s="294" t="str">
        <f>'A) Base RI'!B268</f>
        <v>Mont-sur-Rolle</v>
      </c>
      <c r="C266" s="10">
        <f>'B) D RI'!Y268</f>
        <v>476091.25</v>
      </c>
      <c r="D266" s="437">
        <f>'B) D RI'!Z268</f>
        <v>71576.649999999994</v>
      </c>
      <c r="E266" s="10">
        <f t="shared" si="16"/>
        <v>547667.9</v>
      </c>
      <c r="F266" s="437">
        <f>'B) D RI'!U268</f>
        <v>142403.85565354835</v>
      </c>
      <c r="G266" s="267">
        <f t="shared" si="17"/>
        <v>3.8458783119778084</v>
      </c>
      <c r="H266" s="55">
        <f t="shared" si="18"/>
        <v>259518.62</v>
      </c>
      <c r="I266" s="428">
        <f t="shared" si="19"/>
        <v>1.822412875051487</v>
      </c>
    </row>
    <row r="267" spans="1:9" x14ac:dyDescent="0.25">
      <c r="A267" s="49">
        <f>'A) Base RI'!A269</f>
        <v>5860</v>
      </c>
      <c r="B267" s="294" t="str">
        <f>'A) Base RI'!B269</f>
        <v>Perroy</v>
      </c>
      <c r="C267" s="10">
        <f>'B) D RI'!Y269</f>
        <v>1101446.3999999999</v>
      </c>
      <c r="D267" s="437">
        <f>'B) D RI'!Z269</f>
        <v>18029.7</v>
      </c>
      <c r="E267" s="10">
        <f t="shared" si="16"/>
        <v>1119476.0999999999</v>
      </c>
      <c r="F267" s="437">
        <f>'B) D RI'!U269</f>
        <v>95160.687801613312</v>
      </c>
      <c r="G267" s="267">
        <f t="shared" si="17"/>
        <v>11.764060620640247</v>
      </c>
      <c r="H267" s="55">
        <f t="shared" si="18"/>
        <v>556132.11</v>
      </c>
      <c r="I267" s="428">
        <f t="shared" si="19"/>
        <v>5.8441371415830767</v>
      </c>
    </row>
    <row r="268" spans="1:9" x14ac:dyDescent="0.25">
      <c r="A268" s="49">
        <f>'A) Base RI'!A270</f>
        <v>5861</v>
      </c>
      <c r="B268" s="294" t="str">
        <f>'A) Base RI'!B270</f>
        <v>Rolle</v>
      </c>
      <c r="C268" s="10">
        <f>'B) D RI'!Y270</f>
        <v>1513625.45</v>
      </c>
      <c r="D268" s="437">
        <f>'B) D RI'!Z270</f>
        <v>813428.4</v>
      </c>
      <c r="E268" s="10">
        <f t="shared" si="16"/>
        <v>2327053.85</v>
      </c>
      <c r="F268" s="437">
        <f>'B) D RI'!U270</f>
        <v>574229.10238061741</v>
      </c>
      <c r="G268" s="267">
        <f t="shared" si="17"/>
        <v>4.0524833038809556</v>
      </c>
      <c r="H268" s="55">
        <f t="shared" si="18"/>
        <v>1000841.245</v>
      </c>
      <c r="I268" s="428">
        <f t="shared" si="19"/>
        <v>1.7429302012920453</v>
      </c>
    </row>
    <row r="269" spans="1:9" x14ac:dyDescent="0.25">
      <c r="A269" s="49">
        <f>'A) Base RI'!A271</f>
        <v>5862</v>
      </c>
      <c r="B269" s="294" t="str">
        <f>'A) Base RI'!B271</f>
        <v>Tartegnin</v>
      </c>
      <c r="C269" s="10">
        <f>'B) D RI'!Y271</f>
        <v>45796.4</v>
      </c>
      <c r="D269" s="437">
        <f>'B) D RI'!Z271</f>
        <v>5277.5</v>
      </c>
      <c r="E269" s="10">
        <f t="shared" si="16"/>
        <v>51073.9</v>
      </c>
      <c r="F269" s="437">
        <f>'B) D RI'!U271</f>
        <v>12235.59571867773</v>
      </c>
      <c r="G269" s="267">
        <f t="shared" si="17"/>
        <v>4.1742062400799416</v>
      </c>
      <c r="H269" s="55">
        <f t="shared" si="18"/>
        <v>24481.45</v>
      </c>
      <c r="I269" s="428">
        <f t="shared" si="19"/>
        <v>2.0008384195490279</v>
      </c>
    </row>
    <row r="270" spans="1:9" x14ac:dyDescent="0.25">
      <c r="A270" s="49">
        <f>'A) Base RI'!A272</f>
        <v>5863</v>
      </c>
      <c r="B270" s="294" t="str">
        <f>'A) Base RI'!B272</f>
        <v>Vinzel</v>
      </c>
      <c r="C270" s="10">
        <f>'B) D RI'!Y272</f>
        <v>55838</v>
      </c>
      <c r="D270" s="437">
        <f>'B) D RI'!Z272</f>
        <v>19069.650000000001</v>
      </c>
      <c r="E270" s="10">
        <f t="shared" si="16"/>
        <v>74907.649999999994</v>
      </c>
      <c r="F270" s="437">
        <f>'B) D RI'!U272</f>
        <v>22394.635794374353</v>
      </c>
      <c r="G270" s="267">
        <f t="shared" si="17"/>
        <v>3.3448925308630013</v>
      </c>
      <c r="H270" s="55">
        <f t="shared" si="18"/>
        <v>33639.895000000004</v>
      </c>
      <c r="I270" s="428">
        <f t="shared" si="19"/>
        <v>1.5021407496365946</v>
      </c>
    </row>
    <row r="271" spans="1:9" x14ac:dyDescent="0.25">
      <c r="A271" s="49">
        <f>'A) Base RI'!A273</f>
        <v>5871</v>
      </c>
      <c r="B271" s="294" t="str">
        <f>'A) Base RI'!B273</f>
        <v>L'Abbaye</v>
      </c>
      <c r="C271" s="10">
        <f>'B) D RI'!Y273</f>
        <v>175808.95</v>
      </c>
      <c r="D271" s="437">
        <f>'B) D RI'!Z273</f>
        <v>637841.15</v>
      </c>
      <c r="E271" s="10">
        <f t="shared" si="16"/>
        <v>813650.10000000009</v>
      </c>
      <c r="F271" s="437">
        <f>'B) D RI'!U273</f>
        <v>44671.831166364944</v>
      </c>
      <c r="G271" s="267">
        <f t="shared" si="17"/>
        <v>18.213941062094339</v>
      </c>
      <c r="H271" s="55">
        <f t="shared" si="18"/>
        <v>279256.82</v>
      </c>
      <c r="I271" s="428">
        <f t="shared" si="19"/>
        <v>6.2512955638644758</v>
      </c>
    </row>
    <row r="272" spans="1:9" x14ac:dyDescent="0.25">
      <c r="A272" s="49">
        <f>'A) Base RI'!A274</f>
        <v>5872</v>
      </c>
      <c r="B272" s="294" t="str">
        <f>'A) Base RI'!B274</f>
        <v>Le Chenit</v>
      </c>
      <c r="C272" s="10">
        <f>'B) D RI'!Y274</f>
        <v>987676.45</v>
      </c>
      <c r="D272" s="437">
        <f>'B) D RI'!Z274</f>
        <v>6604922.2999999998</v>
      </c>
      <c r="E272" s="10">
        <f t="shared" si="16"/>
        <v>7592598.75</v>
      </c>
      <c r="F272" s="437">
        <f>'B) D RI'!U274</f>
        <v>169487.47890245376</v>
      </c>
      <c r="G272" s="267">
        <f t="shared" si="17"/>
        <v>44.797402139480866</v>
      </c>
      <c r="H272" s="55">
        <f t="shared" si="18"/>
        <v>2475314.915</v>
      </c>
      <c r="I272" s="428">
        <f t="shared" si="19"/>
        <v>14.604706678212107</v>
      </c>
    </row>
    <row r="273" spans="1:9" x14ac:dyDescent="0.25">
      <c r="A273" s="49">
        <f>'A) Base RI'!A275</f>
        <v>5873</v>
      </c>
      <c r="B273" s="294" t="str">
        <f>'A) Base RI'!B275</f>
        <v>Le Lieu</v>
      </c>
      <c r="C273" s="10">
        <f>'B) D RI'!Y275</f>
        <v>128914.65</v>
      </c>
      <c r="D273" s="437">
        <f>'B) D RI'!Z275</f>
        <v>740316.8</v>
      </c>
      <c r="E273" s="10">
        <f t="shared" si="16"/>
        <v>869231.45000000007</v>
      </c>
      <c r="F273" s="437">
        <f>'B) D RI'!U275</f>
        <v>29965.351280448966</v>
      </c>
      <c r="G273" s="267">
        <f t="shared" si="17"/>
        <v>29.007884535200969</v>
      </c>
      <c r="H273" s="55">
        <f t="shared" si="18"/>
        <v>286552.36499999999</v>
      </c>
      <c r="I273" s="428">
        <f t="shared" si="19"/>
        <v>9.5627901144266723</v>
      </c>
    </row>
    <row r="274" spans="1:9" x14ac:dyDescent="0.25">
      <c r="A274" s="49">
        <f>'A) Base RI'!A276</f>
        <v>5881</v>
      </c>
      <c r="B274" s="294" t="str">
        <f>'A) Base RI'!B276</f>
        <v>Blonay</v>
      </c>
      <c r="C274" s="10">
        <f>'B) D RI'!Y276</f>
        <v>1345702.35</v>
      </c>
      <c r="D274" s="437">
        <f>'B) D RI'!Z276</f>
        <v>85521.8</v>
      </c>
      <c r="E274" s="10">
        <f t="shared" si="16"/>
        <v>1431224.1500000001</v>
      </c>
      <c r="F274" s="437">
        <f>'B) D RI'!U276</f>
        <v>329876.03226063965</v>
      </c>
      <c r="G274" s="267">
        <f t="shared" si="17"/>
        <v>4.3386727437935537</v>
      </c>
      <c r="H274" s="55">
        <f t="shared" si="18"/>
        <v>698507.71500000008</v>
      </c>
      <c r="I274" s="428">
        <f t="shared" si="19"/>
        <v>2.1174854996682493</v>
      </c>
    </row>
    <row r="275" spans="1:9" x14ac:dyDescent="0.25">
      <c r="A275" s="49">
        <f>'A) Base RI'!A277</f>
        <v>5882</v>
      </c>
      <c r="B275" s="294" t="str">
        <f>'A) Base RI'!B277</f>
        <v>Chardonne</v>
      </c>
      <c r="C275" s="10">
        <f>'B) D RI'!Y277</f>
        <v>1880478.9</v>
      </c>
      <c r="D275" s="437">
        <f>'B) D RI'!Z277</f>
        <v>16142.55</v>
      </c>
      <c r="E275" s="10">
        <f t="shared" si="16"/>
        <v>1896621.45</v>
      </c>
      <c r="F275" s="437">
        <f>'B) D RI'!U277</f>
        <v>160866.12406088383</v>
      </c>
      <c r="G275" s="267">
        <f t="shared" si="17"/>
        <v>11.790061214393255</v>
      </c>
      <c r="H275" s="55">
        <f t="shared" si="18"/>
        <v>945082.21499999997</v>
      </c>
      <c r="I275" s="428">
        <f t="shared" si="19"/>
        <v>5.8749610616733072</v>
      </c>
    </row>
    <row r="276" spans="1:9" x14ac:dyDescent="0.25">
      <c r="A276" s="49">
        <f>'A) Base RI'!A278</f>
        <v>5883</v>
      </c>
      <c r="B276" s="294" t="str">
        <f>'A) Base RI'!B278</f>
        <v>Corseaux</v>
      </c>
      <c r="C276" s="10">
        <f>'B) D RI'!Y278</f>
        <v>3486223.55</v>
      </c>
      <c r="D276" s="437">
        <f>'B) D RI'!Z278</f>
        <v>3596.1</v>
      </c>
      <c r="E276" s="10">
        <f t="shared" si="16"/>
        <v>3489819.65</v>
      </c>
      <c r="F276" s="437">
        <f>'B) D RI'!U278</f>
        <v>155219.69320868849</v>
      </c>
      <c r="G276" s="267">
        <f t="shared" si="17"/>
        <v>22.483098490009485</v>
      </c>
      <c r="H276" s="55">
        <f t="shared" si="18"/>
        <v>1744190.605</v>
      </c>
      <c r="I276" s="428">
        <f t="shared" si="19"/>
        <v>11.236915683469269</v>
      </c>
    </row>
    <row r="277" spans="1:9" x14ac:dyDescent="0.25">
      <c r="A277" s="49">
        <f>'A) Base RI'!A279</f>
        <v>5884</v>
      </c>
      <c r="B277" s="294" t="str">
        <f>'A) Base RI'!B279</f>
        <v>Corsier-sur-Vevey</v>
      </c>
      <c r="C277" s="10">
        <f>'B) D RI'!Y279</f>
        <v>566493</v>
      </c>
      <c r="D277" s="437">
        <f>'B) D RI'!Z279</f>
        <v>423155.85</v>
      </c>
      <c r="E277" s="10">
        <f t="shared" si="16"/>
        <v>989648.85</v>
      </c>
      <c r="F277" s="437">
        <f>'B) D RI'!U279</f>
        <v>113730.49763913798</v>
      </c>
      <c r="G277" s="267">
        <f t="shared" si="17"/>
        <v>8.7017015712013652</v>
      </c>
      <c r="H277" s="55">
        <f t="shared" si="18"/>
        <v>410193.255</v>
      </c>
      <c r="I277" s="428">
        <f t="shared" si="19"/>
        <v>3.6067129179503437</v>
      </c>
    </row>
    <row r="278" spans="1:9" x14ac:dyDescent="0.25">
      <c r="A278" s="49">
        <f>'A) Base RI'!A280</f>
        <v>5885</v>
      </c>
      <c r="B278" s="294" t="str">
        <f>'A) Base RI'!B280</f>
        <v>Jongny</v>
      </c>
      <c r="C278" s="10">
        <f>'B) D RI'!Y280</f>
        <v>1261651.75</v>
      </c>
      <c r="D278" s="437">
        <f>'B) D RI'!Z280</f>
        <v>1646.75</v>
      </c>
      <c r="E278" s="10">
        <f t="shared" si="16"/>
        <v>1263298.5</v>
      </c>
      <c r="F278" s="437">
        <f>'B) D RI'!U280</f>
        <v>83488.016188395792</v>
      </c>
      <c r="G278" s="267">
        <f t="shared" si="17"/>
        <v>15.131495005813649</v>
      </c>
      <c r="H278" s="55">
        <f t="shared" si="18"/>
        <v>631319.9</v>
      </c>
      <c r="I278" s="428">
        <f t="shared" si="19"/>
        <v>7.5618026253658757</v>
      </c>
    </row>
    <row r="279" spans="1:9" x14ac:dyDescent="0.25">
      <c r="A279" s="49">
        <f>'A) Base RI'!A281</f>
        <v>5886</v>
      </c>
      <c r="B279" s="294" t="str">
        <f>'A) Base RI'!B281</f>
        <v>Montreux</v>
      </c>
      <c r="C279" s="10">
        <f>'B) D RI'!Y281</f>
        <v>23429848.600000001</v>
      </c>
      <c r="D279" s="437">
        <f>'B) D RI'!Z281</f>
        <v>935037.7</v>
      </c>
      <c r="E279" s="10">
        <f t="shared" si="16"/>
        <v>24364886.300000001</v>
      </c>
      <c r="F279" s="437">
        <f>'B) D RI'!U281</f>
        <v>1097840.7322767281</v>
      </c>
      <c r="G279" s="267">
        <f t="shared" si="17"/>
        <v>22.193461750568794</v>
      </c>
      <c r="H279" s="55">
        <f t="shared" si="18"/>
        <v>11995435.610000001</v>
      </c>
      <c r="I279" s="428">
        <f t="shared" si="19"/>
        <v>10.926389645903903</v>
      </c>
    </row>
    <row r="280" spans="1:9" x14ac:dyDescent="0.25">
      <c r="A280" s="49">
        <f>'A) Base RI'!A282</f>
        <v>5888</v>
      </c>
      <c r="B280" s="294" t="str">
        <f>'A) Base RI'!B282</f>
        <v>Saint-Légier-La Chiésaz</v>
      </c>
      <c r="C280" s="10">
        <f>'B) D RI'!Y282</f>
        <v>1843069.45</v>
      </c>
      <c r="D280" s="437">
        <f>'B) D RI'!Z282</f>
        <v>196987.95</v>
      </c>
      <c r="E280" s="10">
        <f t="shared" si="16"/>
        <v>2040057.4</v>
      </c>
      <c r="F280" s="437">
        <f>'B) D RI'!U282</f>
        <v>314313.56949265295</v>
      </c>
      <c r="G280" s="267">
        <f t="shared" si="17"/>
        <v>6.4905164714744714</v>
      </c>
      <c r="H280" s="55">
        <f t="shared" si="18"/>
        <v>980631.11</v>
      </c>
      <c r="I280" s="428">
        <f t="shared" si="19"/>
        <v>3.1199133768958141</v>
      </c>
    </row>
    <row r="281" spans="1:9" x14ac:dyDescent="0.25">
      <c r="A281" s="49">
        <f>'A) Base RI'!A283</f>
        <v>5889</v>
      </c>
      <c r="B281" s="294" t="str">
        <f>'A) Base RI'!B283</f>
        <v>La Tour-de-Peilz</v>
      </c>
      <c r="C281" s="10">
        <f>'B) D RI'!Y283</f>
        <v>8139162.4500000002</v>
      </c>
      <c r="D281" s="437">
        <f>'B) D RI'!Z283</f>
        <v>131618.15</v>
      </c>
      <c r="E281" s="10">
        <f t="shared" si="16"/>
        <v>8270780.6000000006</v>
      </c>
      <c r="F281" s="437">
        <f>'B) D RI'!U283</f>
        <v>638439.35310298624</v>
      </c>
      <c r="G281" s="267">
        <f t="shared" si="17"/>
        <v>12.954684826055587</v>
      </c>
      <c r="H281" s="55">
        <f t="shared" si="18"/>
        <v>4109066.67</v>
      </c>
      <c r="I281" s="428">
        <f t="shared" si="19"/>
        <v>6.4361111983915711</v>
      </c>
    </row>
    <row r="282" spans="1:9" x14ac:dyDescent="0.25">
      <c r="A282" s="49">
        <f>'A) Base RI'!A284</f>
        <v>5890</v>
      </c>
      <c r="B282" s="294" t="str">
        <f>'A) Base RI'!B284</f>
        <v>Vevey</v>
      </c>
      <c r="C282" s="10">
        <f>'B) D RI'!Y284</f>
        <v>7117298.25</v>
      </c>
      <c r="D282" s="437">
        <f>'B) D RI'!Z284</f>
        <v>845604.05</v>
      </c>
      <c r="E282" s="10">
        <f t="shared" si="16"/>
        <v>7962902.2999999998</v>
      </c>
      <c r="F282" s="437">
        <f>'B) D RI'!U284</f>
        <v>913497.60631978849</v>
      </c>
      <c r="G282" s="267">
        <f t="shared" si="17"/>
        <v>8.7169383312126847</v>
      </c>
      <c r="H282" s="55">
        <f t="shared" si="18"/>
        <v>3812330.34</v>
      </c>
      <c r="I282" s="428">
        <f t="shared" si="19"/>
        <v>4.1733336941721726</v>
      </c>
    </row>
    <row r="283" spans="1:9" x14ac:dyDescent="0.25">
      <c r="A283" s="49">
        <f>'A) Base RI'!A285</f>
        <v>5891</v>
      </c>
      <c r="B283" s="294" t="str">
        <f>'A) Base RI'!B285</f>
        <v>Veytaux</v>
      </c>
      <c r="C283" s="10">
        <f>'B) D RI'!Y285</f>
        <v>868594.39999999991</v>
      </c>
      <c r="D283" s="437">
        <f>'B) D RI'!Z285</f>
        <v>0</v>
      </c>
      <c r="E283" s="10">
        <f t="shared" si="16"/>
        <v>868594.39999999991</v>
      </c>
      <c r="F283" s="437">
        <f>'B) D RI'!U285</f>
        <v>36119.381724012419</v>
      </c>
      <c r="G283" s="267">
        <f t="shared" si="17"/>
        <v>24.047875642969608</v>
      </c>
      <c r="H283" s="55">
        <f t="shared" si="18"/>
        <v>434297.19999999995</v>
      </c>
      <c r="I283" s="428">
        <f t="shared" si="19"/>
        <v>12.023937821484804</v>
      </c>
    </row>
    <row r="284" spans="1:9" x14ac:dyDescent="0.25">
      <c r="A284" s="49">
        <f>'A) Base RI'!A286</f>
        <v>5902</v>
      </c>
      <c r="B284" s="294" t="str">
        <f>'A) Base RI'!B286</f>
        <v>Belmont-sur-Yverdon</v>
      </c>
      <c r="C284" s="10">
        <f>'B) D RI'!Y286</f>
        <v>1273.9000000000001</v>
      </c>
      <c r="D284" s="437">
        <f>'B) D RI'!Z286</f>
        <v>0</v>
      </c>
      <c r="E284" s="10">
        <f t="shared" si="16"/>
        <v>1273.9000000000001</v>
      </c>
      <c r="F284" s="437">
        <f>'B) D RI'!U286</f>
        <v>10311.765900330549</v>
      </c>
      <c r="G284" s="267">
        <f t="shared" si="17"/>
        <v>0.12353849110938066</v>
      </c>
      <c r="H284" s="55">
        <f t="shared" si="18"/>
        <v>636.95000000000005</v>
      </c>
      <c r="I284" s="428">
        <f t="shared" si="19"/>
        <v>6.1769245554690329E-2</v>
      </c>
    </row>
    <row r="285" spans="1:9" x14ac:dyDescent="0.25">
      <c r="A285" s="49">
        <f>'A) Base RI'!A287</f>
        <v>5903</v>
      </c>
      <c r="B285" s="294" t="str">
        <f>'A) Base RI'!B287</f>
        <v>Bioley-Magnoux</v>
      </c>
      <c r="C285" s="10">
        <f>'B) D RI'!Y287</f>
        <v>14557.5</v>
      </c>
      <c r="D285" s="437">
        <f>'B) D RI'!Z287</f>
        <v>28151.35</v>
      </c>
      <c r="E285" s="10">
        <f t="shared" si="16"/>
        <v>42708.85</v>
      </c>
      <c r="F285" s="437">
        <f>'B) D RI'!U287</f>
        <v>5438.478399120967</v>
      </c>
      <c r="G285" s="267">
        <f t="shared" si="17"/>
        <v>7.8530881003228998</v>
      </c>
      <c r="H285" s="55">
        <f t="shared" si="18"/>
        <v>15724.154999999999</v>
      </c>
      <c r="I285" s="428">
        <f t="shared" si="19"/>
        <v>2.8912783771544497</v>
      </c>
    </row>
    <row r="286" spans="1:9" x14ac:dyDescent="0.25">
      <c r="A286" s="49">
        <f>'A) Base RI'!A288</f>
        <v>5904</v>
      </c>
      <c r="B286" s="294" t="str">
        <f>'A) Base RI'!B288</f>
        <v>Chamblon</v>
      </c>
      <c r="C286" s="10">
        <f>'B) D RI'!Y288</f>
        <v>49664.7</v>
      </c>
      <c r="D286" s="437">
        <f>'B) D RI'!Z288</f>
        <v>32246.1</v>
      </c>
      <c r="E286" s="10">
        <f t="shared" si="16"/>
        <v>81910.799999999988</v>
      </c>
      <c r="F286" s="437">
        <f>'B) D RI'!U288</f>
        <v>19974.80164727481</v>
      </c>
      <c r="G286" s="267">
        <f t="shared" si="17"/>
        <v>4.1007065525066277</v>
      </c>
      <c r="H286" s="55">
        <f t="shared" si="18"/>
        <v>34506.18</v>
      </c>
      <c r="I286" s="428">
        <f t="shared" si="19"/>
        <v>1.7274854894345211</v>
      </c>
    </row>
    <row r="287" spans="1:9" x14ac:dyDescent="0.25">
      <c r="A287" s="49">
        <f>'A) Base RI'!A289</f>
        <v>5905</v>
      </c>
      <c r="B287" s="294" t="str">
        <f>'A) Base RI'!B289</f>
        <v>Champvent</v>
      </c>
      <c r="C287" s="10">
        <f>'B) D RI'!Y289</f>
        <v>13984.55</v>
      </c>
      <c r="D287" s="437">
        <f>'B) D RI'!Z289</f>
        <v>111915.7</v>
      </c>
      <c r="E287" s="10">
        <f t="shared" si="16"/>
        <v>125900.25</v>
      </c>
      <c r="F287" s="437">
        <f>'B) D RI'!U289</f>
        <v>22958.275896270283</v>
      </c>
      <c r="G287" s="267">
        <f t="shared" si="17"/>
        <v>5.4838721587300592</v>
      </c>
      <c r="H287" s="55">
        <f t="shared" si="18"/>
        <v>40566.985000000001</v>
      </c>
      <c r="I287" s="428">
        <f t="shared" si="19"/>
        <v>1.7669874333460016</v>
      </c>
    </row>
    <row r="288" spans="1:9" x14ac:dyDescent="0.25">
      <c r="A288" s="49">
        <f>'A) Base RI'!A290</f>
        <v>5907</v>
      </c>
      <c r="B288" s="294" t="str">
        <f>'A) Base RI'!B290</f>
        <v>Chavannes-le-Chêne</v>
      </c>
      <c r="C288" s="10">
        <f>'B) D RI'!Y290</f>
        <v>10760.65</v>
      </c>
      <c r="D288" s="437">
        <f>'B) D RI'!Z290</f>
        <v>9747.75</v>
      </c>
      <c r="E288" s="10">
        <f t="shared" si="16"/>
        <v>20508.400000000001</v>
      </c>
      <c r="F288" s="437">
        <f>'B) D RI'!U290</f>
        <v>8069.3635983781451</v>
      </c>
      <c r="G288" s="267">
        <f t="shared" si="17"/>
        <v>2.5415139310517585</v>
      </c>
      <c r="H288" s="55">
        <f t="shared" si="18"/>
        <v>8304.65</v>
      </c>
      <c r="I288" s="428">
        <f t="shared" si="19"/>
        <v>1.029157987337334</v>
      </c>
    </row>
    <row r="289" spans="1:9" x14ac:dyDescent="0.25">
      <c r="A289" s="49">
        <f>'A) Base RI'!A291</f>
        <v>5908</v>
      </c>
      <c r="B289" s="294" t="str">
        <f>'A) Base RI'!B291</f>
        <v>Chêne-Pâquier</v>
      </c>
      <c r="C289" s="10">
        <f>'B) D RI'!Y291</f>
        <v>79819.900000000009</v>
      </c>
      <c r="D289" s="437">
        <f>'B) D RI'!Z291</f>
        <v>297.45</v>
      </c>
      <c r="E289" s="10">
        <f t="shared" si="16"/>
        <v>80117.350000000006</v>
      </c>
      <c r="F289" s="437">
        <f>'B) D RI'!U291</f>
        <v>3150.4766446398044</v>
      </c>
      <c r="G289" s="267">
        <f t="shared" si="17"/>
        <v>25.43023137032646</v>
      </c>
      <c r="H289" s="55">
        <f t="shared" si="18"/>
        <v>39999.185000000005</v>
      </c>
      <c r="I289" s="428">
        <f t="shared" si="19"/>
        <v>12.696232828151352</v>
      </c>
    </row>
    <row r="290" spans="1:9" x14ac:dyDescent="0.25">
      <c r="A290" s="49">
        <f>'A) Base RI'!A292</f>
        <v>5909</v>
      </c>
      <c r="B290" s="294" t="str">
        <f>'A) Base RI'!B292</f>
        <v>Cheseaux-Noréaz</v>
      </c>
      <c r="C290" s="10">
        <f>'B) D RI'!Y292</f>
        <v>173519.05</v>
      </c>
      <c r="D290" s="437">
        <f>'B) D RI'!Z292</f>
        <v>8427.9</v>
      </c>
      <c r="E290" s="10">
        <f t="shared" si="16"/>
        <v>181946.94999999998</v>
      </c>
      <c r="F290" s="437">
        <f>'B) D RI'!U292</f>
        <v>32363.863960310864</v>
      </c>
      <c r="G290" s="267">
        <f t="shared" si="17"/>
        <v>5.6219167841988522</v>
      </c>
      <c r="H290" s="55">
        <f t="shared" si="18"/>
        <v>89287.89499999999</v>
      </c>
      <c r="I290" s="428">
        <f t="shared" si="19"/>
        <v>2.7588762302763787</v>
      </c>
    </row>
    <row r="291" spans="1:9" x14ac:dyDescent="0.25">
      <c r="A291" s="49">
        <f>'A) Base RI'!A293</f>
        <v>5910</v>
      </c>
      <c r="B291" s="294" t="str">
        <f>'A) Base RI'!B293</f>
        <v>Cronay</v>
      </c>
      <c r="C291" s="10">
        <f>'B) D RI'!Y293</f>
        <v>27866.400000000001</v>
      </c>
      <c r="D291" s="437">
        <f>'B) D RI'!Z293</f>
        <v>0</v>
      </c>
      <c r="E291" s="10">
        <f t="shared" si="16"/>
        <v>27866.400000000001</v>
      </c>
      <c r="F291" s="437">
        <f>'B) D RI'!U293</f>
        <v>9609.1535349412279</v>
      </c>
      <c r="G291" s="267">
        <f t="shared" si="17"/>
        <v>2.8999848840661113</v>
      </c>
      <c r="H291" s="55">
        <f t="shared" si="18"/>
        <v>13933.2</v>
      </c>
      <c r="I291" s="428">
        <f t="shared" si="19"/>
        <v>1.4499924420330557</v>
      </c>
    </row>
    <row r="292" spans="1:9" x14ac:dyDescent="0.25">
      <c r="A292" s="49">
        <f>'A) Base RI'!A294</f>
        <v>5911</v>
      </c>
      <c r="B292" s="294" t="str">
        <f>'A) Base RI'!B294</f>
        <v>Cuarny</v>
      </c>
      <c r="C292" s="10">
        <f>'B) D RI'!Y294</f>
        <v>55911.95</v>
      </c>
      <c r="D292" s="437">
        <f>'B) D RI'!Z294</f>
        <v>2766.6</v>
      </c>
      <c r="E292" s="10">
        <f t="shared" si="16"/>
        <v>58678.549999999996</v>
      </c>
      <c r="F292" s="437">
        <f>'B) D RI'!U294</f>
        <v>6836.3467697278311</v>
      </c>
      <c r="G292" s="267">
        <f t="shared" si="17"/>
        <v>8.5833197139495176</v>
      </c>
      <c r="H292" s="55">
        <f t="shared" si="18"/>
        <v>28785.954999999998</v>
      </c>
      <c r="I292" s="428">
        <f t="shared" si="19"/>
        <v>4.2107218913276432</v>
      </c>
    </row>
    <row r="293" spans="1:9" x14ac:dyDescent="0.25">
      <c r="A293" s="49">
        <f>'A) Base RI'!A295</f>
        <v>5912</v>
      </c>
      <c r="B293" s="294" t="str">
        <f>'A) Base RI'!B295</f>
        <v>Démoret</v>
      </c>
      <c r="C293" s="10">
        <f>'B) D RI'!Y295</f>
        <v>0</v>
      </c>
      <c r="D293" s="437">
        <f>'B) D RI'!Z295</f>
        <v>0</v>
      </c>
      <c r="E293" s="10">
        <f t="shared" si="16"/>
        <v>0</v>
      </c>
      <c r="F293" s="437">
        <f>'B) D RI'!U295</f>
        <v>3133.4473385194956</v>
      </c>
      <c r="G293" s="267">
        <f t="shared" si="17"/>
        <v>0</v>
      </c>
      <c r="H293" s="55">
        <f t="shared" si="18"/>
        <v>0</v>
      </c>
      <c r="I293" s="428">
        <f t="shared" si="19"/>
        <v>0</v>
      </c>
    </row>
    <row r="294" spans="1:9" x14ac:dyDescent="0.25">
      <c r="A294" s="49">
        <f>'A) Base RI'!A296</f>
        <v>5913</v>
      </c>
      <c r="B294" s="294" t="str">
        <f>'A) Base RI'!B296</f>
        <v>Donneloye</v>
      </c>
      <c r="C294" s="10">
        <f>'B) D RI'!Y296</f>
        <v>147232.5</v>
      </c>
      <c r="D294" s="437">
        <f>'B) D RI'!Z296</f>
        <v>22459.05</v>
      </c>
      <c r="E294" s="10">
        <f t="shared" si="16"/>
        <v>169691.55</v>
      </c>
      <c r="F294" s="437">
        <f>'B) D RI'!U296</f>
        <v>20110.628715820858</v>
      </c>
      <c r="G294" s="267">
        <f t="shared" si="17"/>
        <v>8.4379037770462695</v>
      </c>
      <c r="H294" s="55">
        <f t="shared" si="18"/>
        <v>80353.964999999997</v>
      </c>
      <c r="I294" s="428">
        <f t="shared" si="19"/>
        <v>3.9955968625081435</v>
      </c>
    </row>
    <row r="295" spans="1:9" x14ac:dyDescent="0.25">
      <c r="A295" s="49">
        <f>'A) Base RI'!A297</f>
        <v>5914</v>
      </c>
      <c r="B295" s="294" t="str">
        <f>'A) Base RI'!B297</f>
        <v>Ependes</v>
      </c>
      <c r="C295" s="10">
        <f>'B) D RI'!Y297</f>
        <v>37790.399999999994</v>
      </c>
      <c r="D295" s="437">
        <f>'B) D RI'!Z297</f>
        <v>12.4</v>
      </c>
      <c r="E295" s="10">
        <f t="shared" si="16"/>
        <v>37802.799999999996</v>
      </c>
      <c r="F295" s="437">
        <f>'B) D RI'!U297</f>
        <v>9482.8279280120751</v>
      </c>
      <c r="G295" s="267">
        <f t="shared" si="17"/>
        <v>3.9864479548691709</v>
      </c>
      <c r="H295" s="55">
        <f t="shared" si="18"/>
        <v>18898.919999999998</v>
      </c>
      <c r="I295" s="428">
        <f t="shared" si="19"/>
        <v>1.9929624520732876</v>
      </c>
    </row>
    <row r="296" spans="1:9" x14ac:dyDescent="0.25">
      <c r="A296" s="49">
        <f>'A) Base RI'!A298</f>
        <v>5919</v>
      </c>
      <c r="B296" s="294" t="str">
        <f>'A) Base RI'!B298</f>
        <v>Mathod</v>
      </c>
      <c r="C296" s="10">
        <f>'B) D RI'!Y298</f>
        <v>209855.25</v>
      </c>
      <c r="D296" s="437">
        <f>'B) D RI'!Z298</f>
        <v>8139.8</v>
      </c>
      <c r="E296" s="10">
        <f t="shared" si="16"/>
        <v>217995.05</v>
      </c>
      <c r="F296" s="437">
        <f>'B) D RI'!U298</f>
        <v>17110.918111251427</v>
      </c>
      <c r="G296" s="267">
        <f t="shared" si="17"/>
        <v>12.740114153001265</v>
      </c>
      <c r="H296" s="55">
        <f t="shared" si="18"/>
        <v>107369.565</v>
      </c>
      <c r="I296" s="428">
        <f t="shared" si="19"/>
        <v>6.2749154838978658</v>
      </c>
    </row>
    <row r="297" spans="1:9" x14ac:dyDescent="0.25">
      <c r="A297" s="49">
        <f>'A) Base RI'!A299</f>
        <v>5921</v>
      </c>
      <c r="B297" s="294" t="str">
        <f>'A) Base RI'!B299</f>
        <v>Molondin</v>
      </c>
      <c r="C297" s="10">
        <f>'B) D RI'!Y299</f>
        <v>21793.8</v>
      </c>
      <c r="D297" s="437">
        <f>'B) D RI'!Z299</f>
        <v>0</v>
      </c>
      <c r="E297" s="10">
        <f t="shared" si="16"/>
        <v>21793.8</v>
      </c>
      <c r="F297" s="437">
        <f>'B) D RI'!U299</f>
        <v>5222.6425850785827</v>
      </c>
      <c r="G297" s="267">
        <f t="shared" si="17"/>
        <v>4.1729449497973023</v>
      </c>
      <c r="H297" s="55">
        <f t="shared" si="18"/>
        <v>10896.9</v>
      </c>
      <c r="I297" s="428">
        <f t="shared" si="19"/>
        <v>2.0864724748986512</v>
      </c>
    </row>
    <row r="298" spans="1:9" x14ac:dyDescent="0.25">
      <c r="A298" s="49">
        <f>'A) Base RI'!A300</f>
        <v>5922</v>
      </c>
      <c r="B298" s="294" t="str">
        <f>'A) Base RI'!B300</f>
        <v>Montagny-près-Yverdon</v>
      </c>
      <c r="C298" s="10">
        <f>'B) D RI'!Y300</f>
        <v>373119.7</v>
      </c>
      <c r="D298" s="437">
        <f>'B) D RI'!Z300</f>
        <v>185044.2</v>
      </c>
      <c r="E298" s="10">
        <f t="shared" si="16"/>
        <v>558163.9</v>
      </c>
      <c r="F298" s="437">
        <f>'B) D RI'!U300</f>
        <v>35584.669450199006</v>
      </c>
      <c r="G298" s="267">
        <f t="shared" si="17"/>
        <v>15.685515943351794</v>
      </c>
      <c r="H298" s="55">
        <f t="shared" si="18"/>
        <v>242073.11000000002</v>
      </c>
      <c r="I298" s="428">
        <f t="shared" si="19"/>
        <v>6.8027359461293582</v>
      </c>
    </row>
    <row r="299" spans="1:9" x14ac:dyDescent="0.25">
      <c r="A299" s="49">
        <f>'A) Base RI'!A301</f>
        <v>5923</v>
      </c>
      <c r="B299" s="294" t="str">
        <f>'A) Base RI'!B301</f>
        <v>Oppens</v>
      </c>
      <c r="C299" s="10">
        <f>'B) D RI'!Y301</f>
        <v>16481.2</v>
      </c>
      <c r="D299" s="437">
        <f>'B) D RI'!Z301</f>
        <v>28113.25</v>
      </c>
      <c r="E299" s="10">
        <f t="shared" si="16"/>
        <v>44594.45</v>
      </c>
      <c r="F299" s="437">
        <f>'B) D RI'!U301</f>
        <v>5170.8107520197709</v>
      </c>
      <c r="G299" s="267">
        <f t="shared" si="17"/>
        <v>8.6242665103496492</v>
      </c>
      <c r="H299" s="55">
        <f t="shared" si="18"/>
        <v>16674.575000000001</v>
      </c>
      <c r="I299" s="428">
        <f t="shared" si="19"/>
        <v>3.2247505854834744</v>
      </c>
    </row>
    <row r="300" spans="1:9" x14ac:dyDescent="0.25">
      <c r="A300" s="49">
        <f>'A) Base RI'!A302</f>
        <v>5924</v>
      </c>
      <c r="B300" s="294" t="str">
        <f>'A) Base RI'!B302</f>
        <v>Orges</v>
      </c>
      <c r="C300" s="10">
        <f>'B) D RI'!Y302</f>
        <v>19738.7</v>
      </c>
      <c r="D300" s="437">
        <f>'B) D RI'!Z302</f>
        <v>39972.85</v>
      </c>
      <c r="E300" s="10">
        <f t="shared" si="16"/>
        <v>59711.55</v>
      </c>
      <c r="F300" s="437">
        <f>'B) D RI'!U302</f>
        <v>10275.510319946678</v>
      </c>
      <c r="G300" s="267">
        <f t="shared" si="17"/>
        <v>5.81105445284686</v>
      </c>
      <c r="H300" s="55">
        <f t="shared" si="18"/>
        <v>21861.205000000002</v>
      </c>
      <c r="I300" s="428">
        <f t="shared" si="19"/>
        <v>2.1275055271525867</v>
      </c>
    </row>
    <row r="301" spans="1:9" x14ac:dyDescent="0.25">
      <c r="A301" s="49">
        <f>'A) Base RI'!A303</f>
        <v>5925</v>
      </c>
      <c r="B301" s="294" t="str">
        <f>'A) Base RI'!B303</f>
        <v>Orzens</v>
      </c>
      <c r="C301" s="10">
        <f>'B) D RI'!Y303</f>
        <v>31726.1</v>
      </c>
      <c r="D301" s="437">
        <f>'B) D RI'!Z303</f>
        <v>31078.1</v>
      </c>
      <c r="E301" s="10">
        <f t="shared" si="16"/>
        <v>62804.2</v>
      </c>
      <c r="F301" s="437">
        <f>'B) D RI'!U303</f>
        <v>5564.160782501971</v>
      </c>
      <c r="G301" s="267">
        <f t="shared" si="17"/>
        <v>11.287272682253363</v>
      </c>
      <c r="H301" s="55">
        <f t="shared" si="18"/>
        <v>25186.479999999996</v>
      </c>
      <c r="I301" s="428">
        <f t="shared" si="19"/>
        <v>4.5265550339964635</v>
      </c>
    </row>
    <row r="302" spans="1:9" x14ac:dyDescent="0.25">
      <c r="A302" s="49">
        <f>'A) Base RI'!A304</f>
        <v>5926</v>
      </c>
      <c r="B302" s="294" t="str">
        <f>'A) Base RI'!B304</f>
        <v>Pomy</v>
      </c>
      <c r="C302" s="10">
        <f>'B) D RI'!Y304</f>
        <v>52029.599999999999</v>
      </c>
      <c r="D302" s="437">
        <f>'B) D RI'!Z304</f>
        <v>7673.7</v>
      </c>
      <c r="E302" s="10">
        <f t="shared" si="16"/>
        <v>59703.299999999996</v>
      </c>
      <c r="F302" s="437">
        <f>'B) D RI'!U304</f>
        <v>26594.76814227111</v>
      </c>
      <c r="G302" s="267">
        <f t="shared" si="17"/>
        <v>2.244926508876175</v>
      </c>
      <c r="H302" s="55">
        <f t="shared" si="18"/>
        <v>28316.91</v>
      </c>
      <c r="I302" s="428">
        <f t="shared" si="19"/>
        <v>1.0647549115117731</v>
      </c>
    </row>
    <row r="303" spans="1:9" x14ac:dyDescent="0.25">
      <c r="A303" s="49">
        <f>'A) Base RI'!A305</f>
        <v>5928</v>
      </c>
      <c r="B303" s="294" t="str">
        <f>'A) Base RI'!B305</f>
        <v>Rovray</v>
      </c>
      <c r="C303" s="10">
        <f>'B) D RI'!Y305</f>
        <v>26127.7</v>
      </c>
      <c r="D303" s="437">
        <f>'B) D RI'!Z305</f>
        <v>3919.1</v>
      </c>
      <c r="E303" s="10">
        <f t="shared" si="16"/>
        <v>30046.799999999999</v>
      </c>
      <c r="F303" s="437">
        <f>'B) D RI'!U305</f>
        <v>4332.6487869809371</v>
      </c>
      <c r="G303" s="267">
        <f t="shared" si="17"/>
        <v>6.9349724561766566</v>
      </c>
      <c r="H303" s="55">
        <f t="shared" si="18"/>
        <v>14239.58</v>
      </c>
      <c r="I303" s="428">
        <f t="shared" si="19"/>
        <v>3.2865761108512053</v>
      </c>
    </row>
    <row r="304" spans="1:9" x14ac:dyDescent="0.25">
      <c r="A304" s="49">
        <f>'A) Base RI'!A306</f>
        <v>5929</v>
      </c>
      <c r="B304" s="294" t="str">
        <f>'A) Base RI'!B306</f>
        <v>Suchy</v>
      </c>
      <c r="C304" s="10">
        <f>'B) D RI'!Y306</f>
        <v>95382.85</v>
      </c>
      <c r="D304" s="437">
        <f>'B) D RI'!Z306</f>
        <v>3741.4</v>
      </c>
      <c r="E304" s="10">
        <f t="shared" si="16"/>
        <v>99124.25</v>
      </c>
      <c r="F304" s="437">
        <f>'B) D RI'!U306</f>
        <v>17123.573212033476</v>
      </c>
      <c r="G304" s="267">
        <f t="shared" si="17"/>
        <v>5.7887596690590897</v>
      </c>
      <c r="H304" s="55">
        <f t="shared" si="18"/>
        <v>48813.845000000001</v>
      </c>
      <c r="I304" s="428">
        <f t="shared" si="19"/>
        <v>2.8506810112328891</v>
      </c>
    </row>
    <row r="305" spans="1:9" x14ac:dyDescent="0.25">
      <c r="A305" s="49">
        <f>'A) Base RI'!A307</f>
        <v>5930</v>
      </c>
      <c r="B305" s="294" t="str">
        <f>'A) Base RI'!B307</f>
        <v>Suscévaz</v>
      </c>
      <c r="C305" s="10">
        <f>'B) D RI'!Y307</f>
        <v>57062.899999999994</v>
      </c>
      <c r="D305" s="437">
        <f>'B) D RI'!Z307</f>
        <v>7063.35</v>
      </c>
      <c r="E305" s="10">
        <f t="shared" si="16"/>
        <v>64126.249999999993</v>
      </c>
      <c r="F305" s="437">
        <f>'B) D RI'!U307</f>
        <v>5845.0713540916349</v>
      </c>
      <c r="G305" s="267">
        <f t="shared" si="17"/>
        <v>10.970995239452584</v>
      </c>
      <c r="H305" s="55">
        <f t="shared" si="18"/>
        <v>30650.454999999998</v>
      </c>
      <c r="I305" s="428">
        <f t="shared" si="19"/>
        <v>5.243811947401503</v>
      </c>
    </row>
    <row r="306" spans="1:9" x14ac:dyDescent="0.25">
      <c r="A306" s="49">
        <f>'A) Base RI'!A308</f>
        <v>5931</v>
      </c>
      <c r="B306" s="294" t="str">
        <f>'A) Base RI'!B308</f>
        <v>Treycovagnes</v>
      </c>
      <c r="C306" s="10">
        <f>'B) D RI'!Y308</f>
        <v>64635.35</v>
      </c>
      <c r="D306" s="437">
        <f>'B) D RI'!Z308</f>
        <v>7347.25</v>
      </c>
      <c r="E306" s="10">
        <f t="shared" si="16"/>
        <v>71982.600000000006</v>
      </c>
      <c r="F306" s="437">
        <f>'B) D RI'!U308</f>
        <v>12973.113986974873</v>
      </c>
      <c r="G306" s="267">
        <f t="shared" si="17"/>
        <v>5.5485984376820561</v>
      </c>
      <c r="H306" s="55">
        <f t="shared" si="18"/>
        <v>34521.85</v>
      </c>
      <c r="I306" s="428">
        <f t="shared" si="19"/>
        <v>2.6610303458876765</v>
      </c>
    </row>
    <row r="307" spans="1:9" x14ac:dyDescent="0.25">
      <c r="A307" s="49">
        <f>'A) Base RI'!A309</f>
        <v>5932</v>
      </c>
      <c r="B307" s="294" t="str">
        <f>'A) Base RI'!B309</f>
        <v>Ursins</v>
      </c>
      <c r="C307" s="10">
        <f>'B) D RI'!Y309</f>
        <v>47287.8</v>
      </c>
      <c r="D307" s="437">
        <f>'B) D RI'!Z309</f>
        <v>0</v>
      </c>
      <c r="E307" s="10">
        <f t="shared" si="16"/>
        <v>47287.8</v>
      </c>
      <c r="F307" s="437">
        <f>'B) D RI'!U309</f>
        <v>6686.217062317166</v>
      </c>
      <c r="G307" s="267">
        <f t="shared" si="17"/>
        <v>7.0724296802311724</v>
      </c>
      <c r="H307" s="55">
        <f t="shared" si="18"/>
        <v>23643.9</v>
      </c>
      <c r="I307" s="428">
        <f t="shared" si="19"/>
        <v>3.5362148401155862</v>
      </c>
    </row>
    <row r="308" spans="1:9" x14ac:dyDescent="0.25">
      <c r="A308" s="49">
        <f>'A) Base RI'!A310</f>
        <v>5933</v>
      </c>
      <c r="B308" s="294" t="str">
        <f>'A) Base RI'!B310</f>
        <v>Valeyres-sous-Montagny</v>
      </c>
      <c r="C308" s="10">
        <f>'B) D RI'!Y310</f>
        <v>87033.200000000012</v>
      </c>
      <c r="D308" s="437">
        <f>'B) D RI'!Z310</f>
        <v>11134.15</v>
      </c>
      <c r="E308" s="10">
        <f t="shared" si="16"/>
        <v>98167.35</v>
      </c>
      <c r="F308" s="437">
        <f>'B) D RI'!U310</f>
        <v>22631.763146204292</v>
      </c>
      <c r="G308" s="267">
        <f t="shared" si="17"/>
        <v>4.3375917892841782</v>
      </c>
      <c r="H308" s="55">
        <f t="shared" si="18"/>
        <v>46856.845000000008</v>
      </c>
      <c r="I308" s="428">
        <f t="shared" si="19"/>
        <v>2.0704018815192775</v>
      </c>
    </row>
    <row r="309" spans="1:9" x14ac:dyDescent="0.25">
      <c r="A309" s="49">
        <f>'A) Base RI'!A311</f>
        <v>5934</v>
      </c>
      <c r="B309" s="294" t="str">
        <f>'A) Base RI'!B311</f>
        <v>Valeyres-sous-Ursins</v>
      </c>
      <c r="C309" s="10">
        <f>'B) D RI'!Y311</f>
        <v>0</v>
      </c>
      <c r="D309" s="437">
        <f>'B) D RI'!Z311</f>
        <v>4685</v>
      </c>
      <c r="E309" s="10">
        <f t="shared" si="16"/>
        <v>4685</v>
      </c>
      <c r="F309" s="437">
        <f>'B) D RI'!U311</f>
        <v>7641.8509852223033</v>
      </c>
      <c r="G309" s="267">
        <f t="shared" si="17"/>
        <v>0.61307136308464827</v>
      </c>
      <c r="H309" s="55">
        <f t="shared" si="18"/>
        <v>1405.5</v>
      </c>
      <c r="I309" s="428">
        <f t="shared" si="19"/>
        <v>0.18392140892539449</v>
      </c>
    </row>
    <row r="310" spans="1:9" x14ac:dyDescent="0.25">
      <c r="A310" s="49">
        <f>'A) Base RI'!A312</f>
        <v>5935</v>
      </c>
      <c r="B310" s="294" t="str">
        <f>'A) Base RI'!B312</f>
        <v>Villars-Epeney</v>
      </c>
      <c r="C310" s="10">
        <f>'B) D RI'!Y312</f>
        <v>13476.1</v>
      </c>
      <c r="D310" s="437">
        <f>'B) D RI'!Z312</f>
        <v>0</v>
      </c>
      <c r="E310" s="10">
        <f t="shared" si="16"/>
        <v>13476.1</v>
      </c>
      <c r="F310" s="437">
        <f>'B) D RI'!U312</f>
        <v>5591.3819786059366</v>
      </c>
      <c r="G310" s="267">
        <f t="shared" si="17"/>
        <v>2.4101554949318467</v>
      </c>
      <c r="H310" s="55">
        <f t="shared" si="18"/>
        <v>6738.05</v>
      </c>
      <c r="I310" s="428">
        <f t="shared" si="19"/>
        <v>1.2050777474659233</v>
      </c>
    </row>
    <row r="311" spans="1:9" x14ac:dyDescent="0.25">
      <c r="A311" s="49">
        <f>'A) Base RI'!A313</f>
        <v>5937</v>
      </c>
      <c r="B311" s="294" t="str">
        <f>'A) Base RI'!B313</f>
        <v>Vugelles-La Mothe</v>
      </c>
      <c r="C311" s="10">
        <f>'B) D RI'!Y313</f>
        <v>18553</v>
      </c>
      <c r="D311" s="437">
        <f>'B) D RI'!Z313</f>
        <v>0</v>
      </c>
      <c r="E311" s="10">
        <f t="shared" si="16"/>
        <v>18553</v>
      </c>
      <c r="F311" s="437">
        <f>'B) D RI'!U313</f>
        <v>2402.7405651963004</v>
      </c>
      <c r="G311" s="267">
        <f t="shared" si="17"/>
        <v>7.7215993556442273</v>
      </c>
      <c r="H311" s="55">
        <f t="shared" si="18"/>
        <v>9276.5</v>
      </c>
      <c r="I311" s="428">
        <f t="shared" si="19"/>
        <v>3.8607996778221136</v>
      </c>
    </row>
    <row r="312" spans="1:9" x14ac:dyDescent="0.25">
      <c r="A312" s="49">
        <f>'A) Base RI'!A314</f>
        <v>5938</v>
      </c>
      <c r="B312" s="294" t="str">
        <f>'A) Base RI'!B314</f>
        <v>Yverdon-les-Bains</v>
      </c>
      <c r="C312" s="10">
        <f>'B) D RI'!Y314</f>
        <v>4858532</v>
      </c>
      <c r="D312" s="437">
        <f>'B) D RI'!Z314</f>
        <v>3860310.2</v>
      </c>
      <c r="E312" s="10">
        <f t="shared" si="16"/>
        <v>8718842.1999999993</v>
      </c>
      <c r="F312" s="437">
        <f>'B) D RI'!U314</f>
        <v>748845.35601358349</v>
      </c>
      <c r="G312" s="267">
        <f t="shared" si="17"/>
        <v>11.643047700013842</v>
      </c>
      <c r="H312" s="55">
        <f t="shared" si="18"/>
        <v>3587359.06</v>
      </c>
      <c r="I312" s="428">
        <f t="shared" si="19"/>
        <v>4.7905205409792622</v>
      </c>
    </row>
    <row r="313" spans="1:9" x14ac:dyDescent="0.25">
      <c r="A313" s="49">
        <f>'A) Base RI'!A315</f>
        <v>5939</v>
      </c>
      <c r="B313" s="294" t="str">
        <f>'A) Base RI'!B315</f>
        <v>Yvonand</v>
      </c>
      <c r="C313" s="438">
        <f>'B) D RI'!Y315</f>
        <v>632969.5</v>
      </c>
      <c r="D313" s="437">
        <f>'B) D RI'!Z315</f>
        <v>112928.8</v>
      </c>
      <c r="E313" s="10">
        <f t="shared" si="16"/>
        <v>745898.3</v>
      </c>
      <c r="F313" s="437">
        <f>'B) D RI'!U315</f>
        <v>91997.775281850787</v>
      </c>
      <c r="G313" s="267">
        <f t="shared" si="17"/>
        <v>8.1077862776008889</v>
      </c>
      <c r="H313" s="55">
        <f t="shared" si="18"/>
        <v>350363.39</v>
      </c>
      <c r="I313" s="428">
        <f t="shared" si="19"/>
        <v>3.8083898108036021</v>
      </c>
    </row>
    <row r="314" spans="1:9" x14ac:dyDescent="0.25">
      <c r="A314" s="377"/>
      <c r="B314" s="451">
        <f>COUNTA(B5:B313)</f>
        <v>309</v>
      </c>
      <c r="C314" s="120">
        <f>SUM(C5:C313)</f>
        <v>260919189.48999998</v>
      </c>
      <c r="D314" s="11">
        <f>SUM(D5:D313)</f>
        <v>73714387.099999964</v>
      </c>
      <c r="E314" s="11">
        <f>SUM(E5:E313)</f>
        <v>334633576.59000015</v>
      </c>
      <c r="F314" s="11">
        <f>SUM(F5:F313)</f>
        <v>35867536.64913179</v>
      </c>
      <c r="G314" s="59">
        <f t="shared" ref="G314" si="20">E314/F314</f>
        <v>9.329706131299103</v>
      </c>
      <c r="H314" s="269">
        <f>(C314*$C$4)+(D314*$D$4)</f>
        <v>152573910.87499997</v>
      </c>
      <c r="I314" s="429">
        <f t="shared" ref="I314" si="21">H314/F314</f>
        <v>4.253816267549368</v>
      </c>
    </row>
    <row r="316" spans="1:9" x14ac:dyDescent="0.25">
      <c r="G316" s="13"/>
    </row>
    <row r="317" spans="1:9" x14ac:dyDescent="0.25">
      <c r="G317" s="13"/>
    </row>
    <row r="318" spans="1:9" x14ac:dyDescent="0.25">
      <c r="G318" s="13"/>
    </row>
    <row r="319" spans="1:9" x14ac:dyDescent="0.25">
      <c r="G319" s="13"/>
    </row>
    <row r="320" spans="1:9" x14ac:dyDescent="0.25">
      <c r="G320" s="13"/>
    </row>
    <row r="321" spans="7:7" x14ac:dyDescent="0.25">
      <c r="G321" s="13"/>
    </row>
    <row r="322" spans="7:7" x14ac:dyDescent="0.25">
      <c r="G322" s="13"/>
    </row>
    <row r="323" spans="7:7" x14ac:dyDescent="0.25">
      <c r="G323" s="13"/>
    </row>
    <row r="324" spans="7:7" x14ac:dyDescent="0.25">
      <c r="G324" s="13"/>
    </row>
    <row r="325" spans="7:7" x14ac:dyDescent="0.25">
      <c r="G325" s="13"/>
    </row>
    <row r="326" spans="7:7" x14ac:dyDescent="0.25">
      <c r="G326" s="13"/>
    </row>
    <row r="327" spans="7:7" x14ac:dyDescent="0.25">
      <c r="G327" s="13"/>
    </row>
    <row r="328" spans="7:7" x14ac:dyDescent="0.25">
      <c r="G328" s="13"/>
    </row>
    <row r="329" spans="7:7" x14ac:dyDescent="0.25">
      <c r="G329" s="13"/>
    </row>
    <row r="330" spans="7:7" x14ac:dyDescent="0.25">
      <c r="G330" s="13"/>
    </row>
    <row r="331" spans="7:7" x14ac:dyDescent="0.25">
      <c r="G331" s="13"/>
    </row>
    <row r="332" spans="7:7" x14ac:dyDescent="0.25">
      <c r="G332" s="13"/>
    </row>
  </sheetData>
  <mergeCells count="7">
    <mergeCell ref="A3:A4"/>
    <mergeCell ref="B3:B4"/>
    <mergeCell ref="I3:I4"/>
    <mergeCell ref="H3:H4"/>
    <mergeCell ref="G3:G4"/>
    <mergeCell ref="F3:F4"/>
    <mergeCell ref="E3:E4"/>
  </mergeCells>
  <phoneticPr fontId="19" type="noConversion"/>
  <printOptions horizontalCentered="1" verticalCentered="1"/>
  <pageMargins left="0" right="0" top="0" bottom="0" header="0.51181102362204722" footer="0.51181102362204722"/>
  <pageSetup paperSize="8"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00B050"/>
  </sheetPr>
  <dimension ref="A1:V320"/>
  <sheetViews>
    <sheetView workbookViewId="0"/>
  </sheetViews>
  <sheetFormatPr baseColWidth="10" defaultColWidth="11" defaultRowHeight="15" x14ac:dyDescent="0.25"/>
  <cols>
    <col min="1" max="1" width="7.25" style="13" customWidth="1"/>
    <col min="2" max="2" width="18" style="13" customWidth="1"/>
    <col min="3" max="3" width="10.875" style="13" bestFit="1" customWidth="1"/>
    <col min="4" max="4" width="8.375" style="13" customWidth="1"/>
    <col min="5" max="5" width="7.625" style="13" bestFit="1" customWidth="1"/>
    <col min="6" max="6" width="8.75" style="58" bestFit="1" customWidth="1"/>
    <col min="7" max="7" width="5.75" style="13" bestFit="1" customWidth="1"/>
    <col min="8" max="8" width="5.75" style="13" customWidth="1"/>
    <col min="9" max="10" width="5.75" style="13" bestFit="1" customWidth="1"/>
    <col min="11" max="11" width="6.5" style="13" bestFit="1" customWidth="1"/>
    <col min="12" max="12" width="7.625" style="13" bestFit="1" customWidth="1"/>
    <col min="13" max="13" width="10.75" style="12" bestFit="1" customWidth="1"/>
    <col min="14" max="17" width="11" style="376"/>
    <col min="18" max="18" width="11.25" style="376" bestFit="1" customWidth="1"/>
    <col min="19" max="21" width="11" style="13"/>
    <col min="22" max="22" width="11.25" style="13" bestFit="1" customWidth="1"/>
    <col min="23" max="16384" width="11" style="13"/>
  </cols>
  <sheetData>
    <row r="1" spans="1:22" ht="21" x14ac:dyDescent="0.25">
      <c r="A1" s="51" t="s">
        <v>220</v>
      </c>
      <c r="B1" s="42"/>
      <c r="C1" s="56"/>
      <c r="D1" s="43"/>
      <c r="E1" s="43"/>
      <c r="F1" s="57"/>
    </row>
    <row r="2" spans="1:22" x14ac:dyDescent="0.25">
      <c r="G2" s="66">
        <f>$E$314*G4</f>
        <v>44.825343679319673</v>
      </c>
      <c r="H2" s="66">
        <f t="shared" ref="H2:K2" si="0">$E$314*H4</f>
        <v>53.790412415183603</v>
      </c>
      <c r="I2" s="66">
        <f t="shared" si="0"/>
        <v>67.238015518979509</v>
      </c>
      <c r="J2" s="66">
        <f t="shared" si="0"/>
        <v>89.650687358639345</v>
      </c>
      <c r="K2" s="66">
        <f t="shared" si="0"/>
        <v>134.47603103795902</v>
      </c>
    </row>
    <row r="3" spans="1:22" ht="60" customHeight="1" x14ac:dyDescent="0.25">
      <c r="A3" s="501" t="s">
        <v>46</v>
      </c>
      <c r="B3" s="501" t="s">
        <v>96</v>
      </c>
      <c r="C3" s="508" t="s">
        <v>305</v>
      </c>
      <c r="D3" s="509"/>
      <c r="E3" s="510"/>
      <c r="F3" s="507" t="s">
        <v>291</v>
      </c>
      <c r="G3" s="63">
        <f>Paramètres!B16</f>
        <v>0.2</v>
      </c>
      <c r="H3" s="63">
        <f>Paramètres!C16</f>
        <v>0.3</v>
      </c>
      <c r="I3" s="63">
        <f>Paramètres!D16</f>
        <v>0.4</v>
      </c>
      <c r="J3" s="63">
        <f>Paramètres!E16</f>
        <v>0.5</v>
      </c>
      <c r="K3" s="63">
        <f>Paramètres!F16</f>
        <v>0.6</v>
      </c>
      <c r="L3" s="507" t="s">
        <v>294</v>
      </c>
      <c r="M3" s="507" t="s">
        <v>306</v>
      </c>
    </row>
    <row r="4" spans="1:22" ht="45" x14ac:dyDescent="0.25">
      <c r="A4" s="502"/>
      <c r="B4" s="502"/>
      <c r="C4" s="64" t="s">
        <v>371</v>
      </c>
      <c r="D4" s="64" t="s">
        <v>67</v>
      </c>
      <c r="E4" s="64" t="s">
        <v>68</v>
      </c>
      <c r="F4" s="507"/>
      <c r="G4" s="65">
        <f>Paramètres!B17</f>
        <v>1</v>
      </c>
      <c r="H4" s="65">
        <f>Paramètres!C17</f>
        <v>1.2</v>
      </c>
      <c r="I4" s="65">
        <f>Paramètres!D17</f>
        <v>1.5</v>
      </c>
      <c r="J4" s="65">
        <f>Paramètres!E17</f>
        <v>2</v>
      </c>
      <c r="K4" s="65">
        <f>Paramètres!F17</f>
        <v>3</v>
      </c>
      <c r="L4" s="511"/>
      <c r="M4" s="507"/>
    </row>
    <row r="5" spans="1:22" x14ac:dyDescent="0.25">
      <c r="A5" s="104">
        <f>'A) Base RI'!A7</f>
        <v>5401</v>
      </c>
      <c r="B5" s="299" t="str">
        <f>'A) Base RI'!B7</f>
        <v>Aigle</v>
      </c>
      <c r="C5" s="296">
        <f>'B) D RI'!U7</f>
        <v>264997.06649252231</v>
      </c>
      <c r="D5" s="32">
        <f>'B) D RI'!AA7</f>
        <v>10134</v>
      </c>
      <c r="E5" s="202">
        <f>C5/D5</f>
        <v>26.14930594952855</v>
      </c>
      <c r="F5" s="371">
        <f t="shared" ref="F5" si="1">E5/$E$314</f>
        <v>0.58335985411736224</v>
      </c>
      <c r="G5" s="381">
        <f>IF(E5-$G$2&lt;0,0,E5-$G$2)</f>
        <v>0</v>
      </c>
      <c r="H5" s="373">
        <f>IF(E5-$H$2&lt;0,0,E5-$H$2)</f>
        <v>0</v>
      </c>
      <c r="I5" s="381">
        <f>IF(E5-$I$2&lt;0,0,E5-$I$2)</f>
        <v>0</v>
      </c>
      <c r="J5" s="373">
        <f>IF(E5-$J$2&lt;0,0,E5-$J$2)</f>
        <v>0</v>
      </c>
      <c r="K5" s="372">
        <f>IF(E5-$K$2&lt;0,0,E5-$K$2)</f>
        <v>0</v>
      </c>
      <c r="L5" s="380">
        <f>(G5-H5)*$G$3+(H5-I5)*$H$3+(I5-J5)*$I$3+(J5-K5)*$J$3+(K5*$K$3)</f>
        <v>0</v>
      </c>
      <c r="M5" s="114">
        <f>L5*D5*'B) D RI'!S7</f>
        <v>0</v>
      </c>
    </row>
    <row r="6" spans="1:22" x14ac:dyDescent="0.25">
      <c r="A6" s="298">
        <f>'A) Base RI'!A8</f>
        <v>5402</v>
      </c>
      <c r="B6" s="32" t="str">
        <f>'A) Base RI'!B8</f>
        <v>Bex</v>
      </c>
      <c r="C6" s="296">
        <f>'B) D RI'!U8</f>
        <v>167576.20795633722</v>
      </c>
      <c r="D6" s="32">
        <f>'B) D RI'!AA8</f>
        <v>7757</v>
      </c>
      <c r="E6" s="202">
        <f t="shared" ref="E6:E69" si="2">C6/D6</f>
        <v>21.603223921146991</v>
      </c>
      <c r="F6" s="371">
        <f t="shared" ref="F6:F69" si="3">E6/$E$314</f>
        <v>0.4819421815412363</v>
      </c>
      <c r="G6" s="382">
        <f t="shared" ref="G6:G69" si="4">IF(E6-$G$2&lt;0,0,E6-$G$2)</f>
        <v>0</v>
      </c>
      <c r="H6" s="379">
        <f t="shared" ref="H6:H69" si="5">IF(E6-$H$2&lt;0,0,E6-$H$2)</f>
        <v>0</v>
      </c>
      <c r="I6" s="382">
        <f t="shared" ref="I6:I69" si="6">IF(E6-$I$2&lt;0,0,E6-$I$2)</f>
        <v>0</v>
      </c>
      <c r="J6" s="379">
        <f t="shared" ref="J6:J69" si="7">IF(E6-$J$2&lt;0,0,E6-$J$2)</f>
        <v>0</v>
      </c>
      <c r="K6" s="374">
        <f t="shared" ref="K6:K69" si="8">IF(E6-$K$2&lt;0,0,E6-$K$2)</f>
        <v>0</v>
      </c>
      <c r="L6" s="378">
        <f t="shared" ref="L6:L69" si="9">(G6-H6)*$G$3+(H6-I6)*$H$3+(I6-J6)*$I$3+(J6-K6)*$J$3+(K6*$K$3)</f>
        <v>0</v>
      </c>
      <c r="M6" s="114">
        <f>L6*D6*'B) D RI'!S8</f>
        <v>0</v>
      </c>
    </row>
    <row r="7" spans="1:22" x14ac:dyDescent="0.25">
      <c r="A7" s="298">
        <f>'A) Base RI'!A9</f>
        <v>5403</v>
      </c>
      <c r="B7" s="32" t="str">
        <f>'A) Base RI'!B9</f>
        <v>Chessel</v>
      </c>
      <c r="C7" s="296">
        <f>'B) D RI'!U9</f>
        <v>10084.656029543799</v>
      </c>
      <c r="D7" s="32">
        <f>'B) D RI'!AA9</f>
        <v>426</v>
      </c>
      <c r="E7" s="202">
        <f t="shared" si="2"/>
        <v>23.672901477802345</v>
      </c>
      <c r="F7" s="371">
        <f t="shared" si="3"/>
        <v>0.52811422143594</v>
      </c>
      <c r="G7" s="382">
        <f t="shared" si="4"/>
        <v>0</v>
      </c>
      <c r="H7" s="379">
        <f t="shared" si="5"/>
        <v>0</v>
      </c>
      <c r="I7" s="382">
        <f t="shared" si="6"/>
        <v>0</v>
      </c>
      <c r="J7" s="379">
        <f t="shared" si="7"/>
        <v>0</v>
      </c>
      <c r="K7" s="374">
        <f t="shared" si="8"/>
        <v>0</v>
      </c>
      <c r="L7" s="378">
        <f t="shared" si="9"/>
        <v>0</v>
      </c>
      <c r="M7" s="114">
        <f>L7*D7*'B) D RI'!S9</f>
        <v>0</v>
      </c>
    </row>
    <row r="8" spans="1:22" x14ac:dyDescent="0.25">
      <c r="A8" s="298">
        <f>'A) Base RI'!A10</f>
        <v>5404</v>
      </c>
      <c r="B8" s="32" t="str">
        <f>'A) Base RI'!B10</f>
        <v>Corbeyrier</v>
      </c>
      <c r="C8" s="296">
        <f>'B) D RI'!U10</f>
        <v>11886.055583598994</v>
      </c>
      <c r="D8" s="32">
        <f>'B) D RI'!AA10</f>
        <v>438</v>
      </c>
      <c r="E8" s="202">
        <f t="shared" si="2"/>
        <v>27.137113204563914</v>
      </c>
      <c r="F8" s="371">
        <f t="shared" si="3"/>
        <v>0.60539665682660937</v>
      </c>
      <c r="G8" s="382">
        <f t="shared" si="4"/>
        <v>0</v>
      </c>
      <c r="H8" s="379">
        <f t="shared" si="5"/>
        <v>0</v>
      </c>
      <c r="I8" s="382">
        <f t="shared" si="6"/>
        <v>0</v>
      </c>
      <c r="J8" s="379">
        <f t="shared" si="7"/>
        <v>0</v>
      </c>
      <c r="K8" s="374">
        <f t="shared" si="8"/>
        <v>0</v>
      </c>
      <c r="L8" s="378">
        <f t="shared" si="9"/>
        <v>0</v>
      </c>
      <c r="M8" s="114">
        <f>L8*D8*'B) D RI'!S10</f>
        <v>0</v>
      </c>
    </row>
    <row r="9" spans="1:22" x14ac:dyDescent="0.25">
      <c r="A9" s="298">
        <f>'A) Base RI'!A11</f>
        <v>5405</v>
      </c>
      <c r="B9" s="32" t="str">
        <f>'A) Base RI'!B11</f>
        <v>Gryon</v>
      </c>
      <c r="C9" s="296">
        <f>'B) D RI'!U11</f>
        <v>67043.99833693559</v>
      </c>
      <c r="D9" s="32">
        <f>'B) D RI'!AA11</f>
        <v>1332</v>
      </c>
      <c r="E9" s="202">
        <f t="shared" si="2"/>
        <v>50.333332084786477</v>
      </c>
      <c r="F9" s="371">
        <f t="shared" si="3"/>
        <v>1.1228766575638758</v>
      </c>
      <c r="G9" s="382">
        <f t="shared" si="4"/>
        <v>5.5079884054668042</v>
      </c>
      <c r="H9" s="379">
        <f t="shared" si="5"/>
        <v>0</v>
      </c>
      <c r="I9" s="382">
        <f t="shared" si="6"/>
        <v>0</v>
      </c>
      <c r="J9" s="379">
        <f t="shared" si="7"/>
        <v>0</v>
      </c>
      <c r="K9" s="374">
        <f t="shared" si="8"/>
        <v>0</v>
      </c>
      <c r="L9" s="378">
        <f t="shared" si="9"/>
        <v>1.101597681093361</v>
      </c>
      <c r="M9" s="114">
        <f>L9*D9*'B) D RI'!S11</f>
        <v>110049.60834122676</v>
      </c>
    </row>
    <row r="10" spans="1:22" x14ac:dyDescent="0.25">
      <c r="A10" s="298">
        <f>'A) Base RI'!A12</f>
        <v>5406</v>
      </c>
      <c r="B10" s="32" t="str">
        <f>'A) Base RI'!B12</f>
        <v>Lavey-Morcles</v>
      </c>
      <c r="C10" s="296">
        <f>'B) D RI'!U12</f>
        <v>21182.431428934582</v>
      </c>
      <c r="D10" s="32">
        <f>'B) D RI'!AA12</f>
        <v>946</v>
      </c>
      <c r="E10" s="202">
        <f t="shared" si="2"/>
        <v>22.391576563355795</v>
      </c>
      <c r="F10" s="371">
        <f t="shared" si="3"/>
        <v>0.49952938952448511</v>
      </c>
      <c r="G10" s="382">
        <f t="shared" si="4"/>
        <v>0</v>
      </c>
      <c r="H10" s="379">
        <f t="shared" si="5"/>
        <v>0</v>
      </c>
      <c r="I10" s="382">
        <f t="shared" si="6"/>
        <v>0</v>
      </c>
      <c r="J10" s="379">
        <f t="shared" si="7"/>
        <v>0</v>
      </c>
      <c r="K10" s="374">
        <f t="shared" si="8"/>
        <v>0</v>
      </c>
      <c r="L10" s="378">
        <f t="shared" si="9"/>
        <v>0</v>
      </c>
      <c r="M10" s="114">
        <f>L10*D10*'B) D RI'!S12</f>
        <v>0</v>
      </c>
    </row>
    <row r="11" spans="1:22" x14ac:dyDescent="0.25">
      <c r="A11" s="298">
        <f>'A) Base RI'!A13</f>
        <v>5407</v>
      </c>
      <c r="B11" s="32" t="str">
        <f>'A) Base RI'!B13</f>
        <v>Leysin</v>
      </c>
      <c r="C11" s="296">
        <f>'B) D RI'!U13</f>
        <v>87800.052646256067</v>
      </c>
      <c r="D11" s="32">
        <f>'B) D RI'!AA13</f>
        <v>3939</v>
      </c>
      <c r="E11" s="202">
        <f t="shared" si="2"/>
        <v>22.289934665208445</v>
      </c>
      <c r="F11" s="371">
        <f t="shared" si="3"/>
        <v>0.49726187990148046</v>
      </c>
      <c r="G11" s="382">
        <f t="shared" si="4"/>
        <v>0</v>
      </c>
      <c r="H11" s="379">
        <f t="shared" si="5"/>
        <v>0</v>
      </c>
      <c r="I11" s="382">
        <f t="shared" si="6"/>
        <v>0</v>
      </c>
      <c r="J11" s="379">
        <f t="shared" si="7"/>
        <v>0</v>
      </c>
      <c r="K11" s="374">
        <f t="shared" si="8"/>
        <v>0</v>
      </c>
      <c r="L11" s="378">
        <f t="shared" si="9"/>
        <v>0</v>
      </c>
      <c r="M11" s="114">
        <f>L11*D11*'B) D RI'!S13</f>
        <v>0</v>
      </c>
    </row>
    <row r="12" spans="1:22" x14ac:dyDescent="0.25">
      <c r="A12" s="298">
        <f>'A) Base RI'!A14</f>
        <v>5408</v>
      </c>
      <c r="B12" s="32" t="str">
        <f>'A) Base RI'!B14</f>
        <v>Noville</v>
      </c>
      <c r="C12" s="296">
        <f>'B) D RI'!U14</f>
        <v>34485.089397525851</v>
      </c>
      <c r="D12" s="32">
        <f>'B) D RI'!AA14</f>
        <v>1113</v>
      </c>
      <c r="E12" s="202">
        <f t="shared" si="2"/>
        <v>30.983907814488635</v>
      </c>
      <c r="F12" s="371">
        <f t="shared" si="3"/>
        <v>0.69121406042410705</v>
      </c>
      <c r="G12" s="382">
        <f t="shared" si="4"/>
        <v>0</v>
      </c>
      <c r="H12" s="379">
        <f t="shared" si="5"/>
        <v>0</v>
      </c>
      <c r="I12" s="382">
        <f t="shared" si="6"/>
        <v>0</v>
      </c>
      <c r="J12" s="379">
        <f t="shared" si="7"/>
        <v>0</v>
      </c>
      <c r="K12" s="374">
        <f t="shared" si="8"/>
        <v>0</v>
      </c>
      <c r="L12" s="378">
        <f t="shared" si="9"/>
        <v>0</v>
      </c>
      <c r="M12" s="114">
        <f>L12*D12*'B) D RI'!S14</f>
        <v>0</v>
      </c>
    </row>
    <row r="13" spans="1:22" x14ac:dyDescent="0.25">
      <c r="A13" s="298">
        <f>'A) Base RI'!A15</f>
        <v>5409</v>
      </c>
      <c r="B13" s="32" t="str">
        <f>'A) Base RI'!B15</f>
        <v>Ollon</v>
      </c>
      <c r="C13" s="296">
        <f>'B) D RI'!U15</f>
        <v>364239.90242657869</v>
      </c>
      <c r="D13" s="32">
        <f>'B) D RI'!AA15</f>
        <v>7461</v>
      </c>
      <c r="E13" s="202">
        <f t="shared" si="2"/>
        <v>48.819180059855071</v>
      </c>
      <c r="F13" s="371">
        <f t="shared" si="3"/>
        <v>1.0890977302730189</v>
      </c>
      <c r="G13" s="382">
        <f t="shared" si="4"/>
        <v>3.9938363805353987</v>
      </c>
      <c r="H13" s="379">
        <f t="shared" si="5"/>
        <v>0</v>
      </c>
      <c r="I13" s="382">
        <f t="shared" si="6"/>
        <v>0</v>
      </c>
      <c r="J13" s="379">
        <f t="shared" si="7"/>
        <v>0</v>
      </c>
      <c r="K13" s="374">
        <f t="shared" si="8"/>
        <v>0</v>
      </c>
      <c r="L13" s="378">
        <f t="shared" si="9"/>
        <v>0.79876727610707976</v>
      </c>
      <c r="M13" s="114">
        <f>L13*D13*'B) D RI'!S15</f>
        <v>405252.97999837471</v>
      </c>
    </row>
    <row r="14" spans="1:22" x14ac:dyDescent="0.25">
      <c r="A14" s="298">
        <f>'A) Base RI'!A16</f>
        <v>5410</v>
      </c>
      <c r="B14" s="32" t="str">
        <f>'A) Base RI'!B16</f>
        <v>Ormont-Dessous</v>
      </c>
      <c r="C14" s="296">
        <f>'B) D RI'!U16</f>
        <v>43203.907731880769</v>
      </c>
      <c r="D14" s="32">
        <f>'B) D RI'!AA16</f>
        <v>1121</v>
      </c>
      <c r="E14" s="202">
        <f t="shared" si="2"/>
        <v>38.540506451276329</v>
      </c>
      <c r="F14" s="371">
        <f t="shared" si="3"/>
        <v>0.85979277095999429</v>
      </c>
      <c r="G14" s="382">
        <f t="shared" si="4"/>
        <v>0</v>
      </c>
      <c r="H14" s="379">
        <f t="shared" si="5"/>
        <v>0</v>
      </c>
      <c r="I14" s="382">
        <f t="shared" si="6"/>
        <v>0</v>
      </c>
      <c r="J14" s="379">
        <f t="shared" si="7"/>
        <v>0</v>
      </c>
      <c r="K14" s="374">
        <f t="shared" si="8"/>
        <v>0</v>
      </c>
      <c r="L14" s="378">
        <f t="shared" si="9"/>
        <v>0</v>
      </c>
      <c r="M14" s="114">
        <f>L14*D14*'B) D RI'!S16</f>
        <v>0</v>
      </c>
      <c r="V14" s="15"/>
    </row>
    <row r="15" spans="1:22" x14ac:dyDescent="0.25">
      <c r="A15" s="298">
        <f>'A) Base RI'!A17</f>
        <v>5411</v>
      </c>
      <c r="B15" s="32" t="str">
        <f>'A) Base RI'!B17</f>
        <v>Ormont-Dessus</v>
      </c>
      <c r="C15" s="296">
        <f>'B) D RI'!U17</f>
        <v>72610.798338858935</v>
      </c>
      <c r="D15" s="32">
        <f>'B) D RI'!AA17</f>
        <v>1446</v>
      </c>
      <c r="E15" s="202">
        <f t="shared" si="2"/>
        <v>50.214936610552513</v>
      </c>
      <c r="F15" s="371">
        <f t="shared" si="3"/>
        <v>1.1202353956232878</v>
      </c>
      <c r="G15" s="382">
        <f t="shared" si="4"/>
        <v>5.3895929312328406</v>
      </c>
      <c r="H15" s="379">
        <f t="shared" si="5"/>
        <v>0</v>
      </c>
      <c r="I15" s="382">
        <f t="shared" si="6"/>
        <v>0</v>
      </c>
      <c r="J15" s="379">
        <f t="shared" si="7"/>
        <v>0</v>
      </c>
      <c r="K15" s="374">
        <f t="shared" si="8"/>
        <v>0</v>
      </c>
      <c r="L15" s="378">
        <f t="shared" si="9"/>
        <v>1.0779185862465681</v>
      </c>
      <c r="M15" s="114">
        <f>L15*D15*'B) D RI'!S17</f>
        <v>118458.94095415284</v>
      </c>
      <c r="V15" s="15"/>
    </row>
    <row r="16" spans="1:22" x14ac:dyDescent="0.25">
      <c r="A16" s="298">
        <f>'A) Base RI'!A18</f>
        <v>5412</v>
      </c>
      <c r="B16" s="32" t="str">
        <f>'A) Base RI'!B18</f>
        <v>Rennaz</v>
      </c>
      <c r="C16" s="296">
        <f>'B) D RI'!U18</f>
        <v>26466.15780602719</v>
      </c>
      <c r="D16" s="32">
        <f>'B) D RI'!AA18</f>
        <v>826</v>
      </c>
      <c r="E16" s="202">
        <f t="shared" si="2"/>
        <v>32.041353276061976</v>
      </c>
      <c r="F16" s="371">
        <f t="shared" si="3"/>
        <v>0.71480440853472726</v>
      </c>
      <c r="G16" s="382">
        <f t="shared" si="4"/>
        <v>0</v>
      </c>
      <c r="H16" s="379">
        <f t="shared" si="5"/>
        <v>0</v>
      </c>
      <c r="I16" s="382">
        <f t="shared" si="6"/>
        <v>0</v>
      </c>
      <c r="J16" s="379">
        <f t="shared" si="7"/>
        <v>0</v>
      </c>
      <c r="K16" s="374">
        <f t="shared" si="8"/>
        <v>0</v>
      </c>
      <c r="L16" s="378">
        <f t="shared" si="9"/>
        <v>0</v>
      </c>
      <c r="M16" s="114">
        <f>L16*D16*'B) D RI'!S18</f>
        <v>0</v>
      </c>
      <c r="V16" s="15"/>
    </row>
    <row r="17" spans="1:22" x14ac:dyDescent="0.25">
      <c r="A17" s="298">
        <f>'A) Base RI'!A19</f>
        <v>5413</v>
      </c>
      <c r="B17" s="32" t="str">
        <f>'A) Base RI'!B19</f>
        <v>Roche</v>
      </c>
      <c r="C17" s="296">
        <f>'B) D RI'!U19</f>
        <v>37990.385509658925</v>
      </c>
      <c r="D17" s="32">
        <f>'B) D RI'!AA19</f>
        <v>1775</v>
      </c>
      <c r="E17" s="202">
        <f t="shared" si="2"/>
        <v>21.40303408994869</v>
      </c>
      <c r="F17" s="371">
        <f t="shared" si="3"/>
        <v>0.47747618496950989</v>
      </c>
      <c r="G17" s="382">
        <f t="shared" si="4"/>
        <v>0</v>
      </c>
      <c r="H17" s="379">
        <f t="shared" si="5"/>
        <v>0</v>
      </c>
      <c r="I17" s="382">
        <f t="shared" si="6"/>
        <v>0</v>
      </c>
      <c r="J17" s="379">
        <f t="shared" si="7"/>
        <v>0</v>
      </c>
      <c r="K17" s="374">
        <f t="shared" si="8"/>
        <v>0</v>
      </c>
      <c r="L17" s="378">
        <f t="shared" si="9"/>
        <v>0</v>
      </c>
      <c r="M17" s="114">
        <f>L17*D17*'B) D RI'!S19</f>
        <v>0</v>
      </c>
      <c r="V17" s="15"/>
    </row>
    <row r="18" spans="1:22" x14ac:dyDescent="0.25">
      <c r="A18" s="298">
        <f>'A) Base RI'!A20</f>
        <v>5414</v>
      </c>
      <c r="B18" s="32" t="str">
        <f>'A) Base RI'!B20</f>
        <v>Villeneuve</v>
      </c>
      <c r="C18" s="296">
        <f>'B) D RI'!U20</f>
        <v>165545.36815921174</v>
      </c>
      <c r="D18" s="32">
        <f>'B) D RI'!AA20</f>
        <v>5771</v>
      </c>
      <c r="E18" s="202">
        <f t="shared" si="2"/>
        <v>28.685733522649755</v>
      </c>
      <c r="F18" s="371">
        <f t="shared" si="3"/>
        <v>0.63994453066255053</v>
      </c>
      <c r="G18" s="382">
        <f t="shared" si="4"/>
        <v>0</v>
      </c>
      <c r="H18" s="379">
        <f t="shared" si="5"/>
        <v>0</v>
      </c>
      <c r="I18" s="382">
        <f t="shared" si="6"/>
        <v>0</v>
      </c>
      <c r="J18" s="379">
        <f t="shared" si="7"/>
        <v>0</v>
      </c>
      <c r="K18" s="374">
        <f t="shared" si="8"/>
        <v>0</v>
      </c>
      <c r="L18" s="378">
        <f t="shared" si="9"/>
        <v>0</v>
      </c>
      <c r="M18" s="114">
        <f>L18*D18*'B) D RI'!S20</f>
        <v>0</v>
      </c>
      <c r="V18" s="15"/>
    </row>
    <row r="19" spans="1:22" x14ac:dyDescent="0.25">
      <c r="A19" s="298">
        <f>'A) Base RI'!A21</f>
        <v>5415</v>
      </c>
      <c r="B19" s="32" t="str">
        <f>'A) Base RI'!B21</f>
        <v>Yvorne</v>
      </c>
      <c r="C19" s="296">
        <f>'B) D RI'!U21</f>
        <v>33364.537599401883</v>
      </c>
      <c r="D19" s="32">
        <f>'B) D RI'!AA21</f>
        <v>1066</v>
      </c>
      <c r="E19" s="202">
        <f t="shared" si="2"/>
        <v>31.298815759288821</v>
      </c>
      <c r="F19" s="371">
        <f t="shared" si="3"/>
        <v>0.69823928140295866</v>
      </c>
      <c r="G19" s="382">
        <f t="shared" si="4"/>
        <v>0</v>
      </c>
      <c r="H19" s="379">
        <f t="shared" si="5"/>
        <v>0</v>
      </c>
      <c r="I19" s="382">
        <f t="shared" si="6"/>
        <v>0</v>
      </c>
      <c r="J19" s="379">
        <f t="shared" si="7"/>
        <v>0</v>
      </c>
      <c r="K19" s="374">
        <f t="shared" si="8"/>
        <v>0</v>
      </c>
      <c r="L19" s="378">
        <f t="shared" si="9"/>
        <v>0</v>
      </c>
      <c r="M19" s="114">
        <f>L19*D19*'B) D RI'!S21</f>
        <v>0</v>
      </c>
      <c r="V19" s="15"/>
    </row>
    <row r="20" spans="1:22" x14ac:dyDescent="0.25">
      <c r="A20" s="298">
        <f>'A) Base RI'!A22</f>
        <v>5421</v>
      </c>
      <c r="B20" s="32" t="str">
        <f>'A) Base RI'!B22</f>
        <v>Apples</v>
      </c>
      <c r="C20" s="296">
        <f>'B) D RI'!U22</f>
        <v>66975.284470984901</v>
      </c>
      <c r="D20" s="32">
        <f>'B) D RI'!AA22</f>
        <v>1469</v>
      </c>
      <c r="E20" s="202">
        <f t="shared" si="2"/>
        <v>45.592433268199386</v>
      </c>
      <c r="F20" s="371">
        <f t="shared" si="3"/>
        <v>1.0171128546022417</v>
      </c>
      <c r="G20" s="382">
        <f t="shared" si="4"/>
        <v>0.76708958887971335</v>
      </c>
      <c r="H20" s="379">
        <f t="shared" si="5"/>
        <v>0</v>
      </c>
      <c r="I20" s="382">
        <f t="shared" si="6"/>
        <v>0</v>
      </c>
      <c r="J20" s="379">
        <f t="shared" si="7"/>
        <v>0</v>
      </c>
      <c r="K20" s="374">
        <f t="shared" si="8"/>
        <v>0</v>
      </c>
      <c r="L20" s="378">
        <f t="shared" si="9"/>
        <v>0.15341791777594269</v>
      </c>
      <c r="M20" s="114">
        <f>L20*D20*'B) D RI'!S22</f>
        <v>17128.190012177343</v>
      </c>
      <c r="V20" s="15"/>
    </row>
    <row r="21" spans="1:22" x14ac:dyDescent="0.25">
      <c r="A21" s="298">
        <f>'A) Base RI'!A23</f>
        <v>5422</v>
      </c>
      <c r="B21" s="32" t="str">
        <f>'A) Base RI'!B23</f>
        <v>Aubonne</v>
      </c>
      <c r="C21" s="296">
        <f>'B) D RI'!U23</f>
        <v>225566.61726643931</v>
      </c>
      <c r="D21" s="32">
        <f>'B) D RI'!AA23</f>
        <v>3242</v>
      </c>
      <c r="E21" s="202">
        <f t="shared" si="2"/>
        <v>69.576377935360682</v>
      </c>
      <c r="F21" s="371">
        <f t="shared" si="3"/>
        <v>1.5521660789286928</v>
      </c>
      <c r="G21" s="382">
        <f t="shared" si="4"/>
        <v>24.751034256041009</v>
      </c>
      <c r="H21" s="379">
        <f t="shared" si="5"/>
        <v>15.785965520177079</v>
      </c>
      <c r="I21" s="382">
        <f t="shared" si="6"/>
        <v>2.3383624163811731</v>
      </c>
      <c r="J21" s="379">
        <f t="shared" si="7"/>
        <v>0</v>
      </c>
      <c r="K21" s="374">
        <f t="shared" si="8"/>
        <v>0</v>
      </c>
      <c r="L21" s="378">
        <f t="shared" si="9"/>
        <v>6.7626396448640271</v>
      </c>
      <c r="M21" s="114">
        <f>L21*D21*'B) D RI'!S23</f>
        <v>1490864.485548144</v>
      </c>
      <c r="V21" s="15"/>
    </row>
    <row r="22" spans="1:22" x14ac:dyDescent="0.25">
      <c r="A22" s="298">
        <f>'A) Base RI'!A24</f>
        <v>5423</v>
      </c>
      <c r="B22" s="32" t="str">
        <f>'A) Base RI'!B24</f>
        <v>Ballens</v>
      </c>
      <c r="C22" s="296">
        <f>'B) D RI'!U24</f>
        <v>13546.834391748147</v>
      </c>
      <c r="D22" s="32">
        <f>'B) D RI'!AA24</f>
        <v>536</v>
      </c>
      <c r="E22" s="202">
        <f t="shared" si="2"/>
        <v>25.273944760724156</v>
      </c>
      <c r="F22" s="371">
        <f t="shared" si="3"/>
        <v>0.56383158914594955</v>
      </c>
      <c r="G22" s="382">
        <f t="shared" si="4"/>
        <v>0</v>
      </c>
      <c r="H22" s="379">
        <f t="shared" si="5"/>
        <v>0</v>
      </c>
      <c r="I22" s="382">
        <f t="shared" si="6"/>
        <v>0</v>
      </c>
      <c r="J22" s="379">
        <f t="shared" si="7"/>
        <v>0</v>
      </c>
      <c r="K22" s="374">
        <f t="shared" si="8"/>
        <v>0</v>
      </c>
      <c r="L22" s="378">
        <f t="shared" si="9"/>
        <v>0</v>
      </c>
      <c r="M22" s="114">
        <f>L22*D22*'B) D RI'!S24</f>
        <v>0</v>
      </c>
    </row>
    <row r="23" spans="1:22" x14ac:dyDescent="0.25">
      <c r="A23" s="298">
        <f>'A) Base RI'!A25</f>
        <v>5424</v>
      </c>
      <c r="B23" s="32" t="str">
        <f>'A) Base RI'!B25</f>
        <v>Berolle</v>
      </c>
      <c r="C23" s="296">
        <f>'B) D RI'!U25</f>
        <v>9307.5930888942275</v>
      </c>
      <c r="D23" s="32">
        <f>'B) D RI'!AA25</f>
        <v>307</v>
      </c>
      <c r="E23" s="202">
        <f t="shared" si="2"/>
        <v>30.317892797701067</v>
      </c>
      <c r="F23" s="371">
        <f t="shared" si="3"/>
        <v>0.67635605907664975</v>
      </c>
      <c r="G23" s="382">
        <f t="shared" si="4"/>
        <v>0</v>
      </c>
      <c r="H23" s="379">
        <f t="shared" si="5"/>
        <v>0</v>
      </c>
      <c r="I23" s="382">
        <f t="shared" si="6"/>
        <v>0</v>
      </c>
      <c r="J23" s="379">
        <f t="shared" si="7"/>
        <v>0</v>
      </c>
      <c r="K23" s="374">
        <f t="shared" si="8"/>
        <v>0</v>
      </c>
      <c r="L23" s="378">
        <f t="shared" si="9"/>
        <v>0</v>
      </c>
      <c r="M23" s="114">
        <f>L23*D23*'B) D RI'!S25</f>
        <v>0</v>
      </c>
    </row>
    <row r="24" spans="1:22" x14ac:dyDescent="0.25">
      <c r="A24" s="298">
        <f>'A) Base RI'!A26</f>
        <v>5425</v>
      </c>
      <c r="B24" s="32" t="str">
        <f>'A) Base RI'!B26</f>
        <v>Bière</v>
      </c>
      <c r="C24" s="296">
        <f>'B) D RI'!U26</f>
        <v>38506.775780608448</v>
      </c>
      <c r="D24" s="32">
        <f>'B) D RI'!AA26</f>
        <v>1595</v>
      </c>
      <c r="E24" s="202">
        <f t="shared" si="2"/>
        <v>24.142179172795267</v>
      </c>
      <c r="F24" s="371">
        <f t="shared" si="3"/>
        <v>0.53858324758217846</v>
      </c>
      <c r="G24" s="382">
        <f t="shared" si="4"/>
        <v>0</v>
      </c>
      <c r="H24" s="379">
        <f t="shared" si="5"/>
        <v>0</v>
      </c>
      <c r="I24" s="382">
        <f t="shared" si="6"/>
        <v>0</v>
      </c>
      <c r="J24" s="379">
        <f t="shared" si="7"/>
        <v>0</v>
      </c>
      <c r="K24" s="374">
        <f t="shared" si="8"/>
        <v>0</v>
      </c>
      <c r="L24" s="378">
        <f t="shared" si="9"/>
        <v>0</v>
      </c>
      <c r="M24" s="114">
        <f>L24*D24*'B) D RI'!S26</f>
        <v>0</v>
      </c>
    </row>
    <row r="25" spans="1:22" x14ac:dyDescent="0.25">
      <c r="A25" s="298">
        <f>'A) Base RI'!A27</f>
        <v>5426</v>
      </c>
      <c r="B25" s="32" t="str">
        <f>'A) Base RI'!B27</f>
        <v>Bougy-Villars</v>
      </c>
      <c r="C25" s="296">
        <f>'B) D RI'!U27</f>
        <v>50656.587213056948</v>
      </c>
      <c r="D25" s="32">
        <f>'B) D RI'!AA27</f>
        <v>490</v>
      </c>
      <c r="E25" s="202">
        <f t="shared" si="2"/>
        <v>103.38079023072846</v>
      </c>
      <c r="F25" s="371">
        <f t="shared" si="3"/>
        <v>2.3063022331811713</v>
      </c>
      <c r="G25" s="382">
        <f t="shared" si="4"/>
        <v>58.555446551408792</v>
      </c>
      <c r="H25" s="379">
        <f t="shared" si="5"/>
        <v>49.590377815544862</v>
      </c>
      <c r="I25" s="382">
        <f t="shared" si="6"/>
        <v>36.142774711748956</v>
      </c>
      <c r="J25" s="379">
        <f t="shared" si="7"/>
        <v>13.73010287208912</v>
      </c>
      <c r="K25" s="374">
        <f t="shared" si="8"/>
        <v>0</v>
      </c>
      <c r="L25" s="378">
        <f t="shared" si="9"/>
        <v>21.657414850220054</v>
      </c>
      <c r="M25" s="114">
        <f>L25*D25*'B) D RI'!S27</f>
        <v>700400.79625611659</v>
      </c>
    </row>
    <row r="26" spans="1:22" x14ac:dyDescent="0.25">
      <c r="A26" s="298">
        <f>'A) Base RI'!A28</f>
        <v>5427</v>
      </c>
      <c r="B26" s="32" t="str">
        <f>'A) Base RI'!B28</f>
        <v>Féchy</v>
      </c>
      <c r="C26" s="296">
        <f>'B) D RI'!U28</f>
        <v>72785.387066428128</v>
      </c>
      <c r="D26" s="32">
        <f>'B) D RI'!AA28</f>
        <v>860</v>
      </c>
      <c r="E26" s="202">
        <f t="shared" si="2"/>
        <v>84.634171007474563</v>
      </c>
      <c r="F26" s="371">
        <f t="shared" si="3"/>
        <v>1.8880874982899647</v>
      </c>
      <c r="G26" s="382">
        <f t="shared" si="4"/>
        <v>39.808827328154891</v>
      </c>
      <c r="H26" s="379">
        <f t="shared" si="5"/>
        <v>30.843758592290961</v>
      </c>
      <c r="I26" s="382">
        <f t="shared" si="6"/>
        <v>17.396155488495054</v>
      </c>
      <c r="J26" s="379">
        <f t="shared" si="7"/>
        <v>0</v>
      </c>
      <c r="K26" s="374">
        <f t="shared" si="8"/>
        <v>0</v>
      </c>
      <c r="L26" s="378">
        <f t="shared" si="9"/>
        <v>12.78575687370958</v>
      </c>
      <c r="M26" s="114">
        <f>L26*D26*'B) D RI'!S28</f>
        <v>703728.05832897534</v>
      </c>
    </row>
    <row r="27" spans="1:22" x14ac:dyDescent="0.25">
      <c r="A27" s="298">
        <f>'A) Base RI'!A29</f>
        <v>5428</v>
      </c>
      <c r="B27" s="32" t="str">
        <f>'A) Base RI'!B29</f>
        <v>Gimel</v>
      </c>
      <c r="C27" s="296">
        <f>'B) D RI'!U29</f>
        <v>58910.135180018216</v>
      </c>
      <c r="D27" s="32">
        <f>'B) D RI'!AA29</f>
        <v>2186</v>
      </c>
      <c r="E27" s="202">
        <f t="shared" si="2"/>
        <v>26.948826706321235</v>
      </c>
      <c r="F27" s="371">
        <f t="shared" si="3"/>
        <v>0.60119620942815366</v>
      </c>
      <c r="G27" s="382">
        <f t="shared" si="4"/>
        <v>0</v>
      </c>
      <c r="H27" s="379">
        <f t="shared" si="5"/>
        <v>0</v>
      </c>
      <c r="I27" s="382">
        <f t="shared" si="6"/>
        <v>0</v>
      </c>
      <c r="J27" s="379">
        <f t="shared" si="7"/>
        <v>0</v>
      </c>
      <c r="K27" s="374">
        <f t="shared" si="8"/>
        <v>0</v>
      </c>
      <c r="L27" s="378">
        <f t="shared" si="9"/>
        <v>0</v>
      </c>
      <c r="M27" s="114">
        <f>L27*D27*'B) D RI'!S29</f>
        <v>0</v>
      </c>
    </row>
    <row r="28" spans="1:22" x14ac:dyDescent="0.25">
      <c r="A28" s="298">
        <f>'A) Base RI'!A30</f>
        <v>5429</v>
      </c>
      <c r="B28" s="32" t="str">
        <f>'A) Base RI'!B30</f>
        <v>Longirod</v>
      </c>
      <c r="C28" s="296">
        <f>'B) D RI'!U30</f>
        <v>13766.784256066006</v>
      </c>
      <c r="D28" s="32">
        <f>'B) D RI'!AA30</f>
        <v>478</v>
      </c>
      <c r="E28" s="202">
        <f t="shared" si="2"/>
        <v>28.800803882983278</v>
      </c>
      <c r="F28" s="371">
        <f t="shared" si="3"/>
        <v>0.64251161327449291</v>
      </c>
      <c r="G28" s="382">
        <f t="shared" si="4"/>
        <v>0</v>
      </c>
      <c r="H28" s="379">
        <f t="shared" si="5"/>
        <v>0</v>
      </c>
      <c r="I28" s="382">
        <f t="shared" si="6"/>
        <v>0</v>
      </c>
      <c r="J28" s="379">
        <f t="shared" si="7"/>
        <v>0</v>
      </c>
      <c r="K28" s="374">
        <f t="shared" si="8"/>
        <v>0</v>
      </c>
      <c r="L28" s="378">
        <f t="shared" si="9"/>
        <v>0</v>
      </c>
      <c r="M28" s="114">
        <f>L28*D28*'B) D RI'!S30</f>
        <v>0</v>
      </c>
    </row>
    <row r="29" spans="1:22" x14ac:dyDescent="0.25">
      <c r="A29" s="298">
        <f>'A) Base RI'!A31</f>
        <v>5430</v>
      </c>
      <c r="B29" s="32" t="str">
        <f>'A) Base RI'!B31</f>
        <v>Marchissy</v>
      </c>
      <c r="C29" s="296">
        <f>'B) D RI'!U31</f>
        <v>13685.946067131534</v>
      </c>
      <c r="D29" s="32">
        <f>'B) D RI'!AA31</f>
        <v>463</v>
      </c>
      <c r="E29" s="202">
        <f t="shared" si="2"/>
        <v>29.559278762703098</v>
      </c>
      <c r="F29" s="371">
        <f t="shared" si="3"/>
        <v>0.65943228398135789</v>
      </c>
      <c r="G29" s="382">
        <f t="shared" si="4"/>
        <v>0</v>
      </c>
      <c r="H29" s="379">
        <f t="shared" si="5"/>
        <v>0</v>
      </c>
      <c r="I29" s="382">
        <f t="shared" si="6"/>
        <v>0</v>
      </c>
      <c r="J29" s="379">
        <f t="shared" si="7"/>
        <v>0</v>
      </c>
      <c r="K29" s="374">
        <f t="shared" si="8"/>
        <v>0</v>
      </c>
      <c r="L29" s="378">
        <f t="shared" si="9"/>
        <v>0</v>
      </c>
      <c r="M29" s="114">
        <f>L29*D29*'B) D RI'!S31</f>
        <v>0</v>
      </c>
    </row>
    <row r="30" spans="1:22" x14ac:dyDescent="0.25">
      <c r="A30" s="298">
        <f>'A) Base RI'!A32</f>
        <v>5431</v>
      </c>
      <c r="B30" s="32" t="str">
        <f>'A) Base RI'!B32</f>
        <v>Mollens</v>
      </c>
      <c r="C30" s="296">
        <f>'B) D RI'!U32</f>
        <v>8631.0396252458468</v>
      </c>
      <c r="D30" s="32">
        <f>'B) D RI'!AA32</f>
        <v>283</v>
      </c>
      <c r="E30" s="202">
        <f t="shared" si="2"/>
        <v>30.498373234084266</v>
      </c>
      <c r="F30" s="371">
        <f t="shared" si="3"/>
        <v>0.68038236253735174</v>
      </c>
      <c r="G30" s="382">
        <f t="shared" si="4"/>
        <v>0</v>
      </c>
      <c r="H30" s="379">
        <f t="shared" si="5"/>
        <v>0</v>
      </c>
      <c r="I30" s="382">
        <f t="shared" si="6"/>
        <v>0</v>
      </c>
      <c r="J30" s="379">
        <f t="shared" si="7"/>
        <v>0</v>
      </c>
      <c r="K30" s="374">
        <f t="shared" si="8"/>
        <v>0</v>
      </c>
      <c r="L30" s="378">
        <f t="shared" si="9"/>
        <v>0</v>
      </c>
      <c r="M30" s="114">
        <f>L30*D30*'B) D RI'!S32</f>
        <v>0</v>
      </c>
    </row>
    <row r="31" spans="1:22" x14ac:dyDescent="0.25">
      <c r="A31" s="298">
        <f>'A) Base RI'!A33</f>
        <v>5432</v>
      </c>
      <c r="B31" s="32" t="str">
        <f>'A) Base RI'!B33</f>
        <v>Montherod</v>
      </c>
      <c r="C31" s="296">
        <f>'B) D RI'!U33</f>
        <v>18119.784125682436</v>
      </c>
      <c r="D31" s="32">
        <f>'B) D RI'!AA33</f>
        <v>536</v>
      </c>
      <c r="E31" s="202">
        <f t="shared" si="2"/>
        <v>33.80556739866126</v>
      </c>
      <c r="F31" s="371">
        <f t="shared" si="3"/>
        <v>0.75416192323044196</v>
      </c>
      <c r="G31" s="382">
        <f t="shared" si="4"/>
        <v>0</v>
      </c>
      <c r="H31" s="379">
        <f t="shared" si="5"/>
        <v>0</v>
      </c>
      <c r="I31" s="382">
        <f t="shared" si="6"/>
        <v>0</v>
      </c>
      <c r="J31" s="379">
        <f t="shared" si="7"/>
        <v>0</v>
      </c>
      <c r="K31" s="374">
        <f t="shared" si="8"/>
        <v>0</v>
      </c>
      <c r="L31" s="378">
        <f t="shared" si="9"/>
        <v>0</v>
      </c>
      <c r="M31" s="114">
        <f>L31*D31*'B) D RI'!S33</f>
        <v>0</v>
      </c>
    </row>
    <row r="32" spans="1:22" x14ac:dyDescent="0.25">
      <c r="A32" s="298">
        <f>'A) Base RI'!A34</f>
        <v>5434</v>
      </c>
      <c r="B32" s="32" t="str">
        <f>'A) Base RI'!B34</f>
        <v>Saint-George</v>
      </c>
      <c r="C32" s="296">
        <f>'B) D RI'!U34</f>
        <v>36673.941124861783</v>
      </c>
      <c r="D32" s="32">
        <f>'B) D RI'!AA34</f>
        <v>1031</v>
      </c>
      <c r="E32" s="202">
        <f t="shared" si="2"/>
        <v>35.571232904812597</v>
      </c>
      <c r="F32" s="371">
        <f t="shared" si="3"/>
        <v>0.79355181656361751</v>
      </c>
      <c r="G32" s="382">
        <f t="shared" si="4"/>
        <v>0</v>
      </c>
      <c r="H32" s="379">
        <f t="shared" si="5"/>
        <v>0</v>
      </c>
      <c r="I32" s="382">
        <f t="shared" si="6"/>
        <v>0</v>
      </c>
      <c r="J32" s="379">
        <f t="shared" si="7"/>
        <v>0</v>
      </c>
      <c r="K32" s="374">
        <f t="shared" si="8"/>
        <v>0</v>
      </c>
      <c r="L32" s="378">
        <f t="shared" si="9"/>
        <v>0</v>
      </c>
      <c r="M32" s="114">
        <f>L32*D32*'B) D RI'!S34</f>
        <v>0</v>
      </c>
    </row>
    <row r="33" spans="1:13" x14ac:dyDescent="0.25">
      <c r="A33" s="298">
        <f>'A) Base RI'!A35</f>
        <v>5435</v>
      </c>
      <c r="B33" s="32" t="str">
        <f>'A) Base RI'!B35</f>
        <v>Saint-Livres</v>
      </c>
      <c r="C33" s="296">
        <f>'B) D RI'!U35</f>
        <v>24134.317552979472</v>
      </c>
      <c r="D33" s="32">
        <f>'B) D RI'!AA35</f>
        <v>690</v>
      </c>
      <c r="E33" s="202">
        <f t="shared" si="2"/>
        <v>34.977271815912275</v>
      </c>
      <c r="F33" s="371">
        <f t="shared" si="3"/>
        <v>0.78030125248206761</v>
      </c>
      <c r="G33" s="382">
        <f t="shared" si="4"/>
        <v>0</v>
      </c>
      <c r="H33" s="379">
        <f t="shared" si="5"/>
        <v>0</v>
      </c>
      <c r="I33" s="382">
        <f t="shared" si="6"/>
        <v>0</v>
      </c>
      <c r="J33" s="379">
        <f t="shared" si="7"/>
        <v>0</v>
      </c>
      <c r="K33" s="374">
        <f t="shared" si="8"/>
        <v>0</v>
      </c>
      <c r="L33" s="378">
        <f t="shared" si="9"/>
        <v>0</v>
      </c>
      <c r="M33" s="114">
        <f>L33*D33*'B) D RI'!S35</f>
        <v>0</v>
      </c>
    </row>
    <row r="34" spans="1:13" x14ac:dyDescent="0.25">
      <c r="A34" s="298">
        <f>'A) Base RI'!A36</f>
        <v>5436</v>
      </c>
      <c r="B34" s="32" t="str">
        <f>'A) Base RI'!B36</f>
        <v>Saint-Oyens</v>
      </c>
      <c r="C34" s="296">
        <f>'B) D RI'!U36</f>
        <v>15081.317332619743</v>
      </c>
      <c r="D34" s="32">
        <f>'B) D RI'!AA36</f>
        <v>448</v>
      </c>
      <c r="E34" s="202">
        <f t="shared" si="2"/>
        <v>33.663654760311928</v>
      </c>
      <c r="F34" s="371">
        <f t="shared" si="3"/>
        <v>0.75099602138338473</v>
      </c>
      <c r="G34" s="382">
        <f t="shared" si="4"/>
        <v>0</v>
      </c>
      <c r="H34" s="379">
        <f t="shared" si="5"/>
        <v>0</v>
      </c>
      <c r="I34" s="382">
        <f t="shared" si="6"/>
        <v>0</v>
      </c>
      <c r="J34" s="379">
        <f t="shared" si="7"/>
        <v>0</v>
      </c>
      <c r="K34" s="374">
        <f t="shared" si="8"/>
        <v>0</v>
      </c>
      <c r="L34" s="378">
        <f t="shared" si="9"/>
        <v>0</v>
      </c>
      <c r="M34" s="114">
        <f>L34*D34*'B) D RI'!S36</f>
        <v>0</v>
      </c>
    </row>
    <row r="35" spans="1:13" x14ac:dyDescent="0.25">
      <c r="A35" s="298">
        <f>'A) Base RI'!A37</f>
        <v>5437</v>
      </c>
      <c r="B35" s="32" t="str">
        <f>'A) Base RI'!B37</f>
        <v>Saubraz</v>
      </c>
      <c r="C35" s="296">
        <f>'B) D RI'!U37</f>
        <v>11367.539443741156</v>
      </c>
      <c r="D35" s="32">
        <f>'B) D RI'!AA37</f>
        <v>418</v>
      </c>
      <c r="E35" s="202">
        <f t="shared" si="2"/>
        <v>27.195070439572145</v>
      </c>
      <c r="F35" s="371">
        <f t="shared" si="3"/>
        <v>0.60668961367313923</v>
      </c>
      <c r="G35" s="382">
        <f t="shared" si="4"/>
        <v>0</v>
      </c>
      <c r="H35" s="379">
        <f t="shared" si="5"/>
        <v>0</v>
      </c>
      <c r="I35" s="382">
        <f t="shared" si="6"/>
        <v>0</v>
      </c>
      <c r="J35" s="379">
        <f t="shared" si="7"/>
        <v>0</v>
      </c>
      <c r="K35" s="374">
        <f t="shared" si="8"/>
        <v>0</v>
      </c>
      <c r="L35" s="378">
        <f t="shared" si="9"/>
        <v>0</v>
      </c>
      <c r="M35" s="114">
        <f>L35*D35*'B) D RI'!S37</f>
        <v>0</v>
      </c>
    </row>
    <row r="36" spans="1:13" x14ac:dyDescent="0.25">
      <c r="A36" s="298">
        <f>'A) Base RI'!A38</f>
        <v>5451</v>
      </c>
      <c r="B36" s="32" t="str">
        <f>'A) Base RI'!B38</f>
        <v>Avenches</v>
      </c>
      <c r="C36" s="296">
        <f>'B) D RI'!U38</f>
        <v>129470.05703979287</v>
      </c>
      <c r="D36" s="32">
        <f>'B) D RI'!AA38</f>
        <v>4282</v>
      </c>
      <c r="E36" s="202">
        <f t="shared" si="2"/>
        <v>30.235884409106227</v>
      </c>
      <c r="F36" s="371">
        <f t="shared" si="3"/>
        <v>0.67452654965489212</v>
      </c>
      <c r="G36" s="382">
        <f t="shared" si="4"/>
        <v>0</v>
      </c>
      <c r="H36" s="379">
        <f t="shared" si="5"/>
        <v>0</v>
      </c>
      <c r="I36" s="382">
        <f t="shared" si="6"/>
        <v>0</v>
      </c>
      <c r="J36" s="379">
        <f t="shared" si="7"/>
        <v>0</v>
      </c>
      <c r="K36" s="374">
        <f t="shared" si="8"/>
        <v>0</v>
      </c>
      <c r="L36" s="378">
        <f t="shared" si="9"/>
        <v>0</v>
      </c>
      <c r="M36" s="114">
        <f>L36*D36*'B) D RI'!S38</f>
        <v>0</v>
      </c>
    </row>
    <row r="37" spans="1:13" x14ac:dyDescent="0.25">
      <c r="A37" s="298">
        <f>'A) Base RI'!A39</f>
        <v>5456</v>
      </c>
      <c r="B37" s="32" t="str">
        <f>'A) Base RI'!B39</f>
        <v>Cudrefin</v>
      </c>
      <c r="C37" s="296">
        <f>'B) D RI'!U39</f>
        <v>57775.409957876167</v>
      </c>
      <c r="D37" s="32">
        <f>'B) D RI'!AA39</f>
        <v>1633</v>
      </c>
      <c r="E37" s="202">
        <f t="shared" si="2"/>
        <v>35.379920366121354</v>
      </c>
      <c r="F37" s="371">
        <f t="shared" si="3"/>
        <v>0.78928386180882759</v>
      </c>
      <c r="G37" s="382">
        <f t="shared" si="4"/>
        <v>0</v>
      </c>
      <c r="H37" s="379">
        <f t="shared" si="5"/>
        <v>0</v>
      </c>
      <c r="I37" s="382">
        <f t="shared" si="6"/>
        <v>0</v>
      </c>
      <c r="J37" s="379">
        <f t="shared" si="7"/>
        <v>0</v>
      </c>
      <c r="K37" s="374">
        <f t="shared" si="8"/>
        <v>0</v>
      </c>
      <c r="L37" s="378">
        <f t="shared" si="9"/>
        <v>0</v>
      </c>
      <c r="M37" s="114">
        <f>L37*D37*'B) D RI'!S39</f>
        <v>0</v>
      </c>
    </row>
    <row r="38" spans="1:13" x14ac:dyDescent="0.25">
      <c r="A38" s="298">
        <f>'A) Base RI'!A40</f>
        <v>5458</v>
      </c>
      <c r="B38" s="32" t="str">
        <f>'A) Base RI'!B40</f>
        <v>Faoug</v>
      </c>
      <c r="C38" s="296">
        <f>'B) D RI'!U40</f>
        <v>30027.038437033407</v>
      </c>
      <c r="D38" s="32">
        <f>'B) D RI'!AA40</f>
        <v>904</v>
      </c>
      <c r="E38" s="202">
        <f t="shared" si="2"/>
        <v>33.215750483444033</v>
      </c>
      <c r="F38" s="371">
        <f t="shared" si="3"/>
        <v>0.74100381072523114</v>
      </c>
      <c r="G38" s="382">
        <f t="shared" si="4"/>
        <v>0</v>
      </c>
      <c r="H38" s="379">
        <f t="shared" si="5"/>
        <v>0</v>
      </c>
      <c r="I38" s="382">
        <f t="shared" si="6"/>
        <v>0</v>
      </c>
      <c r="J38" s="379">
        <f t="shared" si="7"/>
        <v>0</v>
      </c>
      <c r="K38" s="374">
        <f t="shared" si="8"/>
        <v>0</v>
      </c>
      <c r="L38" s="378">
        <f t="shared" si="9"/>
        <v>0</v>
      </c>
      <c r="M38" s="114">
        <f>L38*D38*'B) D RI'!S40</f>
        <v>0</v>
      </c>
    </row>
    <row r="39" spans="1:13" x14ac:dyDescent="0.25">
      <c r="A39" s="298">
        <f>'A) Base RI'!A41</f>
        <v>5464</v>
      </c>
      <c r="B39" s="32" t="str">
        <f>'A) Base RI'!B41</f>
        <v>Vully-les-Lacs</v>
      </c>
      <c r="C39" s="296">
        <f>'B) D RI'!U41</f>
        <v>103697.32714902573</v>
      </c>
      <c r="D39" s="32">
        <f>'B) D RI'!AA41</f>
        <v>3163</v>
      </c>
      <c r="E39" s="202">
        <f t="shared" si="2"/>
        <v>32.784485345882302</v>
      </c>
      <c r="F39" s="371">
        <f t="shared" si="3"/>
        <v>0.73138279943646112</v>
      </c>
      <c r="G39" s="382">
        <f t="shared" si="4"/>
        <v>0</v>
      </c>
      <c r="H39" s="379">
        <f t="shared" si="5"/>
        <v>0</v>
      </c>
      <c r="I39" s="382">
        <f t="shared" si="6"/>
        <v>0</v>
      </c>
      <c r="J39" s="379">
        <f t="shared" si="7"/>
        <v>0</v>
      </c>
      <c r="K39" s="374">
        <f t="shared" si="8"/>
        <v>0</v>
      </c>
      <c r="L39" s="378">
        <f t="shared" si="9"/>
        <v>0</v>
      </c>
      <c r="M39" s="114">
        <f>L39*D39*'B) D RI'!S41</f>
        <v>0</v>
      </c>
    </row>
    <row r="40" spans="1:13" x14ac:dyDescent="0.25">
      <c r="A40" s="298">
        <f>'A) Base RI'!A42</f>
        <v>5471</v>
      </c>
      <c r="B40" s="32" t="str">
        <f>'A) Base RI'!B42</f>
        <v>Bettens</v>
      </c>
      <c r="C40" s="296">
        <f>'B) D RI'!U42</f>
        <v>18256.794083184803</v>
      </c>
      <c r="D40" s="32">
        <f>'B) D RI'!AA42</f>
        <v>592</v>
      </c>
      <c r="E40" s="202">
        <f t="shared" si="2"/>
        <v>30.839179194568924</v>
      </c>
      <c r="F40" s="371">
        <f t="shared" si="3"/>
        <v>0.68798533738396495</v>
      </c>
      <c r="G40" s="382">
        <f t="shared" si="4"/>
        <v>0</v>
      </c>
      <c r="H40" s="379">
        <f t="shared" si="5"/>
        <v>0</v>
      </c>
      <c r="I40" s="382">
        <f t="shared" si="6"/>
        <v>0</v>
      </c>
      <c r="J40" s="379">
        <f t="shared" si="7"/>
        <v>0</v>
      </c>
      <c r="K40" s="374">
        <f t="shared" si="8"/>
        <v>0</v>
      </c>
      <c r="L40" s="378">
        <f t="shared" si="9"/>
        <v>0</v>
      </c>
      <c r="M40" s="114">
        <f>L40*D40*'B) D RI'!S42</f>
        <v>0</v>
      </c>
    </row>
    <row r="41" spans="1:13" x14ac:dyDescent="0.25">
      <c r="A41" s="298">
        <f>'A) Base RI'!A43</f>
        <v>5472</v>
      </c>
      <c r="B41" s="32" t="str">
        <f>'A) Base RI'!B43</f>
        <v>Bournens</v>
      </c>
      <c r="C41" s="296">
        <f>'B) D RI'!U43</f>
        <v>16446.057551579073</v>
      </c>
      <c r="D41" s="32">
        <f>'B) D RI'!AA43</f>
        <v>404</v>
      </c>
      <c r="E41" s="202">
        <f t="shared" si="2"/>
        <v>40.708063246482858</v>
      </c>
      <c r="F41" s="371">
        <f t="shared" si="3"/>
        <v>0.90814838002599996</v>
      </c>
      <c r="G41" s="382">
        <f t="shared" si="4"/>
        <v>0</v>
      </c>
      <c r="H41" s="379">
        <f t="shared" si="5"/>
        <v>0</v>
      </c>
      <c r="I41" s="382">
        <f t="shared" si="6"/>
        <v>0</v>
      </c>
      <c r="J41" s="379">
        <f t="shared" si="7"/>
        <v>0</v>
      </c>
      <c r="K41" s="374">
        <f t="shared" si="8"/>
        <v>0</v>
      </c>
      <c r="L41" s="378">
        <f t="shared" si="9"/>
        <v>0</v>
      </c>
      <c r="M41" s="114">
        <f>L41*D41*'B) D RI'!S43</f>
        <v>0</v>
      </c>
    </row>
    <row r="42" spans="1:13" x14ac:dyDescent="0.25">
      <c r="A42" s="298">
        <f>'A) Base RI'!A44</f>
        <v>5473</v>
      </c>
      <c r="B42" s="32" t="str">
        <f>'A) Base RI'!B44</f>
        <v>Boussens</v>
      </c>
      <c r="C42" s="296">
        <f>'B) D RI'!U44</f>
        <v>35765.75205607291</v>
      </c>
      <c r="D42" s="32">
        <f>'B) D RI'!AA44</f>
        <v>968</v>
      </c>
      <c r="E42" s="202">
        <f t="shared" si="2"/>
        <v>36.948090967017471</v>
      </c>
      <c r="F42" s="371">
        <f t="shared" si="3"/>
        <v>0.82426787915657629</v>
      </c>
      <c r="G42" s="382">
        <f t="shared" si="4"/>
        <v>0</v>
      </c>
      <c r="H42" s="379">
        <f t="shared" si="5"/>
        <v>0</v>
      </c>
      <c r="I42" s="382">
        <f t="shared" si="6"/>
        <v>0</v>
      </c>
      <c r="J42" s="379">
        <f t="shared" si="7"/>
        <v>0</v>
      </c>
      <c r="K42" s="374">
        <f t="shared" si="8"/>
        <v>0</v>
      </c>
      <c r="L42" s="378">
        <f t="shared" si="9"/>
        <v>0</v>
      </c>
      <c r="M42" s="114">
        <f>L42*D42*'B) D RI'!S44</f>
        <v>0</v>
      </c>
    </row>
    <row r="43" spans="1:13" x14ac:dyDescent="0.25">
      <c r="A43" s="298">
        <f>'A) Base RI'!A45</f>
        <v>5474</v>
      </c>
      <c r="B43" s="32" t="str">
        <f>'A) Base RI'!B45</f>
        <v>La Chaux (Cossonay)</v>
      </c>
      <c r="C43" s="296">
        <f>'B) D RI'!U45</f>
        <v>12972.284673481885</v>
      </c>
      <c r="D43" s="32">
        <f>'B) D RI'!AA45</f>
        <v>410</v>
      </c>
      <c r="E43" s="202">
        <f t="shared" si="2"/>
        <v>31.639718715809476</v>
      </c>
      <c r="F43" s="371">
        <f t="shared" si="3"/>
        <v>0.7058444201155466</v>
      </c>
      <c r="G43" s="382">
        <f t="shared" si="4"/>
        <v>0</v>
      </c>
      <c r="H43" s="379">
        <f t="shared" si="5"/>
        <v>0</v>
      </c>
      <c r="I43" s="382">
        <f t="shared" si="6"/>
        <v>0</v>
      </c>
      <c r="J43" s="379">
        <f t="shared" si="7"/>
        <v>0</v>
      </c>
      <c r="K43" s="374">
        <f t="shared" si="8"/>
        <v>0</v>
      </c>
      <c r="L43" s="378">
        <f t="shared" si="9"/>
        <v>0</v>
      </c>
      <c r="M43" s="114">
        <f>L43*D43*'B) D RI'!S45</f>
        <v>0</v>
      </c>
    </row>
    <row r="44" spans="1:13" x14ac:dyDescent="0.25">
      <c r="A44" s="298">
        <f>'A) Base RI'!A46</f>
        <v>5475</v>
      </c>
      <c r="B44" s="32" t="str">
        <f>'A) Base RI'!B46</f>
        <v>Chavannes-le-Veyron</v>
      </c>
      <c r="C44" s="296">
        <f>'B) D RI'!U46</f>
        <v>4902.1559506290205</v>
      </c>
      <c r="D44" s="32">
        <f>'B) D RI'!AA46</f>
        <v>142</v>
      </c>
      <c r="E44" s="202">
        <f t="shared" si="2"/>
        <v>34.522225004429721</v>
      </c>
      <c r="F44" s="371">
        <f t="shared" si="3"/>
        <v>0.7701497003882799</v>
      </c>
      <c r="G44" s="382">
        <f t="shared" si="4"/>
        <v>0</v>
      </c>
      <c r="H44" s="379">
        <f t="shared" si="5"/>
        <v>0</v>
      </c>
      <c r="I44" s="382">
        <f t="shared" si="6"/>
        <v>0</v>
      </c>
      <c r="J44" s="379">
        <f t="shared" si="7"/>
        <v>0</v>
      </c>
      <c r="K44" s="374">
        <f t="shared" si="8"/>
        <v>0</v>
      </c>
      <c r="L44" s="378">
        <f t="shared" si="9"/>
        <v>0</v>
      </c>
      <c r="M44" s="114">
        <f>L44*D44*'B) D RI'!S46</f>
        <v>0</v>
      </c>
    </row>
    <row r="45" spans="1:13" x14ac:dyDescent="0.25">
      <c r="A45" s="298">
        <f>'A) Base RI'!A47</f>
        <v>5476</v>
      </c>
      <c r="B45" s="32" t="str">
        <f>'A) Base RI'!B47</f>
        <v>Chevilly</v>
      </c>
      <c r="C45" s="296">
        <f>'B) D RI'!U47</f>
        <v>10687.030816086675</v>
      </c>
      <c r="D45" s="32">
        <f>'B) D RI'!AA47</f>
        <v>314</v>
      </c>
      <c r="E45" s="202">
        <f t="shared" si="2"/>
        <v>34.035129987537182</v>
      </c>
      <c r="F45" s="371">
        <f t="shared" si="3"/>
        <v>0.75928319102301511</v>
      </c>
      <c r="G45" s="382">
        <f t="shared" si="4"/>
        <v>0</v>
      </c>
      <c r="H45" s="379">
        <f t="shared" si="5"/>
        <v>0</v>
      </c>
      <c r="I45" s="382">
        <f t="shared" si="6"/>
        <v>0</v>
      </c>
      <c r="J45" s="379">
        <f t="shared" si="7"/>
        <v>0</v>
      </c>
      <c r="K45" s="374">
        <f t="shared" si="8"/>
        <v>0</v>
      </c>
      <c r="L45" s="378">
        <f t="shared" si="9"/>
        <v>0</v>
      </c>
      <c r="M45" s="114">
        <f>L45*D45*'B) D RI'!S47</f>
        <v>0</v>
      </c>
    </row>
    <row r="46" spans="1:13" x14ac:dyDescent="0.25">
      <c r="A46" s="298">
        <f>'A) Base RI'!A48</f>
        <v>5477</v>
      </c>
      <c r="B46" s="32" t="str">
        <f>'A) Base RI'!B48</f>
        <v>Cossonay</v>
      </c>
      <c r="C46" s="296">
        <f>'B) D RI'!U48</f>
        <v>129587.92698014184</v>
      </c>
      <c r="D46" s="32">
        <f>'B) D RI'!AA48</f>
        <v>3871</v>
      </c>
      <c r="E46" s="202">
        <f t="shared" si="2"/>
        <v>33.476602164851933</v>
      </c>
      <c r="F46" s="371">
        <f t="shared" si="3"/>
        <v>0.74682310088559301</v>
      </c>
      <c r="G46" s="382">
        <f t="shared" si="4"/>
        <v>0</v>
      </c>
      <c r="H46" s="379">
        <f t="shared" si="5"/>
        <v>0</v>
      </c>
      <c r="I46" s="382">
        <f t="shared" si="6"/>
        <v>0</v>
      </c>
      <c r="J46" s="379">
        <f t="shared" si="7"/>
        <v>0</v>
      </c>
      <c r="K46" s="374">
        <f t="shared" si="8"/>
        <v>0</v>
      </c>
      <c r="L46" s="378">
        <f t="shared" si="9"/>
        <v>0</v>
      </c>
      <c r="M46" s="114">
        <f>L46*D46*'B) D RI'!S48</f>
        <v>0</v>
      </c>
    </row>
    <row r="47" spans="1:13" x14ac:dyDescent="0.25">
      <c r="A47" s="298">
        <f>'A) Base RI'!A49</f>
        <v>5478</v>
      </c>
      <c r="B47" s="32" t="str">
        <f>'A) Base RI'!B49</f>
        <v>Cottens</v>
      </c>
      <c r="C47" s="296">
        <f>'B) D RI'!U49</f>
        <v>14208.71013401275</v>
      </c>
      <c r="D47" s="32">
        <f>'B) D RI'!AA49</f>
        <v>486</v>
      </c>
      <c r="E47" s="202">
        <f t="shared" si="2"/>
        <v>29.236029082330763</v>
      </c>
      <c r="F47" s="371">
        <f t="shared" si="3"/>
        <v>0.65222096882257496</v>
      </c>
      <c r="G47" s="382">
        <f t="shared" si="4"/>
        <v>0</v>
      </c>
      <c r="H47" s="379">
        <f t="shared" si="5"/>
        <v>0</v>
      </c>
      <c r="I47" s="382">
        <f t="shared" si="6"/>
        <v>0</v>
      </c>
      <c r="J47" s="379">
        <f t="shared" si="7"/>
        <v>0</v>
      </c>
      <c r="K47" s="374">
        <f t="shared" si="8"/>
        <v>0</v>
      </c>
      <c r="L47" s="378">
        <f t="shared" si="9"/>
        <v>0</v>
      </c>
      <c r="M47" s="114">
        <f>L47*D47*'B) D RI'!S49</f>
        <v>0</v>
      </c>
    </row>
    <row r="48" spans="1:13" x14ac:dyDescent="0.25">
      <c r="A48" s="298">
        <f>'A) Base RI'!A50</f>
        <v>5479</v>
      </c>
      <c r="B48" s="32" t="str">
        <f>'A) Base RI'!B50</f>
        <v>Cuarnens</v>
      </c>
      <c r="C48" s="296">
        <f>'B) D RI'!U50</f>
        <v>16421.228790353522</v>
      </c>
      <c r="D48" s="32">
        <f>'B) D RI'!AA50</f>
        <v>479</v>
      </c>
      <c r="E48" s="202">
        <f t="shared" si="2"/>
        <v>34.282314802408187</v>
      </c>
      <c r="F48" s="371">
        <f t="shared" si="3"/>
        <v>0.76479758967747635</v>
      </c>
      <c r="G48" s="382">
        <f t="shared" si="4"/>
        <v>0</v>
      </c>
      <c r="H48" s="379">
        <f t="shared" si="5"/>
        <v>0</v>
      </c>
      <c r="I48" s="382">
        <f t="shared" si="6"/>
        <v>0</v>
      </c>
      <c r="J48" s="379">
        <f t="shared" si="7"/>
        <v>0</v>
      </c>
      <c r="K48" s="374">
        <f t="shared" si="8"/>
        <v>0</v>
      </c>
      <c r="L48" s="378">
        <f t="shared" si="9"/>
        <v>0</v>
      </c>
      <c r="M48" s="114">
        <f>L48*D48*'B) D RI'!S50</f>
        <v>0</v>
      </c>
    </row>
    <row r="49" spans="1:13" x14ac:dyDescent="0.25">
      <c r="A49" s="298">
        <f>'A) Base RI'!A51</f>
        <v>5480</v>
      </c>
      <c r="B49" s="32" t="str">
        <f>'A) Base RI'!B51</f>
        <v>Daillens</v>
      </c>
      <c r="C49" s="296">
        <f>'B) D RI'!U51</f>
        <v>41263.325123050025</v>
      </c>
      <c r="D49" s="32">
        <f>'B) D RI'!AA51</f>
        <v>1027</v>
      </c>
      <c r="E49" s="202">
        <f t="shared" si="2"/>
        <v>40.178505475219112</v>
      </c>
      <c r="F49" s="371">
        <f t="shared" si="3"/>
        <v>0.89633457721274767</v>
      </c>
      <c r="G49" s="382">
        <f t="shared" si="4"/>
        <v>0</v>
      </c>
      <c r="H49" s="379">
        <f t="shared" si="5"/>
        <v>0</v>
      </c>
      <c r="I49" s="382">
        <f t="shared" si="6"/>
        <v>0</v>
      </c>
      <c r="J49" s="379">
        <f t="shared" si="7"/>
        <v>0</v>
      </c>
      <c r="K49" s="374">
        <f t="shared" si="8"/>
        <v>0</v>
      </c>
      <c r="L49" s="378">
        <f t="shared" si="9"/>
        <v>0</v>
      </c>
      <c r="M49" s="114">
        <f>L49*D49*'B) D RI'!S51</f>
        <v>0</v>
      </c>
    </row>
    <row r="50" spans="1:13" x14ac:dyDescent="0.25">
      <c r="A50" s="298">
        <f>'A) Base RI'!A52</f>
        <v>5481</v>
      </c>
      <c r="B50" s="32" t="str">
        <f>'A) Base RI'!B52</f>
        <v>Dizy</v>
      </c>
      <c r="C50" s="296">
        <f>'B) D RI'!U52</f>
        <v>10892.048755040036</v>
      </c>
      <c r="D50" s="32">
        <f>'B) D RI'!AA52</f>
        <v>223</v>
      </c>
      <c r="E50" s="202">
        <f t="shared" si="2"/>
        <v>48.843267959820786</v>
      </c>
      <c r="F50" s="371">
        <f t="shared" si="3"/>
        <v>1.0896351026161746</v>
      </c>
      <c r="G50" s="382">
        <f t="shared" si="4"/>
        <v>4.0179242805011128</v>
      </c>
      <c r="H50" s="379">
        <f t="shared" si="5"/>
        <v>0</v>
      </c>
      <c r="I50" s="382">
        <f t="shared" si="6"/>
        <v>0</v>
      </c>
      <c r="J50" s="379">
        <f t="shared" si="7"/>
        <v>0</v>
      </c>
      <c r="K50" s="374">
        <f t="shared" si="8"/>
        <v>0</v>
      </c>
      <c r="L50" s="378">
        <f t="shared" si="9"/>
        <v>0.80358485610022257</v>
      </c>
      <c r="M50" s="114">
        <f>L50*D50*'B) D RI'!S52</f>
        <v>14156.754409917621</v>
      </c>
    </row>
    <row r="51" spans="1:13" x14ac:dyDescent="0.25">
      <c r="A51" s="298">
        <f>'A) Base RI'!A53</f>
        <v>5482</v>
      </c>
      <c r="B51" s="32" t="str">
        <f>'A) Base RI'!B53</f>
        <v>Eclépens</v>
      </c>
      <c r="C51" s="296">
        <f>'B) D RI'!U53</f>
        <v>46793.329731079626</v>
      </c>
      <c r="D51" s="32">
        <f>'B) D RI'!AA53</f>
        <v>1211</v>
      </c>
      <c r="E51" s="202">
        <f t="shared" si="2"/>
        <v>38.640239249446431</v>
      </c>
      <c r="F51" s="371">
        <f t="shared" si="3"/>
        <v>0.86201769083754376</v>
      </c>
      <c r="G51" s="382">
        <f t="shared" si="4"/>
        <v>0</v>
      </c>
      <c r="H51" s="379">
        <f t="shared" si="5"/>
        <v>0</v>
      </c>
      <c r="I51" s="382">
        <f t="shared" si="6"/>
        <v>0</v>
      </c>
      <c r="J51" s="379">
        <f t="shared" si="7"/>
        <v>0</v>
      </c>
      <c r="K51" s="374">
        <f t="shared" si="8"/>
        <v>0</v>
      </c>
      <c r="L51" s="378">
        <f t="shared" si="9"/>
        <v>0</v>
      </c>
      <c r="M51" s="114">
        <f>L51*D51*'B) D RI'!S53</f>
        <v>0</v>
      </c>
    </row>
    <row r="52" spans="1:13" x14ac:dyDescent="0.25">
      <c r="A52" s="298">
        <f>'A) Base RI'!A54</f>
        <v>5483</v>
      </c>
      <c r="B52" s="32" t="str">
        <f>'A) Base RI'!B54</f>
        <v>Ferreyres</v>
      </c>
      <c r="C52" s="296">
        <f>'B) D RI'!U54</f>
        <v>8879.9356567959585</v>
      </c>
      <c r="D52" s="32">
        <f>'B) D RI'!AA54</f>
        <v>310</v>
      </c>
      <c r="E52" s="202">
        <f t="shared" si="2"/>
        <v>28.644953731599866</v>
      </c>
      <c r="F52" s="371">
        <f t="shared" si="3"/>
        <v>0.63903478212070719</v>
      </c>
      <c r="G52" s="382">
        <f t="shared" si="4"/>
        <v>0</v>
      </c>
      <c r="H52" s="379">
        <f t="shared" si="5"/>
        <v>0</v>
      </c>
      <c r="I52" s="382">
        <f t="shared" si="6"/>
        <v>0</v>
      </c>
      <c r="J52" s="379">
        <f t="shared" si="7"/>
        <v>0</v>
      </c>
      <c r="K52" s="374">
        <f t="shared" si="8"/>
        <v>0</v>
      </c>
      <c r="L52" s="378">
        <f t="shared" si="9"/>
        <v>0</v>
      </c>
      <c r="M52" s="114">
        <f>L52*D52*'B) D RI'!S54</f>
        <v>0</v>
      </c>
    </row>
    <row r="53" spans="1:13" x14ac:dyDescent="0.25">
      <c r="A53" s="298">
        <f>'A) Base RI'!A55</f>
        <v>5484</v>
      </c>
      <c r="B53" s="32" t="str">
        <f>'A) Base RI'!B55</f>
        <v>Gollion</v>
      </c>
      <c r="C53" s="296">
        <f>'B) D RI'!U55</f>
        <v>31794.268758715236</v>
      </c>
      <c r="D53" s="32">
        <f>'B) D RI'!AA55</f>
        <v>939</v>
      </c>
      <c r="E53" s="202">
        <f t="shared" si="2"/>
        <v>33.85971113814189</v>
      </c>
      <c r="F53" s="371">
        <f t="shared" si="3"/>
        <v>0.75536980553621913</v>
      </c>
      <c r="G53" s="382">
        <f t="shared" si="4"/>
        <v>0</v>
      </c>
      <c r="H53" s="379">
        <f t="shared" si="5"/>
        <v>0</v>
      </c>
      <c r="I53" s="382">
        <f t="shared" si="6"/>
        <v>0</v>
      </c>
      <c r="J53" s="379">
        <f t="shared" si="7"/>
        <v>0</v>
      </c>
      <c r="K53" s="374">
        <f t="shared" si="8"/>
        <v>0</v>
      </c>
      <c r="L53" s="378">
        <f t="shared" si="9"/>
        <v>0</v>
      </c>
      <c r="M53" s="114">
        <f>L53*D53*'B) D RI'!S55</f>
        <v>0</v>
      </c>
    </row>
    <row r="54" spans="1:13" x14ac:dyDescent="0.25">
      <c r="A54" s="298">
        <f>'A) Base RI'!A56</f>
        <v>5485</v>
      </c>
      <c r="B54" s="32" t="str">
        <f>'A) Base RI'!B56</f>
        <v>Grancy</v>
      </c>
      <c r="C54" s="296">
        <f>'B) D RI'!U56</f>
        <v>18552.92429477413</v>
      </c>
      <c r="D54" s="32">
        <f>'B) D RI'!AA56</f>
        <v>398</v>
      </c>
      <c r="E54" s="202">
        <f t="shared" si="2"/>
        <v>46.615387675311887</v>
      </c>
      <c r="F54" s="371">
        <f t="shared" si="3"/>
        <v>1.0399337483901558</v>
      </c>
      <c r="G54" s="382">
        <f t="shared" si="4"/>
        <v>1.7900439959922139</v>
      </c>
      <c r="H54" s="379">
        <f t="shared" si="5"/>
        <v>0</v>
      </c>
      <c r="I54" s="382">
        <f t="shared" si="6"/>
        <v>0</v>
      </c>
      <c r="J54" s="379">
        <f t="shared" si="7"/>
        <v>0</v>
      </c>
      <c r="K54" s="374">
        <f t="shared" si="8"/>
        <v>0</v>
      </c>
      <c r="L54" s="378">
        <f t="shared" si="9"/>
        <v>0.35800879919844281</v>
      </c>
      <c r="M54" s="114">
        <f>L54*D54*'B) D RI'!S56</f>
        <v>9974.1251456686168</v>
      </c>
    </row>
    <row r="55" spans="1:13" x14ac:dyDescent="0.25">
      <c r="A55" s="298">
        <f>'A) Base RI'!A57</f>
        <v>5486</v>
      </c>
      <c r="B55" s="32" t="str">
        <f>'A) Base RI'!B57</f>
        <v>L'Isle</v>
      </c>
      <c r="C55" s="296">
        <f>'B) D RI'!U57</f>
        <v>30546.431240274927</v>
      </c>
      <c r="D55" s="32">
        <f>'B) D RI'!AA57</f>
        <v>1005</v>
      </c>
      <c r="E55" s="202">
        <f t="shared" si="2"/>
        <v>30.394458945547193</v>
      </c>
      <c r="F55" s="371">
        <f t="shared" si="3"/>
        <v>0.67806415859271552</v>
      </c>
      <c r="G55" s="382">
        <f t="shared" si="4"/>
        <v>0</v>
      </c>
      <c r="H55" s="379">
        <f t="shared" si="5"/>
        <v>0</v>
      </c>
      <c r="I55" s="382">
        <f t="shared" si="6"/>
        <v>0</v>
      </c>
      <c r="J55" s="379">
        <f t="shared" si="7"/>
        <v>0</v>
      </c>
      <c r="K55" s="374">
        <f t="shared" si="8"/>
        <v>0</v>
      </c>
      <c r="L55" s="378">
        <f t="shared" si="9"/>
        <v>0</v>
      </c>
      <c r="M55" s="114">
        <f>L55*D55*'B) D RI'!S57</f>
        <v>0</v>
      </c>
    </row>
    <row r="56" spans="1:13" x14ac:dyDescent="0.25">
      <c r="A56" s="298">
        <f>'A) Base RI'!A58</f>
        <v>5487</v>
      </c>
      <c r="B56" s="32" t="str">
        <f>'A) Base RI'!B58</f>
        <v>Lussery-Villars</v>
      </c>
      <c r="C56" s="296">
        <f>'B) D RI'!U58</f>
        <v>14615.228333906985</v>
      </c>
      <c r="D56" s="32">
        <f>'B) D RI'!AA58</f>
        <v>462</v>
      </c>
      <c r="E56" s="202">
        <f t="shared" si="2"/>
        <v>31.634693363435034</v>
      </c>
      <c r="F56" s="371">
        <f t="shared" si="3"/>
        <v>0.70573231049268692</v>
      </c>
      <c r="G56" s="382">
        <f t="shared" si="4"/>
        <v>0</v>
      </c>
      <c r="H56" s="379">
        <f t="shared" si="5"/>
        <v>0</v>
      </c>
      <c r="I56" s="382">
        <f t="shared" si="6"/>
        <v>0</v>
      </c>
      <c r="J56" s="379">
        <f t="shared" si="7"/>
        <v>0</v>
      </c>
      <c r="K56" s="374">
        <f t="shared" si="8"/>
        <v>0</v>
      </c>
      <c r="L56" s="378">
        <f t="shared" si="9"/>
        <v>0</v>
      </c>
      <c r="M56" s="114">
        <f>L56*D56*'B) D RI'!S58</f>
        <v>0</v>
      </c>
    </row>
    <row r="57" spans="1:13" x14ac:dyDescent="0.25">
      <c r="A57" s="298">
        <f>'A) Base RI'!A59</f>
        <v>5488</v>
      </c>
      <c r="B57" s="32" t="str">
        <f>'A) Base RI'!B59</f>
        <v>Mauraz</v>
      </c>
      <c r="C57" s="296">
        <f>'B) D RI'!U59</f>
        <v>1907.69174397183</v>
      </c>
      <c r="D57" s="32">
        <f>'B) D RI'!AA59</f>
        <v>59</v>
      </c>
      <c r="E57" s="202">
        <f t="shared" si="2"/>
        <v>32.333758372403899</v>
      </c>
      <c r="F57" s="371">
        <f t="shared" si="3"/>
        <v>0.72132761778067955</v>
      </c>
      <c r="G57" s="382">
        <f t="shared" si="4"/>
        <v>0</v>
      </c>
      <c r="H57" s="379">
        <f t="shared" si="5"/>
        <v>0</v>
      </c>
      <c r="I57" s="382">
        <f t="shared" si="6"/>
        <v>0</v>
      </c>
      <c r="J57" s="379">
        <f t="shared" si="7"/>
        <v>0</v>
      </c>
      <c r="K57" s="374">
        <f t="shared" si="8"/>
        <v>0</v>
      </c>
      <c r="L57" s="378">
        <f t="shared" si="9"/>
        <v>0</v>
      </c>
      <c r="M57" s="114">
        <f>L57*D57*'B) D RI'!S59</f>
        <v>0</v>
      </c>
    </row>
    <row r="58" spans="1:13" x14ac:dyDescent="0.25">
      <c r="A58" s="298">
        <f>'A) Base RI'!A60</f>
        <v>5489</v>
      </c>
      <c r="B58" s="32" t="str">
        <f>'A) Base RI'!B60</f>
        <v>Mex</v>
      </c>
      <c r="C58" s="296">
        <f>'B) D RI'!U60</f>
        <v>59050.274266098029</v>
      </c>
      <c r="D58" s="32">
        <f>'B) D RI'!AA60</f>
        <v>725</v>
      </c>
      <c r="E58" s="202">
        <f t="shared" si="2"/>
        <v>81.448654160135206</v>
      </c>
      <c r="F58" s="371">
        <f t="shared" si="3"/>
        <v>1.8170224135439663</v>
      </c>
      <c r="G58" s="382">
        <f t="shared" si="4"/>
        <v>36.623310480815533</v>
      </c>
      <c r="H58" s="379">
        <f t="shared" si="5"/>
        <v>27.658241744951603</v>
      </c>
      <c r="I58" s="382">
        <f t="shared" si="6"/>
        <v>14.210638641155697</v>
      </c>
      <c r="J58" s="379">
        <f t="shared" si="7"/>
        <v>0</v>
      </c>
      <c r="K58" s="374">
        <f t="shared" si="8"/>
        <v>0</v>
      </c>
      <c r="L58" s="378">
        <f t="shared" si="9"/>
        <v>11.511550134773836</v>
      </c>
      <c r="M58" s="114">
        <f>L58*D58*'B) D RI'!S60</f>
        <v>509098.30471037287</v>
      </c>
    </row>
    <row r="59" spans="1:13" x14ac:dyDescent="0.25">
      <c r="A59" s="298">
        <f>'A) Base RI'!A61</f>
        <v>5490</v>
      </c>
      <c r="B59" s="32" t="str">
        <f>'A) Base RI'!B61</f>
        <v>Moiry</v>
      </c>
      <c r="C59" s="296">
        <f>'B) D RI'!U61</f>
        <v>9338.2754275452353</v>
      </c>
      <c r="D59" s="32">
        <f>'B) D RI'!AA61</f>
        <v>310</v>
      </c>
      <c r="E59" s="202">
        <f t="shared" si="2"/>
        <v>30.123469121113661</v>
      </c>
      <c r="F59" s="371">
        <f t="shared" si="3"/>
        <v>0.67201869854287877</v>
      </c>
      <c r="G59" s="382">
        <f t="shared" si="4"/>
        <v>0</v>
      </c>
      <c r="H59" s="379">
        <f t="shared" si="5"/>
        <v>0</v>
      </c>
      <c r="I59" s="382">
        <f t="shared" si="6"/>
        <v>0</v>
      </c>
      <c r="J59" s="379">
        <f t="shared" si="7"/>
        <v>0</v>
      </c>
      <c r="K59" s="374">
        <f t="shared" si="8"/>
        <v>0</v>
      </c>
      <c r="L59" s="378">
        <f t="shared" si="9"/>
        <v>0</v>
      </c>
      <c r="M59" s="114">
        <f>L59*D59*'B) D RI'!S61</f>
        <v>0</v>
      </c>
    </row>
    <row r="60" spans="1:13" x14ac:dyDescent="0.25">
      <c r="A60" s="298">
        <f>'A) Base RI'!A62</f>
        <v>5491</v>
      </c>
      <c r="B60" s="32" t="str">
        <f>'A) Base RI'!B62</f>
        <v>Mont-la-Ville</v>
      </c>
      <c r="C60" s="296">
        <f>'B) D RI'!U62</f>
        <v>12342.149373733142</v>
      </c>
      <c r="D60" s="32">
        <f>'B) D RI'!AA62</f>
        <v>466</v>
      </c>
      <c r="E60" s="202">
        <f t="shared" si="2"/>
        <v>26.485299085264252</v>
      </c>
      <c r="F60" s="371">
        <f t="shared" si="3"/>
        <v>0.59085546057917537</v>
      </c>
      <c r="G60" s="382">
        <f t="shared" si="4"/>
        <v>0</v>
      </c>
      <c r="H60" s="379">
        <f t="shared" si="5"/>
        <v>0</v>
      </c>
      <c r="I60" s="382">
        <f t="shared" si="6"/>
        <v>0</v>
      </c>
      <c r="J60" s="379">
        <f t="shared" si="7"/>
        <v>0</v>
      </c>
      <c r="K60" s="374">
        <f t="shared" si="8"/>
        <v>0</v>
      </c>
      <c r="L60" s="378">
        <f t="shared" si="9"/>
        <v>0</v>
      </c>
      <c r="M60" s="114">
        <f>L60*D60*'B) D RI'!S62</f>
        <v>0</v>
      </c>
    </row>
    <row r="61" spans="1:13" x14ac:dyDescent="0.25">
      <c r="A61" s="298">
        <f>'A) Base RI'!A63</f>
        <v>5492</v>
      </c>
      <c r="B61" s="32" t="str">
        <f>'A) Base RI'!B63</f>
        <v>Montricher</v>
      </c>
      <c r="C61" s="296">
        <f>'B) D RI'!U63</f>
        <v>235377.8890618468</v>
      </c>
      <c r="D61" s="32">
        <f>'B) D RI'!AA63</f>
        <v>940</v>
      </c>
      <c r="E61" s="202">
        <f t="shared" si="2"/>
        <v>250.40200964026255</v>
      </c>
      <c r="F61" s="371">
        <f t="shared" si="3"/>
        <v>5.5861704358953164</v>
      </c>
      <c r="G61" s="382">
        <f t="shared" si="4"/>
        <v>205.57666596094288</v>
      </c>
      <c r="H61" s="379">
        <f t="shared" si="5"/>
        <v>196.61159722507895</v>
      </c>
      <c r="I61" s="382">
        <f t="shared" si="6"/>
        <v>183.16399412128305</v>
      </c>
      <c r="J61" s="379">
        <f t="shared" si="7"/>
        <v>160.7513222816232</v>
      </c>
      <c r="K61" s="374">
        <f t="shared" si="8"/>
        <v>115.92597860230353</v>
      </c>
      <c r="L61" s="378">
        <f t="shared" si="9"/>
        <v>106.76062241521745</v>
      </c>
      <c r="M61" s="114">
        <f>L61*D61*'B) D RI'!S63</f>
        <v>6422719.044499482</v>
      </c>
    </row>
    <row r="62" spans="1:13" x14ac:dyDescent="0.25">
      <c r="A62" s="298">
        <f>'A) Base RI'!A64</f>
        <v>5493</v>
      </c>
      <c r="B62" s="32" t="str">
        <f>'A) Base RI'!B64</f>
        <v>Orny</v>
      </c>
      <c r="C62" s="296">
        <f>'B) D RI'!U64</f>
        <v>10742.508207895562</v>
      </c>
      <c r="D62" s="32">
        <f>'B) D RI'!AA64</f>
        <v>368</v>
      </c>
      <c r="E62" s="202">
        <f t="shared" si="2"/>
        <v>29.191598391020548</v>
      </c>
      <c r="F62" s="371">
        <f t="shared" si="3"/>
        <v>0.65122977304663021</v>
      </c>
      <c r="G62" s="382">
        <f t="shared" si="4"/>
        <v>0</v>
      </c>
      <c r="H62" s="379">
        <f t="shared" si="5"/>
        <v>0</v>
      </c>
      <c r="I62" s="382">
        <f t="shared" si="6"/>
        <v>0</v>
      </c>
      <c r="J62" s="379">
        <f t="shared" si="7"/>
        <v>0</v>
      </c>
      <c r="K62" s="374">
        <f t="shared" si="8"/>
        <v>0</v>
      </c>
      <c r="L62" s="378">
        <f t="shared" si="9"/>
        <v>0</v>
      </c>
      <c r="M62" s="114">
        <f>L62*D62*'B) D RI'!S64</f>
        <v>0</v>
      </c>
    </row>
    <row r="63" spans="1:13" x14ac:dyDescent="0.25">
      <c r="A63" s="298">
        <f>'A) Base RI'!A65</f>
        <v>5494</v>
      </c>
      <c r="B63" s="32" t="str">
        <f>'A) Base RI'!B65</f>
        <v>Pampigny</v>
      </c>
      <c r="C63" s="296">
        <f>'B) D RI'!U65</f>
        <v>37463.804333090258</v>
      </c>
      <c r="D63" s="32">
        <f>'B) D RI'!AA65</f>
        <v>1113</v>
      </c>
      <c r="E63" s="202">
        <f t="shared" si="2"/>
        <v>33.660201557134101</v>
      </c>
      <c r="F63" s="371">
        <f t="shared" si="3"/>
        <v>0.75091898453560213</v>
      </c>
      <c r="G63" s="382">
        <f t="shared" si="4"/>
        <v>0</v>
      </c>
      <c r="H63" s="379">
        <f t="shared" si="5"/>
        <v>0</v>
      </c>
      <c r="I63" s="382">
        <f t="shared" si="6"/>
        <v>0</v>
      </c>
      <c r="J63" s="379">
        <f t="shared" si="7"/>
        <v>0</v>
      </c>
      <c r="K63" s="374">
        <f t="shared" si="8"/>
        <v>0</v>
      </c>
      <c r="L63" s="378">
        <f t="shared" si="9"/>
        <v>0</v>
      </c>
      <c r="M63" s="114">
        <f>L63*D63*'B) D RI'!S65</f>
        <v>0</v>
      </c>
    </row>
    <row r="64" spans="1:13" x14ac:dyDescent="0.25">
      <c r="A64" s="298">
        <f>'A) Base RI'!A66</f>
        <v>5495</v>
      </c>
      <c r="B64" s="32" t="str">
        <f>'A) Base RI'!B66</f>
        <v>Penthalaz</v>
      </c>
      <c r="C64" s="296">
        <f>'B) D RI'!U66</f>
        <v>91501.360926624242</v>
      </c>
      <c r="D64" s="32">
        <f>'B) D RI'!AA66</f>
        <v>3283</v>
      </c>
      <c r="E64" s="202">
        <f t="shared" si="2"/>
        <v>27.871264369973879</v>
      </c>
      <c r="F64" s="371">
        <f t="shared" si="3"/>
        <v>0.62177469445331623</v>
      </c>
      <c r="G64" s="382">
        <f t="shared" si="4"/>
        <v>0</v>
      </c>
      <c r="H64" s="379">
        <f t="shared" si="5"/>
        <v>0</v>
      </c>
      <c r="I64" s="382">
        <f t="shared" si="6"/>
        <v>0</v>
      </c>
      <c r="J64" s="379">
        <f t="shared" si="7"/>
        <v>0</v>
      </c>
      <c r="K64" s="374">
        <f t="shared" si="8"/>
        <v>0</v>
      </c>
      <c r="L64" s="378">
        <f t="shared" si="9"/>
        <v>0</v>
      </c>
      <c r="M64" s="114">
        <f>L64*D64*'B) D RI'!S66</f>
        <v>0</v>
      </c>
    </row>
    <row r="65" spans="1:13" x14ac:dyDescent="0.25">
      <c r="A65" s="298">
        <f>'A) Base RI'!A67</f>
        <v>5496</v>
      </c>
      <c r="B65" s="32" t="str">
        <f>'A) Base RI'!B67</f>
        <v>Penthaz</v>
      </c>
      <c r="C65" s="296">
        <f>'B) D RI'!U67</f>
        <v>56734.953960585386</v>
      </c>
      <c r="D65" s="32">
        <f>'B) D RI'!AA67</f>
        <v>1747</v>
      </c>
      <c r="E65" s="202">
        <f t="shared" si="2"/>
        <v>32.475646228154197</v>
      </c>
      <c r="F65" s="371">
        <f t="shared" si="3"/>
        <v>0.7244929667574852</v>
      </c>
      <c r="G65" s="382">
        <f t="shared" si="4"/>
        <v>0</v>
      </c>
      <c r="H65" s="379">
        <f t="shared" si="5"/>
        <v>0</v>
      </c>
      <c r="I65" s="382">
        <f t="shared" si="6"/>
        <v>0</v>
      </c>
      <c r="J65" s="379">
        <f t="shared" si="7"/>
        <v>0</v>
      </c>
      <c r="K65" s="374">
        <f t="shared" si="8"/>
        <v>0</v>
      </c>
      <c r="L65" s="378">
        <f t="shared" si="9"/>
        <v>0</v>
      </c>
      <c r="M65" s="114">
        <f>L65*D65*'B) D RI'!S67</f>
        <v>0</v>
      </c>
    </row>
    <row r="66" spans="1:13" x14ac:dyDescent="0.25">
      <c r="A66" s="298">
        <f>'A) Base RI'!A68</f>
        <v>5497</v>
      </c>
      <c r="B66" s="32" t="str">
        <f>'A) Base RI'!B68</f>
        <v>Pompaples</v>
      </c>
      <c r="C66" s="296">
        <f>'B) D RI'!U68</f>
        <v>22161.340037381338</v>
      </c>
      <c r="D66" s="32">
        <f>'B) D RI'!AA68</f>
        <v>847</v>
      </c>
      <c r="E66" s="202">
        <f t="shared" si="2"/>
        <v>26.164510079552937</v>
      </c>
      <c r="F66" s="371">
        <f t="shared" si="3"/>
        <v>0.58369904013974183</v>
      </c>
      <c r="G66" s="382">
        <f t="shared" si="4"/>
        <v>0</v>
      </c>
      <c r="H66" s="379">
        <f t="shared" si="5"/>
        <v>0</v>
      </c>
      <c r="I66" s="382">
        <f t="shared" si="6"/>
        <v>0</v>
      </c>
      <c r="J66" s="379">
        <f t="shared" si="7"/>
        <v>0</v>
      </c>
      <c r="K66" s="374">
        <f t="shared" si="8"/>
        <v>0</v>
      </c>
      <c r="L66" s="378">
        <f t="shared" si="9"/>
        <v>0</v>
      </c>
      <c r="M66" s="114">
        <f>L66*D66*'B) D RI'!S68</f>
        <v>0</v>
      </c>
    </row>
    <row r="67" spans="1:13" x14ac:dyDescent="0.25">
      <c r="A67" s="298">
        <f>'A) Base RI'!A69</f>
        <v>5498</v>
      </c>
      <c r="B67" s="32" t="str">
        <f>'A) Base RI'!B69</f>
        <v>La Sarraz</v>
      </c>
      <c r="C67" s="296">
        <f>'B) D RI'!U69</f>
        <v>77385.435956102505</v>
      </c>
      <c r="D67" s="32">
        <f>'B) D RI'!AA69</f>
        <v>2596</v>
      </c>
      <c r="E67" s="202">
        <f t="shared" si="2"/>
        <v>29.809489967682012</v>
      </c>
      <c r="F67" s="371">
        <f t="shared" si="3"/>
        <v>0.66501419779263671</v>
      </c>
      <c r="G67" s="382">
        <f t="shared" si="4"/>
        <v>0</v>
      </c>
      <c r="H67" s="379">
        <f t="shared" si="5"/>
        <v>0</v>
      </c>
      <c r="I67" s="382">
        <f t="shared" si="6"/>
        <v>0</v>
      </c>
      <c r="J67" s="379">
        <f t="shared" si="7"/>
        <v>0</v>
      </c>
      <c r="K67" s="374">
        <f t="shared" si="8"/>
        <v>0</v>
      </c>
      <c r="L67" s="378">
        <f t="shared" si="9"/>
        <v>0</v>
      </c>
      <c r="M67" s="114">
        <f>L67*D67*'B) D RI'!S69</f>
        <v>0</v>
      </c>
    </row>
    <row r="68" spans="1:13" x14ac:dyDescent="0.25">
      <c r="A68" s="298">
        <f>'A) Base RI'!A70</f>
        <v>5499</v>
      </c>
      <c r="B68" s="32" t="str">
        <f>'A) Base RI'!B70</f>
        <v>Senarclens</v>
      </c>
      <c r="C68" s="296">
        <f>'B) D RI'!U70</f>
        <v>23640.951925367579</v>
      </c>
      <c r="D68" s="32">
        <f>'B) D RI'!AA70</f>
        <v>488</v>
      </c>
      <c r="E68" s="202">
        <f t="shared" si="2"/>
        <v>48.444573617556514</v>
      </c>
      <c r="F68" s="371">
        <f t="shared" si="3"/>
        <v>1.0807407069565109</v>
      </c>
      <c r="G68" s="382">
        <f t="shared" si="4"/>
        <v>3.6192299382368418</v>
      </c>
      <c r="H68" s="379">
        <f t="shared" si="5"/>
        <v>0</v>
      </c>
      <c r="I68" s="382">
        <f t="shared" si="6"/>
        <v>0</v>
      </c>
      <c r="J68" s="379">
        <f t="shared" si="7"/>
        <v>0</v>
      </c>
      <c r="K68" s="374">
        <f t="shared" si="8"/>
        <v>0</v>
      </c>
      <c r="L68" s="378">
        <f t="shared" si="9"/>
        <v>0.72384598764736841</v>
      </c>
      <c r="M68" s="114">
        <f>L68*D68*'B) D RI'!S70</f>
        <v>24196.723675076231</v>
      </c>
    </row>
    <row r="69" spans="1:13" x14ac:dyDescent="0.25">
      <c r="A69" s="298">
        <f>'A) Base RI'!A71</f>
        <v>5500</v>
      </c>
      <c r="B69" s="32" t="str">
        <f>'A) Base RI'!B71</f>
        <v>Sévery</v>
      </c>
      <c r="C69" s="296">
        <f>'B) D RI'!U71</f>
        <v>6301.5037699957575</v>
      </c>
      <c r="D69" s="32">
        <f>'B) D RI'!AA71</f>
        <v>225</v>
      </c>
      <c r="E69" s="202">
        <f t="shared" si="2"/>
        <v>28.006683422203366</v>
      </c>
      <c r="F69" s="371">
        <f t="shared" si="3"/>
        <v>0.62479573213231931</v>
      </c>
      <c r="G69" s="382">
        <f t="shared" si="4"/>
        <v>0</v>
      </c>
      <c r="H69" s="379">
        <f t="shared" si="5"/>
        <v>0</v>
      </c>
      <c r="I69" s="382">
        <f t="shared" si="6"/>
        <v>0</v>
      </c>
      <c r="J69" s="379">
        <f t="shared" si="7"/>
        <v>0</v>
      </c>
      <c r="K69" s="374">
        <f t="shared" si="8"/>
        <v>0</v>
      </c>
      <c r="L69" s="378">
        <f t="shared" si="9"/>
        <v>0</v>
      </c>
      <c r="M69" s="114">
        <f>L69*D69*'B) D RI'!S71</f>
        <v>0</v>
      </c>
    </row>
    <row r="70" spans="1:13" x14ac:dyDescent="0.25">
      <c r="A70" s="298">
        <f>'A) Base RI'!A72</f>
        <v>5501</v>
      </c>
      <c r="B70" s="32" t="str">
        <f>'A) Base RI'!B72</f>
        <v>Sullens</v>
      </c>
      <c r="C70" s="296">
        <f>'B) D RI'!U72</f>
        <v>37513.894014769903</v>
      </c>
      <c r="D70" s="32">
        <f>'B) D RI'!AA72</f>
        <v>1036</v>
      </c>
      <c r="E70" s="202">
        <f t="shared" ref="E70:E133" si="10">C70/D70</f>
        <v>36.210322408079058</v>
      </c>
      <c r="F70" s="371">
        <f t="shared" ref="F70:F133" si="11">E70/$E$314</f>
        <v>0.80780914179102692</v>
      </c>
      <c r="G70" s="382">
        <f t="shared" ref="G70:G133" si="12">IF(E70-$G$2&lt;0,0,E70-$G$2)</f>
        <v>0</v>
      </c>
      <c r="H70" s="379">
        <f t="shared" ref="H70:H133" si="13">IF(E70-$H$2&lt;0,0,E70-$H$2)</f>
        <v>0</v>
      </c>
      <c r="I70" s="382">
        <f t="shared" ref="I70:I133" si="14">IF(E70-$I$2&lt;0,0,E70-$I$2)</f>
        <v>0</v>
      </c>
      <c r="J70" s="379">
        <f t="shared" ref="J70:J133" si="15">IF(E70-$J$2&lt;0,0,E70-$J$2)</f>
        <v>0</v>
      </c>
      <c r="K70" s="374">
        <f t="shared" ref="K70:K133" si="16">IF(E70-$K$2&lt;0,0,E70-$K$2)</f>
        <v>0</v>
      </c>
      <c r="L70" s="378">
        <f t="shared" ref="L70:L133" si="17">(G70-H70)*$G$3+(H70-I70)*$H$3+(I70-J70)*$I$3+(J70-K70)*$J$3+(K70*$K$3)</f>
        <v>0</v>
      </c>
      <c r="M70" s="114">
        <f>L70*D70*'B) D RI'!S72</f>
        <v>0</v>
      </c>
    </row>
    <row r="71" spans="1:13" x14ac:dyDescent="0.25">
      <c r="A71" s="298">
        <f>'A) Base RI'!A73</f>
        <v>5503</v>
      </c>
      <c r="B71" s="32" t="str">
        <f>'A) Base RI'!B73</f>
        <v>Vufflens-la-Ville</v>
      </c>
      <c r="C71" s="296">
        <f>'B) D RI'!U73</f>
        <v>71529.073769442432</v>
      </c>
      <c r="D71" s="32">
        <f>'B) D RI'!AA73</f>
        <v>1298</v>
      </c>
      <c r="E71" s="202">
        <f t="shared" si="10"/>
        <v>55.107144660587387</v>
      </c>
      <c r="F71" s="371">
        <f t="shared" si="11"/>
        <v>1.2293747272708866</v>
      </c>
      <c r="G71" s="382">
        <f t="shared" si="12"/>
        <v>10.281800981267715</v>
      </c>
      <c r="H71" s="379">
        <f t="shared" si="13"/>
        <v>1.3167322454037844</v>
      </c>
      <c r="I71" s="382">
        <f t="shared" si="14"/>
        <v>0</v>
      </c>
      <c r="J71" s="379">
        <f t="shared" si="15"/>
        <v>0</v>
      </c>
      <c r="K71" s="374">
        <f t="shared" si="16"/>
        <v>0</v>
      </c>
      <c r="L71" s="378">
        <f t="shared" si="17"/>
        <v>2.1880334207939214</v>
      </c>
      <c r="M71" s="114">
        <f>L71*D71*'B) D RI'!S73</f>
        <v>190284.51447276416</v>
      </c>
    </row>
    <row r="72" spans="1:13" x14ac:dyDescent="0.25">
      <c r="A72" s="298">
        <f>'A) Base RI'!A74</f>
        <v>5511</v>
      </c>
      <c r="B72" s="32" t="str">
        <f>'A) Base RI'!B74</f>
        <v>Assens</v>
      </c>
      <c r="C72" s="296">
        <f>'B) D RI'!U74</f>
        <v>42924.75672243804</v>
      </c>
      <c r="D72" s="32">
        <f>'B) D RI'!AA74</f>
        <v>1077</v>
      </c>
      <c r="E72" s="202">
        <f t="shared" si="10"/>
        <v>39.855855823990751</v>
      </c>
      <c r="F72" s="371">
        <f t="shared" si="11"/>
        <v>0.88913664798912384</v>
      </c>
      <c r="G72" s="382">
        <f t="shared" si="12"/>
        <v>0</v>
      </c>
      <c r="H72" s="379">
        <f t="shared" si="13"/>
        <v>0</v>
      </c>
      <c r="I72" s="382">
        <f t="shared" si="14"/>
        <v>0</v>
      </c>
      <c r="J72" s="379">
        <f t="shared" si="15"/>
        <v>0</v>
      </c>
      <c r="K72" s="374">
        <f t="shared" si="16"/>
        <v>0</v>
      </c>
      <c r="L72" s="378">
        <f t="shared" si="17"/>
        <v>0</v>
      </c>
      <c r="M72" s="114">
        <f>L72*D72*'B) D RI'!S74</f>
        <v>0</v>
      </c>
    </row>
    <row r="73" spans="1:13" x14ac:dyDescent="0.25">
      <c r="A73" s="298">
        <f>'A) Base RI'!A75</f>
        <v>5512</v>
      </c>
      <c r="B73" s="32" t="str">
        <f>'A) Base RI'!B75</f>
        <v>Bercher</v>
      </c>
      <c r="C73" s="296">
        <f>'B) D RI'!U75</f>
        <v>37044.132282785904</v>
      </c>
      <c r="D73" s="32">
        <f>'B) D RI'!AA75</f>
        <v>1239</v>
      </c>
      <c r="E73" s="202">
        <f t="shared" si="10"/>
        <v>29.898411850513238</v>
      </c>
      <c r="F73" s="371">
        <f t="shared" si="11"/>
        <v>0.66699793903213223</v>
      </c>
      <c r="G73" s="382">
        <f t="shared" si="12"/>
        <v>0</v>
      </c>
      <c r="H73" s="379">
        <f t="shared" si="13"/>
        <v>0</v>
      </c>
      <c r="I73" s="382">
        <f t="shared" si="14"/>
        <v>0</v>
      </c>
      <c r="J73" s="379">
        <f t="shared" si="15"/>
        <v>0</v>
      </c>
      <c r="K73" s="374">
        <f t="shared" si="16"/>
        <v>0</v>
      </c>
      <c r="L73" s="378">
        <f t="shared" si="17"/>
        <v>0</v>
      </c>
      <c r="M73" s="114">
        <f>L73*D73*'B) D RI'!S75</f>
        <v>0</v>
      </c>
    </row>
    <row r="74" spans="1:13" x14ac:dyDescent="0.25">
      <c r="A74" s="298">
        <f>'A) Base RI'!A76</f>
        <v>5513</v>
      </c>
      <c r="B74" s="32" t="str">
        <f>'A) Base RI'!B76</f>
        <v>Bioley-Orjulaz</v>
      </c>
      <c r="C74" s="296">
        <f>'B) D RI'!U76</f>
        <v>21181.93028195855</v>
      </c>
      <c r="D74" s="32">
        <f>'B) D RI'!AA76</f>
        <v>516</v>
      </c>
      <c r="E74" s="202">
        <f t="shared" si="10"/>
        <v>41.050252484415793</v>
      </c>
      <c r="F74" s="371">
        <f t="shared" si="11"/>
        <v>0.91578221414405947</v>
      </c>
      <c r="G74" s="382">
        <f t="shared" si="12"/>
        <v>0</v>
      </c>
      <c r="H74" s="379">
        <f t="shared" si="13"/>
        <v>0</v>
      </c>
      <c r="I74" s="382">
        <f t="shared" si="14"/>
        <v>0</v>
      </c>
      <c r="J74" s="379">
        <f t="shared" si="15"/>
        <v>0</v>
      </c>
      <c r="K74" s="374">
        <f t="shared" si="16"/>
        <v>0</v>
      </c>
      <c r="L74" s="378">
        <f t="shared" si="17"/>
        <v>0</v>
      </c>
      <c r="M74" s="114">
        <f>L74*D74*'B) D RI'!S76</f>
        <v>0</v>
      </c>
    </row>
    <row r="75" spans="1:13" x14ac:dyDescent="0.25">
      <c r="A75" s="298">
        <f>'A) Base RI'!A77</f>
        <v>5514</v>
      </c>
      <c r="B75" s="32" t="str">
        <f>'A) Base RI'!B77</f>
        <v>Bottens</v>
      </c>
      <c r="C75" s="296">
        <f>'B) D RI'!U77</f>
        <v>44638.492368569219</v>
      </c>
      <c r="D75" s="32">
        <f>'B) D RI'!AA77</f>
        <v>1298</v>
      </c>
      <c r="E75" s="202">
        <f t="shared" si="10"/>
        <v>34.390209837110341</v>
      </c>
      <c r="F75" s="371">
        <f t="shared" si="11"/>
        <v>0.76720459932527818</v>
      </c>
      <c r="G75" s="382">
        <f t="shared" si="12"/>
        <v>0</v>
      </c>
      <c r="H75" s="379">
        <f t="shared" si="13"/>
        <v>0</v>
      </c>
      <c r="I75" s="382">
        <f t="shared" si="14"/>
        <v>0</v>
      </c>
      <c r="J75" s="379">
        <f t="shared" si="15"/>
        <v>0</v>
      </c>
      <c r="K75" s="374">
        <f t="shared" si="16"/>
        <v>0</v>
      </c>
      <c r="L75" s="378">
        <f t="shared" si="17"/>
        <v>0</v>
      </c>
      <c r="M75" s="114">
        <f>L75*D75*'B) D RI'!S77</f>
        <v>0</v>
      </c>
    </row>
    <row r="76" spans="1:13" x14ac:dyDescent="0.25">
      <c r="A76" s="298">
        <f>'A) Base RI'!A78</f>
        <v>5515</v>
      </c>
      <c r="B76" s="32" t="str">
        <f>'A) Base RI'!B78</f>
        <v>Bretigny-sur-Morrens</v>
      </c>
      <c r="C76" s="296">
        <f>'B) D RI'!U78</f>
        <v>28831.158924958156</v>
      </c>
      <c r="D76" s="32">
        <f>'B) D RI'!AA78</f>
        <v>843</v>
      </c>
      <c r="E76" s="202">
        <f t="shared" si="10"/>
        <v>34.200663018930193</v>
      </c>
      <c r="F76" s="371">
        <f t="shared" si="11"/>
        <v>0.76297603569091621</v>
      </c>
      <c r="G76" s="382">
        <f t="shared" si="12"/>
        <v>0</v>
      </c>
      <c r="H76" s="379">
        <f t="shared" si="13"/>
        <v>0</v>
      </c>
      <c r="I76" s="382">
        <f t="shared" si="14"/>
        <v>0</v>
      </c>
      <c r="J76" s="379">
        <f t="shared" si="15"/>
        <v>0</v>
      </c>
      <c r="K76" s="374">
        <f t="shared" si="16"/>
        <v>0</v>
      </c>
      <c r="L76" s="378">
        <f t="shared" si="17"/>
        <v>0</v>
      </c>
      <c r="M76" s="114">
        <f>L76*D76*'B) D RI'!S78</f>
        <v>0</v>
      </c>
    </row>
    <row r="77" spans="1:13" x14ac:dyDescent="0.25">
      <c r="A77" s="298">
        <f>'A) Base RI'!A79</f>
        <v>5516</v>
      </c>
      <c r="B77" s="32" t="str">
        <f>'A) Base RI'!B79</f>
        <v>Cugy</v>
      </c>
      <c r="C77" s="296">
        <f>'B) D RI'!U79</f>
        <v>111243.36559703569</v>
      </c>
      <c r="D77" s="32">
        <f>'B) D RI'!AA79</f>
        <v>2742</v>
      </c>
      <c r="E77" s="202">
        <f t="shared" si="10"/>
        <v>40.570155214090335</v>
      </c>
      <c r="F77" s="371">
        <f t="shared" si="11"/>
        <v>0.9050718161656286</v>
      </c>
      <c r="G77" s="382">
        <f t="shared" si="12"/>
        <v>0</v>
      </c>
      <c r="H77" s="379">
        <f t="shared" si="13"/>
        <v>0</v>
      </c>
      <c r="I77" s="382">
        <f t="shared" si="14"/>
        <v>0</v>
      </c>
      <c r="J77" s="379">
        <f t="shared" si="15"/>
        <v>0</v>
      </c>
      <c r="K77" s="374">
        <f t="shared" si="16"/>
        <v>0</v>
      </c>
      <c r="L77" s="378">
        <f t="shared" si="17"/>
        <v>0</v>
      </c>
      <c r="M77" s="114">
        <f>L77*D77*'B) D RI'!S79</f>
        <v>0</v>
      </c>
    </row>
    <row r="78" spans="1:13" x14ac:dyDescent="0.25">
      <c r="A78" s="298">
        <f>'A) Base RI'!A80</f>
        <v>5518</v>
      </c>
      <c r="B78" s="32" t="str">
        <f>'A) Base RI'!B80</f>
        <v>Echallens</v>
      </c>
      <c r="C78" s="296">
        <f>'B) D RI'!U80</f>
        <v>180959.47694399237</v>
      </c>
      <c r="D78" s="32">
        <f>'B) D RI'!AA80</f>
        <v>5742</v>
      </c>
      <c r="E78" s="202">
        <f t="shared" si="10"/>
        <v>31.51506042215123</v>
      </c>
      <c r="F78" s="371">
        <f t="shared" si="11"/>
        <v>0.70306344213688232</v>
      </c>
      <c r="G78" s="382">
        <f t="shared" si="12"/>
        <v>0</v>
      </c>
      <c r="H78" s="379">
        <f t="shared" si="13"/>
        <v>0</v>
      </c>
      <c r="I78" s="382">
        <f t="shared" si="14"/>
        <v>0</v>
      </c>
      <c r="J78" s="379">
        <f t="shared" si="15"/>
        <v>0</v>
      </c>
      <c r="K78" s="374">
        <f t="shared" si="16"/>
        <v>0</v>
      </c>
      <c r="L78" s="378">
        <f t="shared" si="17"/>
        <v>0</v>
      </c>
      <c r="M78" s="114">
        <f>L78*D78*'B) D RI'!S80</f>
        <v>0</v>
      </c>
    </row>
    <row r="79" spans="1:13" x14ac:dyDescent="0.25">
      <c r="A79" s="298">
        <f>'A) Base RI'!A81</f>
        <v>5520</v>
      </c>
      <c r="B79" s="32" t="str">
        <f>'A) Base RI'!B81</f>
        <v>Essertines-sur-Yverdon</v>
      </c>
      <c r="C79" s="296">
        <f>'B) D RI'!U81</f>
        <v>31792.947431853896</v>
      </c>
      <c r="D79" s="32">
        <f>'B) D RI'!AA81</f>
        <v>1024</v>
      </c>
      <c r="E79" s="202">
        <f t="shared" si="10"/>
        <v>31.04780022641982</v>
      </c>
      <c r="F79" s="371">
        <f t="shared" si="11"/>
        <v>0.69263942399495382</v>
      </c>
      <c r="G79" s="382">
        <f t="shared" si="12"/>
        <v>0</v>
      </c>
      <c r="H79" s="379">
        <f t="shared" si="13"/>
        <v>0</v>
      </c>
      <c r="I79" s="382">
        <f t="shared" si="14"/>
        <v>0</v>
      </c>
      <c r="J79" s="379">
        <f t="shared" si="15"/>
        <v>0</v>
      </c>
      <c r="K79" s="374">
        <f t="shared" si="16"/>
        <v>0</v>
      </c>
      <c r="L79" s="378">
        <f t="shared" si="17"/>
        <v>0</v>
      </c>
      <c r="M79" s="114">
        <f>L79*D79*'B) D RI'!S81</f>
        <v>0</v>
      </c>
    </row>
    <row r="80" spans="1:13" x14ac:dyDescent="0.25">
      <c r="A80" s="298">
        <f>'A) Base RI'!A82</f>
        <v>5521</v>
      </c>
      <c r="B80" s="32" t="str">
        <f>'A) Base RI'!B82</f>
        <v>Etagnières</v>
      </c>
      <c r="C80" s="296">
        <f>'B) D RI'!U82</f>
        <v>41863.452740254725</v>
      </c>
      <c r="D80" s="32">
        <f>'B) D RI'!AA82</f>
        <v>1118</v>
      </c>
      <c r="E80" s="202">
        <f t="shared" si="10"/>
        <v>37.444948783769881</v>
      </c>
      <c r="F80" s="371">
        <f t="shared" si="11"/>
        <v>0.83535218495257713</v>
      </c>
      <c r="G80" s="382">
        <f t="shared" si="12"/>
        <v>0</v>
      </c>
      <c r="H80" s="379">
        <f t="shared" si="13"/>
        <v>0</v>
      </c>
      <c r="I80" s="382">
        <f t="shared" si="14"/>
        <v>0</v>
      </c>
      <c r="J80" s="379">
        <f t="shared" si="15"/>
        <v>0</v>
      </c>
      <c r="K80" s="374">
        <f t="shared" si="16"/>
        <v>0</v>
      </c>
      <c r="L80" s="378">
        <f t="shared" si="17"/>
        <v>0</v>
      </c>
      <c r="M80" s="114">
        <f>L80*D80*'B) D RI'!S82</f>
        <v>0</v>
      </c>
    </row>
    <row r="81" spans="1:13" x14ac:dyDescent="0.25">
      <c r="A81" s="298">
        <f>'A) Base RI'!A83</f>
        <v>5522</v>
      </c>
      <c r="B81" s="32" t="str">
        <f>'A) Base RI'!B83</f>
        <v>Fey</v>
      </c>
      <c r="C81" s="296">
        <f>'B) D RI'!U83</f>
        <v>21530.578579692767</v>
      </c>
      <c r="D81" s="32">
        <f>'B) D RI'!AA83</f>
        <v>734</v>
      </c>
      <c r="E81" s="202">
        <f t="shared" si="10"/>
        <v>29.333213323832108</v>
      </c>
      <c r="F81" s="371">
        <f t="shared" si="11"/>
        <v>0.65438903343790955</v>
      </c>
      <c r="G81" s="382">
        <f t="shared" si="12"/>
        <v>0</v>
      </c>
      <c r="H81" s="379">
        <f t="shared" si="13"/>
        <v>0</v>
      </c>
      <c r="I81" s="382">
        <f t="shared" si="14"/>
        <v>0</v>
      </c>
      <c r="J81" s="379">
        <f t="shared" si="15"/>
        <v>0</v>
      </c>
      <c r="K81" s="374">
        <f t="shared" si="16"/>
        <v>0</v>
      </c>
      <c r="L81" s="378">
        <f t="shared" si="17"/>
        <v>0</v>
      </c>
      <c r="M81" s="114">
        <f>L81*D81*'B) D RI'!S83</f>
        <v>0</v>
      </c>
    </row>
    <row r="82" spans="1:13" x14ac:dyDescent="0.25">
      <c r="A82" s="298">
        <f>'A) Base RI'!A84</f>
        <v>5523</v>
      </c>
      <c r="B82" s="32" t="str">
        <f>'A) Base RI'!B84</f>
        <v>Froideville</v>
      </c>
      <c r="C82" s="296">
        <f>'B) D RI'!U84</f>
        <v>82933.673531693348</v>
      </c>
      <c r="D82" s="32">
        <f>'B) D RI'!AA84</f>
        <v>2576</v>
      </c>
      <c r="E82" s="202">
        <f t="shared" si="10"/>
        <v>32.194749041806425</v>
      </c>
      <c r="F82" s="371">
        <f t="shared" si="11"/>
        <v>0.71822648526975119</v>
      </c>
      <c r="G82" s="382">
        <f t="shared" si="12"/>
        <v>0</v>
      </c>
      <c r="H82" s="379">
        <f t="shared" si="13"/>
        <v>0</v>
      </c>
      <c r="I82" s="382">
        <f t="shared" si="14"/>
        <v>0</v>
      </c>
      <c r="J82" s="379">
        <f t="shared" si="15"/>
        <v>0</v>
      </c>
      <c r="K82" s="374">
        <f t="shared" si="16"/>
        <v>0</v>
      </c>
      <c r="L82" s="378">
        <f t="shared" si="17"/>
        <v>0</v>
      </c>
      <c r="M82" s="114">
        <f>L82*D82*'B) D RI'!S84</f>
        <v>0</v>
      </c>
    </row>
    <row r="83" spans="1:13" x14ac:dyDescent="0.25">
      <c r="A83" s="298">
        <f>'A) Base RI'!A85</f>
        <v>5527</v>
      </c>
      <c r="B83" s="32" t="str">
        <f>'A) Base RI'!B85</f>
        <v>Morrens</v>
      </c>
      <c r="C83" s="296">
        <f>'B) D RI'!U85</f>
        <v>37846.307885294293</v>
      </c>
      <c r="D83" s="32">
        <f>'B) D RI'!AA85</f>
        <v>1077</v>
      </c>
      <c r="E83" s="202">
        <f t="shared" si="10"/>
        <v>35.140490144191546</v>
      </c>
      <c r="F83" s="371">
        <f t="shared" si="11"/>
        <v>0.78394245888188763</v>
      </c>
      <c r="G83" s="382">
        <f t="shared" si="12"/>
        <v>0</v>
      </c>
      <c r="H83" s="379">
        <f t="shared" si="13"/>
        <v>0</v>
      </c>
      <c r="I83" s="382">
        <f t="shared" si="14"/>
        <v>0</v>
      </c>
      <c r="J83" s="379">
        <f t="shared" si="15"/>
        <v>0</v>
      </c>
      <c r="K83" s="374">
        <f t="shared" si="16"/>
        <v>0</v>
      </c>
      <c r="L83" s="378">
        <f t="shared" si="17"/>
        <v>0</v>
      </c>
      <c r="M83" s="114">
        <f>L83*D83*'B) D RI'!S85</f>
        <v>0</v>
      </c>
    </row>
    <row r="84" spans="1:13" x14ac:dyDescent="0.25">
      <c r="A84" s="298">
        <f>'A) Base RI'!A86</f>
        <v>5529</v>
      </c>
      <c r="B84" s="32" t="str">
        <f>'A) Base RI'!B86</f>
        <v>Oulens-sous-Echallens</v>
      </c>
      <c r="C84" s="296">
        <f>'B) D RI'!U86</f>
        <v>21232.684624593807</v>
      </c>
      <c r="D84" s="32">
        <f>'B) D RI'!AA86</f>
        <v>611</v>
      </c>
      <c r="E84" s="202">
        <f t="shared" si="10"/>
        <v>34.750711333214085</v>
      </c>
      <c r="F84" s="371">
        <f t="shared" si="11"/>
        <v>0.77524695810076849</v>
      </c>
      <c r="G84" s="382">
        <f t="shared" si="12"/>
        <v>0</v>
      </c>
      <c r="H84" s="379">
        <f t="shared" si="13"/>
        <v>0</v>
      </c>
      <c r="I84" s="382">
        <f t="shared" si="14"/>
        <v>0</v>
      </c>
      <c r="J84" s="379">
        <f t="shared" si="15"/>
        <v>0</v>
      </c>
      <c r="K84" s="374">
        <f t="shared" si="16"/>
        <v>0</v>
      </c>
      <c r="L84" s="378">
        <f t="shared" si="17"/>
        <v>0</v>
      </c>
      <c r="M84" s="114">
        <f>L84*D84*'B) D RI'!S86</f>
        <v>0</v>
      </c>
    </row>
    <row r="85" spans="1:13" x14ac:dyDescent="0.25">
      <c r="A85" s="298">
        <f>'A) Base RI'!A87</f>
        <v>5530</v>
      </c>
      <c r="B85" s="32" t="str">
        <f>'A) Base RI'!B87</f>
        <v>Pailly</v>
      </c>
      <c r="C85" s="296">
        <f>'B) D RI'!U87</f>
        <v>16822.836054480296</v>
      </c>
      <c r="D85" s="32">
        <f>'B) D RI'!AA87</f>
        <v>561</v>
      </c>
      <c r="E85" s="202">
        <f t="shared" si="10"/>
        <v>29.987230043636892</v>
      </c>
      <c r="F85" s="371">
        <f t="shared" si="11"/>
        <v>0.6689793670778168</v>
      </c>
      <c r="G85" s="382">
        <f t="shared" si="12"/>
        <v>0</v>
      </c>
      <c r="H85" s="379">
        <f t="shared" si="13"/>
        <v>0</v>
      </c>
      <c r="I85" s="382">
        <f t="shared" si="14"/>
        <v>0</v>
      </c>
      <c r="J85" s="379">
        <f t="shared" si="15"/>
        <v>0</v>
      </c>
      <c r="K85" s="374">
        <f t="shared" si="16"/>
        <v>0</v>
      </c>
      <c r="L85" s="378">
        <f t="shared" si="17"/>
        <v>0</v>
      </c>
      <c r="M85" s="114">
        <f>L85*D85*'B) D RI'!S87</f>
        <v>0</v>
      </c>
    </row>
    <row r="86" spans="1:13" x14ac:dyDescent="0.25">
      <c r="A86" s="298">
        <f>'A) Base RI'!A88</f>
        <v>5531</v>
      </c>
      <c r="B86" s="32" t="str">
        <f>'A) Base RI'!B88</f>
        <v>Penthéréaz</v>
      </c>
      <c r="C86" s="296">
        <f>'B) D RI'!U88</f>
        <v>14989.425098501475</v>
      </c>
      <c r="D86" s="32">
        <f>'B) D RI'!AA88</f>
        <v>421</v>
      </c>
      <c r="E86" s="202">
        <f t="shared" si="10"/>
        <v>35.604335150834856</v>
      </c>
      <c r="F86" s="371">
        <f t="shared" si="11"/>
        <v>0.79429028822507475</v>
      </c>
      <c r="G86" s="382">
        <f t="shared" si="12"/>
        <v>0</v>
      </c>
      <c r="H86" s="379">
        <f t="shared" si="13"/>
        <v>0</v>
      </c>
      <c r="I86" s="382">
        <f t="shared" si="14"/>
        <v>0</v>
      </c>
      <c r="J86" s="379">
        <f t="shared" si="15"/>
        <v>0</v>
      </c>
      <c r="K86" s="374">
        <f t="shared" si="16"/>
        <v>0</v>
      </c>
      <c r="L86" s="378">
        <f t="shared" si="17"/>
        <v>0</v>
      </c>
      <c r="M86" s="114">
        <f>L86*D86*'B) D RI'!S88</f>
        <v>0</v>
      </c>
    </row>
    <row r="87" spans="1:13" x14ac:dyDescent="0.25">
      <c r="A87" s="298">
        <f>'A) Base RI'!A89</f>
        <v>5533</v>
      </c>
      <c r="B87" s="32" t="str">
        <f>'A) Base RI'!B89</f>
        <v>Poliez-Pittet</v>
      </c>
      <c r="C87" s="296">
        <f>'B) D RI'!U89</f>
        <v>25275.822973621725</v>
      </c>
      <c r="D87" s="32">
        <f>'B) D RI'!AA89</f>
        <v>846</v>
      </c>
      <c r="E87" s="202">
        <f t="shared" si="10"/>
        <v>29.876859306881471</v>
      </c>
      <c r="F87" s="371">
        <f t="shared" si="11"/>
        <v>0.6665171274674524</v>
      </c>
      <c r="G87" s="382">
        <f t="shared" si="12"/>
        <v>0</v>
      </c>
      <c r="H87" s="379">
        <f t="shared" si="13"/>
        <v>0</v>
      </c>
      <c r="I87" s="382">
        <f t="shared" si="14"/>
        <v>0</v>
      </c>
      <c r="J87" s="379">
        <f t="shared" si="15"/>
        <v>0</v>
      </c>
      <c r="K87" s="374">
        <f t="shared" si="16"/>
        <v>0</v>
      </c>
      <c r="L87" s="378">
        <f t="shared" si="17"/>
        <v>0</v>
      </c>
      <c r="M87" s="114">
        <f>L87*D87*'B) D RI'!S89</f>
        <v>0</v>
      </c>
    </row>
    <row r="88" spans="1:13" x14ac:dyDescent="0.25">
      <c r="A88" s="298">
        <f>'A) Base RI'!A90</f>
        <v>5534</v>
      </c>
      <c r="B88" s="32" t="str">
        <f>'A) Base RI'!B90</f>
        <v>Rueyres</v>
      </c>
      <c r="C88" s="296">
        <f>'B) D RI'!U90</f>
        <v>8313.1321594227738</v>
      </c>
      <c r="D88" s="32">
        <f>'B) D RI'!AA90</f>
        <v>255</v>
      </c>
      <c r="E88" s="202">
        <f t="shared" si="10"/>
        <v>32.60051827224617</v>
      </c>
      <c r="F88" s="371">
        <f t="shared" si="11"/>
        <v>0.72727871325360371</v>
      </c>
      <c r="G88" s="382">
        <f t="shared" si="12"/>
        <v>0</v>
      </c>
      <c r="H88" s="379">
        <f t="shared" si="13"/>
        <v>0</v>
      </c>
      <c r="I88" s="382">
        <f t="shared" si="14"/>
        <v>0</v>
      </c>
      <c r="J88" s="379">
        <f t="shared" si="15"/>
        <v>0</v>
      </c>
      <c r="K88" s="374">
        <f t="shared" si="16"/>
        <v>0</v>
      </c>
      <c r="L88" s="378">
        <f t="shared" si="17"/>
        <v>0</v>
      </c>
      <c r="M88" s="114">
        <f>L88*D88*'B) D RI'!S90</f>
        <v>0</v>
      </c>
    </row>
    <row r="89" spans="1:13" x14ac:dyDescent="0.25">
      <c r="A89" s="298">
        <f>'A) Base RI'!A91</f>
        <v>5535</v>
      </c>
      <c r="B89" s="32" t="str">
        <f>'A) Base RI'!B91</f>
        <v>Saint-Barthélemy</v>
      </c>
      <c r="C89" s="296">
        <f>'B) D RI'!U91</f>
        <v>21802.428816169639</v>
      </c>
      <c r="D89" s="32">
        <f>'B) D RI'!AA91</f>
        <v>778</v>
      </c>
      <c r="E89" s="202">
        <f t="shared" si="10"/>
        <v>28.023687424382569</v>
      </c>
      <c r="F89" s="371">
        <f t="shared" si="11"/>
        <v>0.6251750711576004</v>
      </c>
      <c r="G89" s="382">
        <f t="shared" si="12"/>
        <v>0</v>
      </c>
      <c r="H89" s="379">
        <f t="shared" si="13"/>
        <v>0</v>
      </c>
      <c r="I89" s="382">
        <f t="shared" si="14"/>
        <v>0</v>
      </c>
      <c r="J89" s="379">
        <f t="shared" si="15"/>
        <v>0</v>
      </c>
      <c r="K89" s="374">
        <f t="shared" si="16"/>
        <v>0</v>
      </c>
      <c r="L89" s="378">
        <f t="shared" si="17"/>
        <v>0</v>
      </c>
      <c r="M89" s="114">
        <f>L89*D89*'B) D RI'!S91</f>
        <v>0</v>
      </c>
    </row>
    <row r="90" spans="1:13" x14ac:dyDescent="0.25">
      <c r="A90" s="298">
        <f>'A) Base RI'!A92</f>
        <v>5537</v>
      </c>
      <c r="B90" s="32" t="str">
        <f>'A) Base RI'!B92</f>
        <v>Villars-le-Terroir</v>
      </c>
      <c r="C90" s="296">
        <f>'B) D RI'!U92</f>
        <v>37312.302103659451</v>
      </c>
      <c r="D90" s="32">
        <f>'B) D RI'!AA92</f>
        <v>1213</v>
      </c>
      <c r="E90" s="202">
        <f t="shared" si="10"/>
        <v>30.760347983231206</v>
      </c>
      <c r="F90" s="371">
        <f t="shared" si="11"/>
        <v>0.6862267070006336</v>
      </c>
      <c r="G90" s="382">
        <f t="shared" si="12"/>
        <v>0</v>
      </c>
      <c r="H90" s="379">
        <f t="shared" si="13"/>
        <v>0</v>
      </c>
      <c r="I90" s="382">
        <f t="shared" si="14"/>
        <v>0</v>
      </c>
      <c r="J90" s="379">
        <f t="shared" si="15"/>
        <v>0</v>
      </c>
      <c r="K90" s="374">
        <f t="shared" si="16"/>
        <v>0</v>
      </c>
      <c r="L90" s="378">
        <f t="shared" si="17"/>
        <v>0</v>
      </c>
      <c r="M90" s="114">
        <f>L90*D90*'B) D RI'!S92</f>
        <v>0</v>
      </c>
    </row>
    <row r="91" spans="1:13" x14ac:dyDescent="0.25">
      <c r="A91" s="298">
        <f>'A) Base RI'!A93</f>
        <v>5539</v>
      </c>
      <c r="B91" s="32" t="str">
        <f>'A) Base RI'!B93</f>
        <v>Vuarrens</v>
      </c>
      <c r="C91" s="296">
        <f>'B) D RI'!U93</f>
        <v>28863.357859136209</v>
      </c>
      <c r="D91" s="32">
        <f>'B) D RI'!AA93</f>
        <v>1001</v>
      </c>
      <c r="E91" s="202">
        <f t="shared" si="10"/>
        <v>28.834523335800409</v>
      </c>
      <c r="F91" s="371">
        <f t="shared" si="11"/>
        <v>0.64326385408403053</v>
      </c>
      <c r="G91" s="382">
        <f t="shared" si="12"/>
        <v>0</v>
      </c>
      <c r="H91" s="379">
        <f t="shared" si="13"/>
        <v>0</v>
      </c>
      <c r="I91" s="382">
        <f t="shared" si="14"/>
        <v>0</v>
      </c>
      <c r="J91" s="379">
        <f t="shared" si="15"/>
        <v>0</v>
      </c>
      <c r="K91" s="374">
        <f t="shared" si="16"/>
        <v>0</v>
      </c>
      <c r="L91" s="378">
        <f t="shared" si="17"/>
        <v>0</v>
      </c>
      <c r="M91" s="114">
        <f>L91*D91*'B) D RI'!S93</f>
        <v>0</v>
      </c>
    </row>
    <row r="92" spans="1:13" x14ac:dyDescent="0.25">
      <c r="A92" s="298">
        <f>'A) Base RI'!A94</f>
        <v>5540</v>
      </c>
      <c r="B92" s="32" t="str">
        <f>'A) Base RI'!B94</f>
        <v>Montilliez</v>
      </c>
      <c r="C92" s="296">
        <f>'B) D RI'!U94</f>
        <v>59091.740495657374</v>
      </c>
      <c r="D92" s="32">
        <f>'B) D RI'!AA94</f>
        <v>1781</v>
      </c>
      <c r="E92" s="202">
        <f t="shared" si="10"/>
        <v>33.178967150846361</v>
      </c>
      <c r="F92" s="371">
        <f t="shared" si="11"/>
        <v>0.7401832184089554</v>
      </c>
      <c r="G92" s="382">
        <f t="shared" si="12"/>
        <v>0</v>
      </c>
      <c r="H92" s="379">
        <f t="shared" si="13"/>
        <v>0</v>
      </c>
      <c r="I92" s="382">
        <f t="shared" si="14"/>
        <v>0</v>
      </c>
      <c r="J92" s="379">
        <f t="shared" si="15"/>
        <v>0</v>
      </c>
      <c r="K92" s="374">
        <f t="shared" si="16"/>
        <v>0</v>
      </c>
      <c r="L92" s="378">
        <f t="shared" si="17"/>
        <v>0</v>
      </c>
      <c r="M92" s="114">
        <f>L92*D92*'B) D RI'!S94</f>
        <v>0</v>
      </c>
    </row>
    <row r="93" spans="1:13" x14ac:dyDescent="0.25">
      <c r="A93" s="298">
        <f>'A) Base RI'!A95</f>
        <v>5541</v>
      </c>
      <c r="B93" s="32" t="str">
        <f>'A) Base RI'!B95</f>
        <v>Goumoëns</v>
      </c>
      <c r="C93" s="296">
        <f>'B) D RI'!U95</f>
        <v>35230.967112736034</v>
      </c>
      <c r="D93" s="32">
        <f>'B) D RI'!AA95</f>
        <v>1119</v>
      </c>
      <c r="E93" s="202">
        <f t="shared" si="10"/>
        <v>31.484331646770361</v>
      </c>
      <c r="F93" s="371">
        <f t="shared" si="11"/>
        <v>0.70237791977701591</v>
      </c>
      <c r="G93" s="382">
        <f t="shared" si="12"/>
        <v>0</v>
      </c>
      <c r="H93" s="379">
        <f t="shared" si="13"/>
        <v>0</v>
      </c>
      <c r="I93" s="382">
        <f t="shared" si="14"/>
        <v>0</v>
      </c>
      <c r="J93" s="379">
        <f t="shared" si="15"/>
        <v>0</v>
      </c>
      <c r="K93" s="374">
        <f t="shared" si="16"/>
        <v>0</v>
      </c>
      <c r="L93" s="378">
        <f t="shared" si="17"/>
        <v>0</v>
      </c>
      <c r="M93" s="114">
        <f>L93*D93*'B) D RI'!S95</f>
        <v>0</v>
      </c>
    </row>
    <row r="94" spans="1:13" x14ac:dyDescent="0.25">
      <c r="A94" s="298">
        <f>'A) Base RI'!A96</f>
        <v>5551</v>
      </c>
      <c r="B94" s="32" t="str">
        <f>'A) Base RI'!B96</f>
        <v>Bonvillars</v>
      </c>
      <c r="C94" s="296">
        <f>'B) D RI'!U96</f>
        <v>21415.305138743261</v>
      </c>
      <c r="D94" s="32">
        <f>'B) D RI'!AA96</f>
        <v>505</v>
      </c>
      <c r="E94" s="202">
        <f t="shared" si="10"/>
        <v>42.406544829194573</v>
      </c>
      <c r="F94" s="371">
        <f t="shared" si="11"/>
        <v>0.94603948008900551</v>
      </c>
      <c r="G94" s="382">
        <f t="shared" si="12"/>
        <v>0</v>
      </c>
      <c r="H94" s="379">
        <f t="shared" si="13"/>
        <v>0</v>
      </c>
      <c r="I94" s="382">
        <f t="shared" si="14"/>
        <v>0</v>
      </c>
      <c r="J94" s="379">
        <f t="shared" si="15"/>
        <v>0</v>
      </c>
      <c r="K94" s="374">
        <f t="shared" si="16"/>
        <v>0</v>
      </c>
      <c r="L94" s="378">
        <f t="shared" si="17"/>
        <v>0</v>
      </c>
      <c r="M94" s="114">
        <f>L94*D94*'B) D RI'!S96</f>
        <v>0</v>
      </c>
    </row>
    <row r="95" spans="1:13" x14ac:dyDescent="0.25">
      <c r="A95" s="298">
        <f>'A) Base RI'!A97</f>
        <v>5552</v>
      </c>
      <c r="B95" s="32" t="str">
        <f>'A) Base RI'!B97</f>
        <v>Bullet</v>
      </c>
      <c r="C95" s="296">
        <f>'B) D RI'!U97</f>
        <v>17732.087898586105</v>
      </c>
      <c r="D95" s="32">
        <f>'B) D RI'!AA97</f>
        <v>655</v>
      </c>
      <c r="E95" s="202">
        <f t="shared" si="10"/>
        <v>27.071889921505505</v>
      </c>
      <c r="F95" s="371">
        <f t="shared" si="11"/>
        <v>0.60394160310688738</v>
      </c>
      <c r="G95" s="382">
        <f t="shared" si="12"/>
        <v>0</v>
      </c>
      <c r="H95" s="379">
        <f t="shared" si="13"/>
        <v>0</v>
      </c>
      <c r="I95" s="382">
        <f t="shared" si="14"/>
        <v>0</v>
      </c>
      <c r="J95" s="379">
        <f t="shared" si="15"/>
        <v>0</v>
      </c>
      <c r="K95" s="374">
        <f t="shared" si="16"/>
        <v>0</v>
      </c>
      <c r="L95" s="378">
        <f t="shared" si="17"/>
        <v>0</v>
      </c>
      <c r="M95" s="114">
        <f>L95*D95*'B) D RI'!S97</f>
        <v>0</v>
      </c>
    </row>
    <row r="96" spans="1:13" x14ac:dyDescent="0.25">
      <c r="A96" s="298">
        <f>'A) Base RI'!A98</f>
        <v>5553</v>
      </c>
      <c r="B96" s="32" t="str">
        <f>'A) Base RI'!B98</f>
        <v>Champagne</v>
      </c>
      <c r="C96" s="296">
        <f>'B) D RI'!U98</f>
        <v>38083.02347761167</v>
      </c>
      <c r="D96" s="32">
        <f>'B) D RI'!AA98</f>
        <v>1034</v>
      </c>
      <c r="E96" s="202">
        <f t="shared" si="10"/>
        <v>36.830777057651517</v>
      </c>
      <c r="F96" s="371">
        <f t="shared" si="11"/>
        <v>0.82165074563931395</v>
      </c>
      <c r="G96" s="382">
        <f t="shared" si="12"/>
        <v>0</v>
      </c>
      <c r="H96" s="379">
        <f t="shared" si="13"/>
        <v>0</v>
      </c>
      <c r="I96" s="382">
        <f t="shared" si="14"/>
        <v>0</v>
      </c>
      <c r="J96" s="379">
        <f t="shared" si="15"/>
        <v>0</v>
      </c>
      <c r="K96" s="374">
        <f t="shared" si="16"/>
        <v>0</v>
      </c>
      <c r="L96" s="378">
        <f t="shared" si="17"/>
        <v>0</v>
      </c>
      <c r="M96" s="114">
        <f>L96*D96*'B) D RI'!S98</f>
        <v>0</v>
      </c>
    </row>
    <row r="97" spans="1:13" x14ac:dyDescent="0.25">
      <c r="A97" s="298">
        <f>'A) Base RI'!A99</f>
        <v>5554</v>
      </c>
      <c r="B97" s="32" t="str">
        <f>'A) Base RI'!B99</f>
        <v>Concise</v>
      </c>
      <c r="C97" s="296">
        <f>'B) D RI'!U99</f>
        <v>29757.199499444905</v>
      </c>
      <c r="D97" s="32">
        <f>'B) D RI'!AA99</f>
        <v>995</v>
      </c>
      <c r="E97" s="202">
        <f t="shared" si="10"/>
        <v>29.906733165271262</v>
      </c>
      <c r="F97" s="371">
        <f t="shared" si="11"/>
        <v>0.66718357764803571</v>
      </c>
      <c r="G97" s="382">
        <f t="shared" si="12"/>
        <v>0</v>
      </c>
      <c r="H97" s="379">
        <f t="shared" si="13"/>
        <v>0</v>
      </c>
      <c r="I97" s="382">
        <f t="shared" si="14"/>
        <v>0</v>
      </c>
      <c r="J97" s="379">
        <f t="shared" si="15"/>
        <v>0</v>
      </c>
      <c r="K97" s="374">
        <f t="shared" si="16"/>
        <v>0</v>
      </c>
      <c r="L97" s="378">
        <f t="shared" si="17"/>
        <v>0</v>
      </c>
      <c r="M97" s="114">
        <f>L97*D97*'B) D RI'!S99</f>
        <v>0</v>
      </c>
    </row>
    <row r="98" spans="1:13" x14ac:dyDescent="0.25">
      <c r="A98" s="298">
        <f>'A) Base RI'!A100</f>
        <v>5555</v>
      </c>
      <c r="B98" s="32" t="str">
        <f>'A) Base RI'!B100</f>
        <v>Corcelles-près-Concise</v>
      </c>
      <c r="C98" s="296">
        <f>'B) D RI'!U100</f>
        <v>13026.26930420642</v>
      </c>
      <c r="D98" s="32">
        <f>'B) D RI'!AA100</f>
        <v>401</v>
      </c>
      <c r="E98" s="202">
        <f t="shared" si="10"/>
        <v>32.484462105252916</v>
      </c>
      <c r="F98" s="371">
        <f t="shared" si="11"/>
        <v>0.72468963846984924</v>
      </c>
      <c r="G98" s="382">
        <f t="shared" si="12"/>
        <v>0</v>
      </c>
      <c r="H98" s="379">
        <f t="shared" si="13"/>
        <v>0</v>
      </c>
      <c r="I98" s="382">
        <f t="shared" si="14"/>
        <v>0</v>
      </c>
      <c r="J98" s="379">
        <f t="shared" si="15"/>
        <v>0</v>
      </c>
      <c r="K98" s="374">
        <f t="shared" si="16"/>
        <v>0</v>
      </c>
      <c r="L98" s="378">
        <f t="shared" si="17"/>
        <v>0</v>
      </c>
      <c r="M98" s="114">
        <f>L98*D98*'B) D RI'!S100</f>
        <v>0</v>
      </c>
    </row>
    <row r="99" spans="1:13" x14ac:dyDescent="0.25">
      <c r="A99" s="298">
        <f>'A) Base RI'!A101</f>
        <v>5556</v>
      </c>
      <c r="B99" s="32" t="str">
        <f>'A) Base RI'!B101</f>
        <v>Fiez</v>
      </c>
      <c r="C99" s="296">
        <f>'B) D RI'!U101</f>
        <v>12681.485348367609</v>
      </c>
      <c r="D99" s="32">
        <f>'B) D RI'!AA101</f>
        <v>447</v>
      </c>
      <c r="E99" s="202">
        <f t="shared" si="10"/>
        <v>28.370213307310088</v>
      </c>
      <c r="F99" s="371">
        <f t="shared" si="11"/>
        <v>0.63290565065759408</v>
      </c>
      <c r="G99" s="382">
        <f t="shared" si="12"/>
        <v>0</v>
      </c>
      <c r="H99" s="379">
        <f t="shared" si="13"/>
        <v>0</v>
      </c>
      <c r="I99" s="382">
        <f t="shared" si="14"/>
        <v>0</v>
      </c>
      <c r="J99" s="379">
        <f t="shared" si="15"/>
        <v>0</v>
      </c>
      <c r="K99" s="374">
        <f t="shared" si="16"/>
        <v>0</v>
      </c>
      <c r="L99" s="378">
        <f t="shared" si="17"/>
        <v>0</v>
      </c>
      <c r="M99" s="114">
        <f>L99*D99*'B) D RI'!S101</f>
        <v>0</v>
      </c>
    </row>
    <row r="100" spans="1:13" x14ac:dyDescent="0.25">
      <c r="A100" s="298">
        <f>'A) Base RI'!A102</f>
        <v>5557</v>
      </c>
      <c r="B100" s="32" t="str">
        <f>'A) Base RI'!B102</f>
        <v>Fontaines-sur-Grandson</v>
      </c>
      <c r="C100" s="296">
        <f>'B) D RI'!U102</f>
        <v>5466.9806268353996</v>
      </c>
      <c r="D100" s="32">
        <f>'B) D RI'!AA102</f>
        <v>218</v>
      </c>
      <c r="E100" s="202">
        <f t="shared" si="10"/>
        <v>25.077892783648622</v>
      </c>
      <c r="F100" s="371">
        <f t="shared" si="11"/>
        <v>0.55945790316870214</v>
      </c>
      <c r="G100" s="382">
        <f t="shared" si="12"/>
        <v>0</v>
      </c>
      <c r="H100" s="379">
        <f t="shared" si="13"/>
        <v>0</v>
      </c>
      <c r="I100" s="382">
        <f t="shared" si="14"/>
        <v>0</v>
      </c>
      <c r="J100" s="379">
        <f t="shared" si="15"/>
        <v>0</v>
      </c>
      <c r="K100" s="374">
        <f t="shared" si="16"/>
        <v>0</v>
      </c>
      <c r="L100" s="378">
        <f t="shared" si="17"/>
        <v>0</v>
      </c>
      <c r="M100" s="114">
        <f>L100*D100*'B) D RI'!S102</f>
        <v>0</v>
      </c>
    </row>
    <row r="101" spans="1:13" x14ac:dyDescent="0.25">
      <c r="A101" s="298">
        <f>'A) Base RI'!A103</f>
        <v>5559</v>
      </c>
      <c r="B101" s="32" t="str">
        <f>'A) Base RI'!B103</f>
        <v>Giez</v>
      </c>
      <c r="C101" s="296">
        <f>'B) D RI'!U103</f>
        <v>19176.421195753639</v>
      </c>
      <c r="D101" s="32">
        <f>'B) D RI'!AA103</f>
        <v>412</v>
      </c>
      <c r="E101" s="202">
        <f t="shared" si="10"/>
        <v>46.544711640178733</v>
      </c>
      <c r="F101" s="371">
        <f t="shared" si="11"/>
        <v>1.0383570502695842</v>
      </c>
      <c r="G101" s="382">
        <f t="shared" si="12"/>
        <v>1.71936796085906</v>
      </c>
      <c r="H101" s="379">
        <f t="shared" si="13"/>
        <v>0</v>
      </c>
      <c r="I101" s="382">
        <f t="shared" si="14"/>
        <v>0</v>
      </c>
      <c r="J101" s="379">
        <f t="shared" si="15"/>
        <v>0</v>
      </c>
      <c r="K101" s="374">
        <f t="shared" si="16"/>
        <v>0</v>
      </c>
      <c r="L101" s="378">
        <f t="shared" si="17"/>
        <v>0.34387359217181201</v>
      </c>
      <c r="M101" s="114">
        <f>L101*D101*'B) D RI'!S103</f>
        <v>9350.6107183359127</v>
      </c>
    </row>
    <row r="102" spans="1:13" x14ac:dyDescent="0.25">
      <c r="A102" s="298">
        <f>'A) Base RI'!A104</f>
        <v>5560</v>
      </c>
      <c r="B102" s="32" t="str">
        <f>'A) Base RI'!B104</f>
        <v>Grandevent</v>
      </c>
      <c r="C102" s="296">
        <f>'B) D RI'!U104</f>
        <v>7435.5518015193766</v>
      </c>
      <c r="D102" s="32">
        <f>'B) D RI'!AA104</f>
        <v>238</v>
      </c>
      <c r="E102" s="202">
        <f t="shared" si="10"/>
        <v>31.241814292098219</v>
      </c>
      <c r="F102" s="371">
        <f t="shared" si="11"/>
        <v>0.69696764659747024</v>
      </c>
      <c r="G102" s="382">
        <f t="shared" si="12"/>
        <v>0</v>
      </c>
      <c r="H102" s="379">
        <f t="shared" si="13"/>
        <v>0</v>
      </c>
      <c r="I102" s="382">
        <f t="shared" si="14"/>
        <v>0</v>
      </c>
      <c r="J102" s="379">
        <f t="shared" si="15"/>
        <v>0</v>
      </c>
      <c r="K102" s="374">
        <f t="shared" si="16"/>
        <v>0</v>
      </c>
      <c r="L102" s="378">
        <f t="shared" si="17"/>
        <v>0</v>
      </c>
      <c r="M102" s="114">
        <f>L102*D102*'B) D RI'!S104</f>
        <v>0</v>
      </c>
    </row>
    <row r="103" spans="1:13" x14ac:dyDescent="0.25">
      <c r="A103" s="298">
        <f>'A) Base RI'!A105</f>
        <v>5561</v>
      </c>
      <c r="B103" s="32" t="str">
        <f>'A) Base RI'!B105</f>
        <v>Grandson</v>
      </c>
      <c r="C103" s="296">
        <f>'B) D RI'!U105</f>
        <v>121785.01104961828</v>
      </c>
      <c r="D103" s="32">
        <f>'B) D RI'!AA105</f>
        <v>3360</v>
      </c>
      <c r="E103" s="202">
        <f t="shared" si="10"/>
        <v>36.245539002862579</v>
      </c>
      <c r="F103" s="371">
        <f t="shared" si="11"/>
        <v>0.80859478205371982</v>
      </c>
      <c r="G103" s="382">
        <f t="shared" si="12"/>
        <v>0</v>
      </c>
      <c r="H103" s="379">
        <f t="shared" si="13"/>
        <v>0</v>
      </c>
      <c r="I103" s="382">
        <f t="shared" si="14"/>
        <v>0</v>
      </c>
      <c r="J103" s="379">
        <f t="shared" si="15"/>
        <v>0</v>
      </c>
      <c r="K103" s="374">
        <f t="shared" si="16"/>
        <v>0</v>
      </c>
      <c r="L103" s="378">
        <f t="shared" si="17"/>
        <v>0</v>
      </c>
      <c r="M103" s="114">
        <f>L103*D103*'B) D RI'!S105</f>
        <v>0</v>
      </c>
    </row>
    <row r="104" spans="1:13" x14ac:dyDescent="0.25">
      <c r="A104" s="298">
        <f>'A) Base RI'!A106</f>
        <v>5562</v>
      </c>
      <c r="B104" s="32" t="str">
        <f>'A) Base RI'!B106</f>
        <v>Mauborget</v>
      </c>
      <c r="C104" s="296">
        <f>'B) D RI'!U106</f>
        <v>5293.9932786811205</v>
      </c>
      <c r="D104" s="32">
        <f>'B) D RI'!AA106</f>
        <v>122</v>
      </c>
      <c r="E104" s="202">
        <f t="shared" si="10"/>
        <v>43.393387530173122</v>
      </c>
      <c r="F104" s="371">
        <f t="shared" si="11"/>
        <v>0.96805476474668528</v>
      </c>
      <c r="G104" s="382">
        <f t="shared" si="12"/>
        <v>0</v>
      </c>
      <c r="H104" s="379">
        <f t="shared" si="13"/>
        <v>0</v>
      </c>
      <c r="I104" s="382">
        <f t="shared" si="14"/>
        <v>0</v>
      </c>
      <c r="J104" s="379">
        <f t="shared" si="15"/>
        <v>0</v>
      </c>
      <c r="K104" s="374">
        <f t="shared" si="16"/>
        <v>0</v>
      </c>
      <c r="L104" s="378">
        <f t="shared" si="17"/>
        <v>0</v>
      </c>
      <c r="M104" s="114">
        <f>L104*D104*'B) D RI'!S106</f>
        <v>0</v>
      </c>
    </row>
    <row r="105" spans="1:13" x14ac:dyDescent="0.25">
      <c r="A105" s="298">
        <f>'A) Base RI'!A107</f>
        <v>5563</v>
      </c>
      <c r="B105" s="32" t="str">
        <f>'A) Base RI'!B107</f>
        <v>Mutrux</v>
      </c>
      <c r="C105" s="296">
        <f>'B) D RI'!U107</f>
        <v>3292.4675996165679</v>
      </c>
      <c r="D105" s="32">
        <f>'B) D RI'!AA107</f>
        <v>158</v>
      </c>
      <c r="E105" s="202">
        <f t="shared" si="10"/>
        <v>20.838402529218783</v>
      </c>
      <c r="F105" s="371">
        <f t="shared" si="11"/>
        <v>0.46487992771001668</v>
      </c>
      <c r="G105" s="382">
        <f t="shared" si="12"/>
        <v>0</v>
      </c>
      <c r="H105" s="379">
        <f t="shared" si="13"/>
        <v>0</v>
      </c>
      <c r="I105" s="382">
        <f t="shared" si="14"/>
        <v>0</v>
      </c>
      <c r="J105" s="379">
        <f t="shared" si="15"/>
        <v>0</v>
      </c>
      <c r="K105" s="374">
        <f t="shared" si="16"/>
        <v>0</v>
      </c>
      <c r="L105" s="378">
        <f t="shared" si="17"/>
        <v>0</v>
      </c>
      <c r="M105" s="114">
        <f>L105*D105*'B) D RI'!S107</f>
        <v>0</v>
      </c>
    </row>
    <row r="106" spans="1:13" x14ac:dyDescent="0.25">
      <c r="A106" s="298">
        <f>'A) Base RI'!A108</f>
        <v>5564</v>
      </c>
      <c r="B106" s="32" t="str">
        <f>'A) Base RI'!B108</f>
        <v>Novalles</v>
      </c>
      <c r="C106" s="296">
        <f>'B) D RI'!U108</f>
        <v>2878.9025109575691</v>
      </c>
      <c r="D106" s="32">
        <f>'B) D RI'!AA108</f>
        <v>101</v>
      </c>
      <c r="E106" s="202">
        <f t="shared" si="10"/>
        <v>28.503985257005635</v>
      </c>
      <c r="F106" s="371">
        <f t="shared" si="11"/>
        <v>0.63588994344188476</v>
      </c>
      <c r="G106" s="382">
        <f t="shared" si="12"/>
        <v>0</v>
      </c>
      <c r="H106" s="379">
        <f t="shared" si="13"/>
        <v>0</v>
      </c>
      <c r="I106" s="382">
        <f t="shared" si="14"/>
        <v>0</v>
      </c>
      <c r="J106" s="379">
        <f t="shared" si="15"/>
        <v>0</v>
      </c>
      <c r="K106" s="374">
        <f t="shared" si="16"/>
        <v>0</v>
      </c>
      <c r="L106" s="378">
        <f t="shared" si="17"/>
        <v>0</v>
      </c>
      <c r="M106" s="114">
        <f>L106*D106*'B) D RI'!S108</f>
        <v>0</v>
      </c>
    </row>
    <row r="107" spans="1:13" x14ac:dyDescent="0.25">
      <c r="A107" s="298">
        <f>'A) Base RI'!A109</f>
        <v>5565</v>
      </c>
      <c r="B107" s="32" t="str">
        <f>'A) Base RI'!B109</f>
        <v>Onnens</v>
      </c>
      <c r="C107" s="296">
        <f>'B) D RI'!U109</f>
        <v>22496.162634074011</v>
      </c>
      <c r="D107" s="32">
        <f>'B) D RI'!AA109</f>
        <v>494</v>
      </c>
      <c r="E107" s="202">
        <f t="shared" si="10"/>
        <v>45.538790757234842</v>
      </c>
      <c r="F107" s="371">
        <f t="shared" si="11"/>
        <v>1.0159161541073543</v>
      </c>
      <c r="G107" s="382">
        <f t="shared" si="12"/>
        <v>0.71344707791516981</v>
      </c>
      <c r="H107" s="379">
        <f t="shared" si="13"/>
        <v>0</v>
      </c>
      <c r="I107" s="382">
        <f t="shared" si="14"/>
        <v>0</v>
      </c>
      <c r="J107" s="379">
        <f t="shared" si="15"/>
        <v>0</v>
      </c>
      <c r="K107" s="374">
        <f t="shared" si="16"/>
        <v>0</v>
      </c>
      <c r="L107" s="378">
        <f t="shared" si="17"/>
        <v>0.14268941558303397</v>
      </c>
      <c r="M107" s="114">
        <f>L107*D107*'B) D RI'!S109</f>
        <v>4581.7571343712207</v>
      </c>
    </row>
    <row r="108" spans="1:13" x14ac:dyDescent="0.25">
      <c r="A108" s="298">
        <f>'A) Base RI'!A110</f>
        <v>5566</v>
      </c>
      <c r="B108" s="32" t="str">
        <f>'A) Base RI'!B110</f>
        <v>Provence</v>
      </c>
      <c r="C108" s="296">
        <f>'B) D RI'!U110</f>
        <v>8235.6819296483191</v>
      </c>
      <c r="D108" s="32">
        <f>'B) D RI'!AA110</f>
        <v>373</v>
      </c>
      <c r="E108" s="202">
        <f t="shared" si="10"/>
        <v>22.079576218896296</v>
      </c>
      <c r="F108" s="371">
        <f t="shared" si="11"/>
        <v>0.49256903364430388</v>
      </c>
      <c r="G108" s="382">
        <f t="shared" si="12"/>
        <v>0</v>
      </c>
      <c r="H108" s="379">
        <f t="shared" si="13"/>
        <v>0</v>
      </c>
      <c r="I108" s="382">
        <f t="shared" si="14"/>
        <v>0</v>
      </c>
      <c r="J108" s="379">
        <f t="shared" si="15"/>
        <v>0</v>
      </c>
      <c r="K108" s="374">
        <f t="shared" si="16"/>
        <v>0</v>
      </c>
      <c r="L108" s="378">
        <f t="shared" si="17"/>
        <v>0</v>
      </c>
      <c r="M108" s="114">
        <f>L108*D108*'B) D RI'!S110</f>
        <v>0</v>
      </c>
    </row>
    <row r="109" spans="1:13" x14ac:dyDescent="0.25">
      <c r="A109" s="298">
        <f>'A) Base RI'!A111</f>
        <v>5568</v>
      </c>
      <c r="B109" s="32" t="str">
        <f>'A) Base RI'!B111</f>
        <v>Sainte-Croix</v>
      </c>
      <c r="C109" s="296">
        <f>'B) D RI'!U111</f>
        <v>101939.03540611925</v>
      </c>
      <c r="D109" s="32">
        <f>'B) D RI'!AA111</f>
        <v>4845</v>
      </c>
      <c r="E109" s="202">
        <f t="shared" si="10"/>
        <v>21.040048587434313</v>
      </c>
      <c r="F109" s="371">
        <f t="shared" si="11"/>
        <v>0.46937841097114025</v>
      </c>
      <c r="G109" s="382">
        <f t="shared" si="12"/>
        <v>0</v>
      </c>
      <c r="H109" s="379">
        <f t="shared" si="13"/>
        <v>0</v>
      </c>
      <c r="I109" s="382">
        <f t="shared" si="14"/>
        <v>0</v>
      </c>
      <c r="J109" s="379">
        <f t="shared" si="15"/>
        <v>0</v>
      </c>
      <c r="K109" s="374">
        <f t="shared" si="16"/>
        <v>0</v>
      </c>
      <c r="L109" s="378">
        <f t="shared" si="17"/>
        <v>0</v>
      </c>
      <c r="M109" s="114">
        <f>L109*D109*'B) D RI'!S111</f>
        <v>0</v>
      </c>
    </row>
    <row r="110" spans="1:13" x14ac:dyDescent="0.25">
      <c r="A110" s="298">
        <f>'A) Base RI'!A112</f>
        <v>5571</v>
      </c>
      <c r="B110" s="32" t="str">
        <f>'A) Base RI'!B112</f>
        <v>Tévenon</v>
      </c>
      <c r="C110" s="296">
        <f>'B) D RI'!U112</f>
        <v>22492.192645834311</v>
      </c>
      <c r="D110" s="32">
        <f>'B) D RI'!AA112</f>
        <v>877</v>
      </c>
      <c r="E110" s="202">
        <f t="shared" si="10"/>
        <v>25.646741899468999</v>
      </c>
      <c r="F110" s="371">
        <f t="shared" si="11"/>
        <v>0.57214824905628581</v>
      </c>
      <c r="G110" s="382">
        <f t="shared" si="12"/>
        <v>0</v>
      </c>
      <c r="H110" s="379">
        <f t="shared" si="13"/>
        <v>0</v>
      </c>
      <c r="I110" s="382">
        <f t="shared" si="14"/>
        <v>0</v>
      </c>
      <c r="J110" s="379">
        <f t="shared" si="15"/>
        <v>0</v>
      </c>
      <c r="K110" s="374">
        <f t="shared" si="16"/>
        <v>0</v>
      </c>
      <c r="L110" s="378">
        <f t="shared" si="17"/>
        <v>0</v>
      </c>
      <c r="M110" s="114">
        <f>L110*D110*'B) D RI'!S112</f>
        <v>0</v>
      </c>
    </row>
    <row r="111" spans="1:13" x14ac:dyDescent="0.25">
      <c r="A111" s="298">
        <f>'A) Base RI'!A113</f>
        <v>5581</v>
      </c>
      <c r="B111" s="32" t="str">
        <f>'A) Base RI'!B113</f>
        <v>Belmont-sur-Lausanne</v>
      </c>
      <c r="C111" s="296">
        <f>'B) D RI'!U113</f>
        <v>185422.93708910214</v>
      </c>
      <c r="D111" s="32">
        <f>'B) D RI'!AA113</f>
        <v>3732</v>
      </c>
      <c r="E111" s="202">
        <f t="shared" si="10"/>
        <v>49.684602649813009</v>
      </c>
      <c r="F111" s="371">
        <f t="shared" si="11"/>
        <v>1.1084042769478011</v>
      </c>
      <c r="G111" s="382">
        <f t="shared" si="12"/>
        <v>4.859258970493336</v>
      </c>
      <c r="H111" s="379">
        <f t="shared" si="13"/>
        <v>0</v>
      </c>
      <c r="I111" s="382">
        <f t="shared" si="14"/>
        <v>0</v>
      </c>
      <c r="J111" s="379">
        <f t="shared" si="15"/>
        <v>0</v>
      </c>
      <c r="K111" s="374">
        <f t="shared" si="16"/>
        <v>0</v>
      </c>
      <c r="L111" s="378">
        <f t="shared" si="17"/>
        <v>0.97185179409866729</v>
      </c>
      <c r="M111" s="114">
        <f>L111*D111*'B) D RI'!S113</f>
        <v>252073.08724254771</v>
      </c>
    </row>
    <row r="112" spans="1:13" x14ac:dyDescent="0.25">
      <c r="A112" s="298">
        <f>'A) Base RI'!A114</f>
        <v>5582</v>
      </c>
      <c r="B112" s="32" t="str">
        <f>'A) Base RI'!B114</f>
        <v>Cheseaux-sur-Lausanne</v>
      </c>
      <c r="C112" s="296">
        <f>'B) D RI'!U114</f>
        <v>172785.13258345879</v>
      </c>
      <c r="D112" s="32">
        <f>'B) D RI'!AA114</f>
        <v>4338</v>
      </c>
      <c r="E112" s="202">
        <f t="shared" si="10"/>
        <v>39.830597644872938</v>
      </c>
      <c r="F112" s="371">
        <f t="shared" si="11"/>
        <v>0.88857316811268361</v>
      </c>
      <c r="G112" s="382">
        <f t="shared" si="12"/>
        <v>0</v>
      </c>
      <c r="H112" s="379">
        <f t="shared" si="13"/>
        <v>0</v>
      </c>
      <c r="I112" s="382">
        <f t="shared" si="14"/>
        <v>0</v>
      </c>
      <c r="J112" s="379">
        <f t="shared" si="15"/>
        <v>0</v>
      </c>
      <c r="K112" s="374">
        <f t="shared" si="16"/>
        <v>0</v>
      </c>
      <c r="L112" s="378">
        <f t="shared" si="17"/>
        <v>0</v>
      </c>
      <c r="M112" s="114">
        <f>L112*D112*'B) D RI'!S114</f>
        <v>0</v>
      </c>
    </row>
    <row r="113" spans="1:13" x14ac:dyDescent="0.25">
      <c r="A113" s="298">
        <f>'A) Base RI'!A115</f>
        <v>5583</v>
      </c>
      <c r="B113" s="32" t="str">
        <f>'A) Base RI'!B115</f>
        <v>Crissier</v>
      </c>
      <c r="C113" s="296">
        <f>'B) D RI'!U115</f>
        <v>311434.56630958844</v>
      </c>
      <c r="D113" s="32">
        <f>'B) D RI'!AA115</f>
        <v>7905</v>
      </c>
      <c r="E113" s="202">
        <f t="shared" si="10"/>
        <v>39.397162088499485</v>
      </c>
      <c r="F113" s="371">
        <f t="shared" si="11"/>
        <v>0.87890373736666971</v>
      </c>
      <c r="G113" s="382">
        <f t="shared" si="12"/>
        <v>0</v>
      </c>
      <c r="H113" s="379">
        <f t="shared" si="13"/>
        <v>0</v>
      </c>
      <c r="I113" s="382">
        <f t="shared" si="14"/>
        <v>0</v>
      </c>
      <c r="J113" s="379">
        <f t="shared" si="15"/>
        <v>0</v>
      </c>
      <c r="K113" s="374">
        <f t="shared" si="16"/>
        <v>0</v>
      </c>
      <c r="L113" s="378">
        <f t="shared" si="17"/>
        <v>0</v>
      </c>
      <c r="M113" s="114">
        <f>L113*D113*'B) D RI'!S115</f>
        <v>0</v>
      </c>
    </row>
    <row r="114" spans="1:13" x14ac:dyDescent="0.25">
      <c r="A114" s="298">
        <f>'A) Base RI'!A116</f>
        <v>5584</v>
      </c>
      <c r="B114" s="32" t="str">
        <f>'A) Base RI'!B116</f>
        <v>Epalinges</v>
      </c>
      <c r="C114" s="296">
        <f>'B) D RI'!U116</f>
        <v>462898.41144046158</v>
      </c>
      <c r="D114" s="32">
        <f>'B) D RI'!AA116</f>
        <v>9624</v>
      </c>
      <c r="E114" s="202">
        <f t="shared" si="10"/>
        <v>48.098338678352199</v>
      </c>
      <c r="F114" s="371">
        <f t="shared" si="11"/>
        <v>1.07301661806427</v>
      </c>
      <c r="G114" s="382">
        <f t="shared" si="12"/>
        <v>3.2729949990325267</v>
      </c>
      <c r="H114" s="379">
        <f t="shared" si="13"/>
        <v>0</v>
      </c>
      <c r="I114" s="382">
        <f t="shared" si="14"/>
        <v>0</v>
      </c>
      <c r="J114" s="379">
        <f t="shared" si="15"/>
        <v>0</v>
      </c>
      <c r="K114" s="374">
        <f t="shared" si="16"/>
        <v>0</v>
      </c>
      <c r="L114" s="378">
        <f t="shared" si="17"/>
        <v>0.65459899980650538</v>
      </c>
      <c r="M114" s="114">
        <f>L114*D114*'B) D RI'!S116</f>
        <v>415790.81109309528</v>
      </c>
    </row>
    <row r="115" spans="1:13" x14ac:dyDescent="0.25">
      <c r="A115" s="298">
        <f>'A) Base RI'!A117</f>
        <v>5585</v>
      </c>
      <c r="B115" s="32" t="str">
        <f>'A) Base RI'!B117</f>
        <v>Jouxtens-Mézery</v>
      </c>
      <c r="C115" s="296">
        <f>'B) D RI'!U117</f>
        <v>219524.13851096807</v>
      </c>
      <c r="D115" s="32">
        <f>'B) D RI'!AA117</f>
        <v>1471</v>
      </c>
      <c r="E115" s="202">
        <f t="shared" si="10"/>
        <v>149.23462849148066</v>
      </c>
      <c r="F115" s="371">
        <f t="shared" si="11"/>
        <v>3.3292467216560477</v>
      </c>
      <c r="G115" s="382">
        <f t="shared" si="12"/>
        <v>104.40928481216099</v>
      </c>
      <c r="H115" s="379">
        <f t="shared" si="13"/>
        <v>95.444216076297067</v>
      </c>
      <c r="I115" s="382">
        <f t="shared" si="14"/>
        <v>81.996612972501154</v>
      </c>
      <c r="J115" s="379">
        <f t="shared" si="15"/>
        <v>59.583941132841318</v>
      </c>
      <c r="K115" s="374">
        <f t="shared" si="16"/>
        <v>14.758597453521645</v>
      </c>
      <c r="L115" s="378">
        <f t="shared" si="17"/>
        <v>46.060193725948324</v>
      </c>
      <c r="M115" s="114">
        <f>L115*D115*'B) D RI'!S117</f>
        <v>3590990.8834561096</v>
      </c>
    </row>
    <row r="116" spans="1:13" x14ac:dyDescent="0.25">
      <c r="A116" s="298">
        <f>'A) Base RI'!A118</f>
        <v>5586</v>
      </c>
      <c r="B116" s="32" t="str">
        <f>'A) Base RI'!B118</f>
        <v>Lausanne</v>
      </c>
      <c r="C116" s="296">
        <f>'B) D RI'!U118</f>
        <v>5631743.9365920834</v>
      </c>
      <c r="D116" s="32">
        <f>'B) D RI'!AA118</f>
        <v>139720</v>
      </c>
      <c r="E116" s="202">
        <f t="shared" si="10"/>
        <v>40.307357118466101</v>
      </c>
      <c r="F116" s="371">
        <f t="shared" si="11"/>
        <v>0.89920910382360408</v>
      </c>
      <c r="G116" s="382">
        <f t="shared" si="12"/>
        <v>0</v>
      </c>
      <c r="H116" s="379">
        <f t="shared" si="13"/>
        <v>0</v>
      </c>
      <c r="I116" s="382">
        <f t="shared" si="14"/>
        <v>0</v>
      </c>
      <c r="J116" s="379">
        <f t="shared" si="15"/>
        <v>0</v>
      </c>
      <c r="K116" s="374">
        <f t="shared" si="16"/>
        <v>0</v>
      </c>
      <c r="L116" s="378">
        <f t="shared" si="17"/>
        <v>0</v>
      </c>
      <c r="M116" s="114">
        <f>L116*D116*'B) D RI'!S118</f>
        <v>0</v>
      </c>
    </row>
    <row r="117" spans="1:13" x14ac:dyDescent="0.25">
      <c r="A117" s="298">
        <f>'A) Base RI'!A119</f>
        <v>5587</v>
      </c>
      <c r="B117" s="32" t="str">
        <f>'A) Base RI'!B119</f>
        <v>Le Mont-sur-Lausanne</v>
      </c>
      <c r="C117" s="296">
        <f>'B) D RI'!U119</f>
        <v>419159.15757031104</v>
      </c>
      <c r="D117" s="32">
        <f>'B) D RI'!AA119</f>
        <v>8516</v>
      </c>
      <c r="E117" s="202">
        <f t="shared" si="10"/>
        <v>49.220192293366729</v>
      </c>
      <c r="F117" s="371">
        <f t="shared" si="11"/>
        <v>1.0980438353242261</v>
      </c>
      <c r="G117" s="382">
        <f t="shared" si="12"/>
        <v>4.3948486140470564</v>
      </c>
      <c r="H117" s="379">
        <f t="shared" si="13"/>
        <v>0</v>
      </c>
      <c r="I117" s="382">
        <f t="shared" si="14"/>
        <v>0</v>
      </c>
      <c r="J117" s="379">
        <f t="shared" si="15"/>
        <v>0</v>
      </c>
      <c r="K117" s="374">
        <f t="shared" si="16"/>
        <v>0</v>
      </c>
      <c r="L117" s="378">
        <f t="shared" si="17"/>
        <v>0.87896972280941132</v>
      </c>
      <c r="M117" s="114">
        <f>L117*D117*'B) D RI'!S119</f>
        <v>561397.96195837099</v>
      </c>
    </row>
    <row r="118" spans="1:13" x14ac:dyDescent="0.25">
      <c r="A118" s="298">
        <f>'A) Base RI'!A120</f>
        <v>5588</v>
      </c>
      <c r="B118" s="32" t="str">
        <f>'A) Base RI'!B120</f>
        <v>Paudex</v>
      </c>
      <c r="C118" s="296">
        <f>'B) D RI'!U120</f>
        <v>128424.0019189813</v>
      </c>
      <c r="D118" s="32">
        <f>'B) D RI'!AA120</f>
        <v>1507</v>
      </c>
      <c r="E118" s="202">
        <f t="shared" si="10"/>
        <v>85.218315805561588</v>
      </c>
      <c r="F118" s="371">
        <f t="shared" si="11"/>
        <v>1.9011190726213518</v>
      </c>
      <c r="G118" s="382">
        <f t="shared" si="12"/>
        <v>40.392972126241915</v>
      </c>
      <c r="H118" s="379">
        <f t="shared" si="13"/>
        <v>31.427903390377985</v>
      </c>
      <c r="I118" s="382">
        <f t="shared" si="14"/>
        <v>17.980300286582079</v>
      </c>
      <c r="J118" s="379">
        <f t="shared" si="15"/>
        <v>0</v>
      </c>
      <c r="K118" s="374">
        <f t="shared" si="16"/>
        <v>0</v>
      </c>
      <c r="L118" s="378">
        <f t="shared" si="17"/>
        <v>13.019414792944389</v>
      </c>
      <c r="M118" s="114">
        <f>L118*D118*'B) D RI'!S120</f>
        <v>1206645.8727174823</v>
      </c>
    </row>
    <row r="119" spans="1:13" x14ac:dyDescent="0.25">
      <c r="A119" s="298">
        <f>'A) Base RI'!A121</f>
        <v>5589</v>
      </c>
      <c r="B119" s="32" t="str">
        <f>'A) Base RI'!B121</f>
        <v>Prilly</v>
      </c>
      <c r="C119" s="296">
        <f>'B) D RI'!U121</f>
        <v>381105.28464677284</v>
      </c>
      <c r="D119" s="32">
        <f>'B) D RI'!AA121</f>
        <v>12392</v>
      </c>
      <c r="E119" s="202">
        <f t="shared" si="10"/>
        <v>30.754138528629184</v>
      </c>
      <c r="F119" s="371">
        <f t="shared" si="11"/>
        <v>0.68608818146814821</v>
      </c>
      <c r="G119" s="382">
        <f t="shared" si="12"/>
        <v>0</v>
      </c>
      <c r="H119" s="379">
        <f t="shared" si="13"/>
        <v>0</v>
      </c>
      <c r="I119" s="382">
        <f t="shared" si="14"/>
        <v>0</v>
      </c>
      <c r="J119" s="379">
        <f t="shared" si="15"/>
        <v>0</v>
      </c>
      <c r="K119" s="374">
        <f t="shared" si="16"/>
        <v>0</v>
      </c>
      <c r="L119" s="378">
        <f t="shared" si="17"/>
        <v>0</v>
      </c>
      <c r="M119" s="114">
        <f>L119*D119*'B) D RI'!S121</f>
        <v>0</v>
      </c>
    </row>
    <row r="120" spans="1:13" x14ac:dyDescent="0.25">
      <c r="A120" s="298">
        <f>'A) Base RI'!A122</f>
        <v>5590</v>
      </c>
      <c r="B120" s="32" t="str">
        <f>'A) Base RI'!B122</f>
        <v>Pully</v>
      </c>
      <c r="C120" s="296">
        <f>'B) D RI'!U122</f>
        <v>1400746.467371441</v>
      </c>
      <c r="D120" s="32">
        <f>'B) D RI'!AA122</f>
        <v>18336</v>
      </c>
      <c r="E120" s="202">
        <f t="shared" si="10"/>
        <v>76.393241021566368</v>
      </c>
      <c r="F120" s="371">
        <f t="shared" si="11"/>
        <v>1.7042421708594875</v>
      </c>
      <c r="G120" s="382">
        <f t="shared" si="12"/>
        <v>31.567897342246695</v>
      </c>
      <c r="H120" s="379">
        <f t="shared" si="13"/>
        <v>22.602828606382765</v>
      </c>
      <c r="I120" s="382">
        <f t="shared" si="14"/>
        <v>9.155225502586859</v>
      </c>
      <c r="J120" s="379">
        <f t="shared" si="15"/>
        <v>0</v>
      </c>
      <c r="K120" s="374">
        <f t="shared" si="16"/>
        <v>0</v>
      </c>
      <c r="L120" s="378">
        <f t="shared" si="17"/>
        <v>9.4893848793463</v>
      </c>
      <c r="M120" s="114">
        <f>L120*D120*'B) D RI'!S122</f>
        <v>10613839.03000932</v>
      </c>
    </row>
    <row r="121" spans="1:13" x14ac:dyDescent="0.25">
      <c r="A121" s="298">
        <f>'A) Base RI'!A123</f>
        <v>5591</v>
      </c>
      <c r="B121" s="32" t="str">
        <f>'A) Base RI'!B123</f>
        <v>Renens</v>
      </c>
      <c r="C121" s="296">
        <f>'B) D RI'!U123</f>
        <v>542865.69746271567</v>
      </c>
      <c r="D121" s="32">
        <f>'B) D RI'!AA123</f>
        <v>20968</v>
      </c>
      <c r="E121" s="202">
        <f t="shared" si="10"/>
        <v>25.890199230385143</v>
      </c>
      <c r="F121" s="371">
        <f t="shared" si="11"/>
        <v>0.57757949198568392</v>
      </c>
      <c r="G121" s="382">
        <f t="shared" si="12"/>
        <v>0</v>
      </c>
      <c r="H121" s="379">
        <f t="shared" si="13"/>
        <v>0</v>
      </c>
      <c r="I121" s="382">
        <f t="shared" si="14"/>
        <v>0</v>
      </c>
      <c r="J121" s="379">
        <f t="shared" si="15"/>
        <v>0</v>
      </c>
      <c r="K121" s="374">
        <f t="shared" si="16"/>
        <v>0</v>
      </c>
      <c r="L121" s="378">
        <f t="shared" si="17"/>
        <v>0</v>
      </c>
      <c r="M121" s="114">
        <f>L121*D121*'B) D RI'!S123</f>
        <v>0</v>
      </c>
    </row>
    <row r="122" spans="1:13" x14ac:dyDescent="0.25">
      <c r="A122" s="298">
        <f>'A) Base RI'!A124</f>
        <v>5592</v>
      </c>
      <c r="B122" s="32" t="str">
        <f>'A) Base RI'!B124</f>
        <v>Romanel-sur-Lausanne</v>
      </c>
      <c r="C122" s="296">
        <f>'B) D RI'!U124</f>
        <v>113665.67141569764</v>
      </c>
      <c r="D122" s="32">
        <f>'B) D RI'!AA124</f>
        <v>3311</v>
      </c>
      <c r="E122" s="202">
        <f t="shared" si="10"/>
        <v>34.329710484958511</v>
      </c>
      <c r="F122" s="371">
        <f t="shared" si="11"/>
        <v>0.76585493087466594</v>
      </c>
      <c r="G122" s="382">
        <f t="shared" si="12"/>
        <v>0</v>
      </c>
      <c r="H122" s="379">
        <f t="shared" si="13"/>
        <v>0</v>
      </c>
      <c r="I122" s="382">
        <f t="shared" si="14"/>
        <v>0</v>
      </c>
      <c r="J122" s="379">
        <f t="shared" si="15"/>
        <v>0</v>
      </c>
      <c r="K122" s="374">
        <f t="shared" si="16"/>
        <v>0</v>
      </c>
      <c r="L122" s="378">
        <f t="shared" si="17"/>
        <v>0</v>
      </c>
      <c r="M122" s="114">
        <f>L122*D122*'B) D RI'!S124</f>
        <v>0</v>
      </c>
    </row>
    <row r="123" spans="1:13" x14ac:dyDescent="0.25">
      <c r="A123" s="298">
        <f>'A) Base RI'!A125</f>
        <v>5601</v>
      </c>
      <c r="B123" s="32" t="str">
        <f>'A) Base RI'!B125</f>
        <v>Chexbres</v>
      </c>
      <c r="C123" s="296">
        <f>'B) D RI'!U125</f>
        <v>102425.76498358055</v>
      </c>
      <c r="D123" s="32">
        <f>'B) D RI'!AA125</f>
        <v>2238</v>
      </c>
      <c r="E123" s="202">
        <f t="shared" si="10"/>
        <v>45.766651020366645</v>
      </c>
      <c r="F123" s="371">
        <f t="shared" si="11"/>
        <v>1.0209994450412043</v>
      </c>
      <c r="G123" s="382">
        <f t="shared" si="12"/>
        <v>0.94130734104697211</v>
      </c>
      <c r="H123" s="379">
        <f t="shared" si="13"/>
        <v>0</v>
      </c>
      <c r="I123" s="382">
        <f t="shared" si="14"/>
        <v>0</v>
      </c>
      <c r="J123" s="379">
        <f t="shared" si="15"/>
        <v>0</v>
      </c>
      <c r="K123" s="374">
        <f t="shared" si="16"/>
        <v>0</v>
      </c>
      <c r="L123" s="378">
        <f t="shared" si="17"/>
        <v>0.18826146820939443</v>
      </c>
      <c r="M123" s="114">
        <f>L123*D123*'B) D RI'!S125</f>
        <v>29071.712443831108</v>
      </c>
    </row>
    <row r="124" spans="1:13" x14ac:dyDescent="0.25">
      <c r="A124" s="298">
        <f>'A) Base RI'!A126</f>
        <v>5604</v>
      </c>
      <c r="B124" s="32" t="str">
        <f>'A) Base RI'!B126</f>
        <v>Forel (Lavaux)</v>
      </c>
      <c r="C124" s="296">
        <f>'B) D RI'!U126</f>
        <v>73155.644895461912</v>
      </c>
      <c r="D124" s="32">
        <f>'B) D RI'!AA126</f>
        <v>2082</v>
      </c>
      <c r="E124" s="202">
        <f t="shared" si="10"/>
        <v>35.13719735612964</v>
      </c>
      <c r="F124" s="371">
        <f t="shared" si="11"/>
        <v>0.78386900070417775</v>
      </c>
      <c r="G124" s="382">
        <f t="shared" si="12"/>
        <v>0</v>
      </c>
      <c r="H124" s="379">
        <f t="shared" si="13"/>
        <v>0</v>
      </c>
      <c r="I124" s="382">
        <f t="shared" si="14"/>
        <v>0</v>
      </c>
      <c r="J124" s="379">
        <f t="shared" si="15"/>
        <v>0</v>
      </c>
      <c r="K124" s="374">
        <f t="shared" si="16"/>
        <v>0</v>
      </c>
      <c r="L124" s="378">
        <f t="shared" si="17"/>
        <v>0</v>
      </c>
      <c r="M124" s="114">
        <f>L124*D124*'B) D RI'!S126</f>
        <v>0</v>
      </c>
    </row>
    <row r="125" spans="1:13" x14ac:dyDescent="0.25">
      <c r="A125" s="298">
        <f>'A) Base RI'!A127</f>
        <v>5606</v>
      </c>
      <c r="B125" s="32" t="str">
        <f>'A) Base RI'!B127</f>
        <v>Lutry</v>
      </c>
      <c r="C125" s="296">
        <f>'B) D RI'!U127</f>
        <v>811441.75973886927</v>
      </c>
      <c r="D125" s="32">
        <f>'B) D RI'!AA127</f>
        <v>10285</v>
      </c>
      <c r="E125" s="202">
        <f t="shared" si="10"/>
        <v>78.89564995030328</v>
      </c>
      <c r="F125" s="371">
        <f t="shared" si="11"/>
        <v>1.7600679319878156</v>
      </c>
      <c r="G125" s="382">
        <f t="shared" si="12"/>
        <v>34.070306270983608</v>
      </c>
      <c r="H125" s="379">
        <f t="shared" si="13"/>
        <v>25.105237535119677</v>
      </c>
      <c r="I125" s="382">
        <f t="shared" si="14"/>
        <v>11.657634431323771</v>
      </c>
      <c r="J125" s="379">
        <f t="shared" si="15"/>
        <v>0</v>
      </c>
      <c r="K125" s="374">
        <f t="shared" si="16"/>
        <v>0</v>
      </c>
      <c r="L125" s="378">
        <f t="shared" si="17"/>
        <v>10.490348450841065</v>
      </c>
      <c r="M125" s="114">
        <f>L125*D125*'B) D RI'!S127</f>
        <v>5988074.4768379694</v>
      </c>
    </row>
    <row r="126" spans="1:13" x14ac:dyDescent="0.25">
      <c r="A126" s="298">
        <f>'A) Base RI'!A128</f>
        <v>5607</v>
      </c>
      <c r="B126" s="32" t="str">
        <f>'A) Base RI'!B128</f>
        <v>Puidoux</v>
      </c>
      <c r="C126" s="296">
        <f>'B) D RI'!U128</f>
        <v>106681.90706629901</v>
      </c>
      <c r="D126" s="32">
        <f>'B) D RI'!AA128</f>
        <v>2880</v>
      </c>
      <c r="E126" s="202">
        <f t="shared" si="10"/>
        <v>37.042328842464933</v>
      </c>
      <c r="F126" s="371">
        <f t="shared" si="11"/>
        <v>0.82637021385637566</v>
      </c>
      <c r="G126" s="382">
        <f t="shared" si="12"/>
        <v>0</v>
      </c>
      <c r="H126" s="379">
        <f t="shared" si="13"/>
        <v>0</v>
      </c>
      <c r="I126" s="382">
        <f t="shared" si="14"/>
        <v>0</v>
      </c>
      <c r="J126" s="379">
        <f t="shared" si="15"/>
        <v>0</v>
      </c>
      <c r="K126" s="374">
        <f t="shared" si="16"/>
        <v>0</v>
      </c>
      <c r="L126" s="378">
        <f t="shared" si="17"/>
        <v>0</v>
      </c>
      <c r="M126" s="114">
        <f>L126*D126*'B) D RI'!S128</f>
        <v>0</v>
      </c>
    </row>
    <row r="127" spans="1:13" x14ac:dyDescent="0.25">
      <c r="A127" s="298">
        <f>'A) Base RI'!A129</f>
        <v>5609</v>
      </c>
      <c r="B127" s="32" t="str">
        <f>'A) Base RI'!B129</f>
        <v>Rivaz</v>
      </c>
      <c r="C127" s="296">
        <f>'B) D RI'!U129</f>
        <v>13473.763444719882</v>
      </c>
      <c r="D127" s="32">
        <f>'B) D RI'!AA129</f>
        <v>358</v>
      </c>
      <c r="E127" s="202">
        <f t="shared" si="10"/>
        <v>37.636210739441012</v>
      </c>
      <c r="F127" s="371">
        <f t="shared" si="11"/>
        <v>0.83961901126046712</v>
      </c>
      <c r="G127" s="382">
        <f t="shared" si="12"/>
        <v>0</v>
      </c>
      <c r="H127" s="379">
        <f t="shared" si="13"/>
        <v>0</v>
      </c>
      <c r="I127" s="382">
        <f t="shared" si="14"/>
        <v>0</v>
      </c>
      <c r="J127" s="379">
        <f t="shared" si="15"/>
        <v>0</v>
      </c>
      <c r="K127" s="374">
        <f t="shared" si="16"/>
        <v>0</v>
      </c>
      <c r="L127" s="378">
        <f t="shared" si="17"/>
        <v>0</v>
      </c>
      <c r="M127" s="114">
        <f>L127*D127*'B) D RI'!S129</f>
        <v>0</v>
      </c>
    </row>
    <row r="128" spans="1:13" x14ac:dyDescent="0.25">
      <c r="A128" s="298">
        <f>'A) Base RI'!A130</f>
        <v>5610</v>
      </c>
      <c r="B128" s="32" t="str">
        <f>'A) Base RI'!B130</f>
        <v>St-Saphorin (Lavaux)</v>
      </c>
      <c r="C128" s="296">
        <f>'B) D RI'!U130</f>
        <v>21538.059608526812</v>
      </c>
      <c r="D128" s="32">
        <f>'B) D RI'!AA130</f>
        <v>391</v>
      </c>
      <c r="E128" s="202">
        <f t="shared" si="10"/>
        <v>55.084551428457317</v>
      </c>
      <c r="F128" s="371">
        <f t="shared" si="11"/>
        <v>1.2288706991859779</v>
      </c>
      <c r="G128" s="382">
        <f t="shared" si="12"/>
        <v>10.259207749137644</v>
      </c>
      <c r="H128" s="379">
        <f t="shared" si="13"/>
        <v>1.2941390132737141</v>
      </c>
      <c r="I128" s="382">
        <f t="shared" si="14"/>
        <v>0</v>
      </c>
      <c r="J128" s="379">
        <f t="shared" si="15"/>
        <v>0</v>
      </c>
      <c r="K128" s="374">
        <f t="shared" si="16"/>
        <v>0</v>
      </c>
      <c r="L128" s="378">
        <f t="shared" si="17"/>
        <v>2.1812554511549003</v>
      </c>
      <c r="M128" s="114">
        <f>L128*D128*'B) D RI'!S130</f>
        <v>59700.961698109619</v>
      </c>
    </row>
    <row r="129" spans="1:13" x14ac:dyDescent="0.25">
      <c r="A129" s="298">
        <f>'A) Base RI'!A131</f>
        <v>5611</v>
      </c>
      <c r="B129" s="32" t="str">
        <f>'A) Base RI'!B131</f>
        <v>Savigny</v>
      </c>
      <c r="C129" s="296">
        <f>'B) D RI'!U131</f>
        <v>135057.67308998347</v>
      </c>
      <c r="D129" s="32">
        <f>'B) D RI'!AA131</f>
        <v>3353</v>
      </c>
      <c r="E129" s="202">
        <f t="shared" si="10"/>
        <v>40.279651980311201</v>
      </c>
      <c r="F129" s="371">
        <f t="shared" si="11"/>
        <v>0.89859103520703976</v>
      </c>
      <c r="G129" s="382">
        <f t="shared" si="12"/>
        <v>0</v>
      </c>
      <c r="H129" s="379">
        <f t="shared" si="13"/>
        <v>0</v>
      </c>
      <c r="I129" s="382">
        <f t="shared" si="14"/>
        <v>0</v>
      </c>
      <c r="J129" s="379">
        <f t="shared" si="15"/>
        <v>0</v>
      </c>
      <c r="K129" s="374">
        <f t="shared" si="16"/>
        <v>0</v>
      </c>
      <c r="L129" s="378">
        <f t="shared" si="17"/>
        <v>0</v>
      </c>
      <c r="M129" s="114">
        <f>L129*D129*'B) D RI'!S131</f>
        <v>0</v>
      </c>
    </row>
    <row r="130" spans="1:13" x14ac:dyDescent="0.25">
      <c r="A130" s="298">
        <f>'A) Base RI'!A132</f>
        <v>5613</v>
      </c>
      <c r="B130" s="32" t="str">
        <f>'A) Base RI'!B132</f>
        <v>Bourg-en-Lavaux</v>
      </c>
      <c r="C130" s="296">
        <f>'B) D RI'!U132</f>
        <v>293013.05852938921</v>
      </c>
      <c r="D130" s="32">
        <f>'B) D RI'!AA132</f>
        <v>5367</v>
      </c>
      <c r="E130" s="202">
        <f t="shared" si="10"/>
        <v>54.595315544883398</v>
      </c>
      <c r="F130" s="371">
        <f t="shared" si="11"/>
        <v>1.2179564296362804</v>
      </c>
      <c r="G130" s="382">
        <f t="shared" si="12"/>
        <v>9.7699718655637255</v>
      </c>
      <c r="H130" s="379">
        <f t="shared" si="13"/>
        <v>0.80490312969979527</v>
      </c>
      <c r="I130" s="382">
        <f t="shared" si="14"/>
        <v>0</v>
      </c>
      <c r="J130" s="379">
        <f t="shared" si="15"/>
        <v>0</v>
      </c>
      <c r="K130" s="374">
        <f t="shared" si="16"/>
        <v>0</v>
      </c>
      <c r="L130" s="378">
        <f t="shared" si="17"/>
        <v>2.0344846860827248</v>
      </c>
      <c r="M130" s="114">
        <f>L130*D130*'B) D RI'!S132</f>
        <v>666063.83792256494</v>
      </c>
    </row>
    <row r="131" spans="1:13" x14ac:dyDescent="0.25">
      <c r="A131" s="298">
        <f>'A) Base RI'!A133</f>
        <v>5621</v>
      </c>
      <c r="B131" s="32" t="str">
        <f>'A) Base RI'!B133</f>
        <v>Aclens</v>
      </c>
      <c r="C131" s="296">
        <f>'B) D RI'!U133</f>
        <v>33712.724093262899</v>
      </c>
      <c r="D131" s="32">
        <f>'B) D RI'!AA133</f>
        <v>535</v>
      </c>
      <c r="E131" s="202">
        <f t="shared" si="10"/>
        <v>63.014437557500749</v>
      </c>
      <c r="F131" s="371">
        <f t="shared" si="11"/>
        <v>1.4057770088346846</v>
      </c>
      <c r="G131" s="382">
        <f t="shared" si="12"/>
        <v>18.189093878181076</v>
      </c>
      <c r="H131" s="379">
        <f t="shared" si="13"/>
        <v>9.2240251423171458</v>
      </c>
      <c r="I131" s="382">
        <f t="shared" si="14"/>
        <v>0</v>
      </c>
      <c r="J131" s="379">
        <f t="shared" si="15"/>
        <v>0</v>
      </c>
      <c r="K131" s="374">
        <f t="shared" si="16"/>
        <v>0</v>
      </c>
      <c r="L131" s="378">
        <f t="shared" si="17"/>
        <v>4.5602212898679291</v>
      </c>
      <c r="M131" s="114">
        <f>L131*D131*'B) D RI'!S133</f>
        <v>151262.5401849192</v>
      </c>
    </row>
    <row r="132" spans="1:13" x14ac:dyDescent="0.25">
      <c r="A132" s="298">
        <f>'A) Base RI'!A134</f>
        <v>5622</v>
      </c>
      <c r="B132" s="32" t="str">
        <f>'A) Base RI'!B134</f>
        <v>Bremblens</v>
      </c>
      <c r="C132" s="296">
        <f>'B) D RI'!U134</f>
        <v>25760.394087687673</v>
      </c>
      <c r="D132" s="32">
        <f>'B) D RI'!AA134</f>
        <v>548</v>
      </c>
      <c r="E132" s="202">
        <f t="shared" si="10"/>
        <v>47.008018408189187</v>
      </c>
      <c r="F132" s="371">
        <f t="shared" si="11"/>
        <v>1.0486928721502808</v>
      </c>
      <c r="G132" s="382">
        <f t="shared" si="12"/>
        <v>2.1826747288695145</v>
      </c>
      <c r="H132" s="379">
        <f t="shared" si="13"/>
        <v>0</v>
      </c>
      <c r="I132" s="382">
        <f t="shared" si="14"/>
        <v>0</v>
      </c>
      <c r="J132" s="379">
        <f t="shared" si="15"/>
        <v>0</v>
      </c>
      <c r="K132" s="374">
        <f t="shared" si="16"/>
        <v>0</v>
      </c>
      <c r="L132" s="378">
        <f t="shared" si="17"/>
        <v>0.43653494577390295</v>
      </c>
      <c r="M132" s="114">
        <f>L132*D132*'B) D RI'!S134</f>
        <v>15788.595918750523</v>
      </c>
    </row>
    <row r="133" spans="1:13" x14ac:dyDescent="0.25">
      <c r="A133" s="298">
        <f>'A) Base RI'!A135</f>
        <v>5623</v>
      </c>
      <c r="B133" s="32" t="str">
        <f>'A) Base RI'!B135</f>
        <v>Buchillon</v>
      </c>
      <c r="C133" s="296">
        <f>'B) D RI'!U135</f>
        <v>119048.13355212047</v>
      </c>
      <c r="D133" s="32">
        <f>'B) D RI'!AA135</f>
        <v>650</v>
      </c>
      <c r="E133" s="202">
        <f t="shared" si="10"/>
        <v>183.15097469556997</v>
      </c>
      <c r="F133" s="371">
        <f t="shared" si="11"/>
        <v>4.0858799880226533</v>
      </c>
      <c r="G133" s="382">
        <f t="shared" si="12"/>
        <v>138.3256310162503</v>
      </c>
      <c r="H133" s="379">
        <f t="shared" si="13"/>
        <v>129.36056228038638</v>
      </c>
      <c r="I133" s="382">
        <f t="shared" si="14"/>
        <v>115.91295917659046</v>
      </c>
      <c r="J133" s="379">
        <f t="shared" si="15"/>
        <v>93.500287336930626</v>
      </c>
      <c r="K133" s="374">
        <f t="shared" si="16"/>
        <v>48.674943657610953</v>
      </c>
      <c r="L133" s="378">
        <f t="shared" si="17"/>
        <v>66.4100014484019</v>
      </c>
      <c r="M133" s="114">
        <f>L133*D133*'B) D RI'!S135</f>
        <v>2287824.5498974454</v>
      </c>
    </row>
    <row r="134" spans="1:13" x14ac:dyDescent="0.25">
      <c r="A134" s="298">
        <f>'A) Base RI'!A136</f>
        <v>5624</v>
      </c>
      <c r="B134" s="32" t="str">
        <f>'A) Base RI'!B136</f>
        <v>Bussigny</v>
      </c>
      <c r="C134" s="296">
        <f>'B) D RI'!U136</f>
        <v>356482.21982509014</v>
      </c>
      <c r="D134" s="32">
        <f>'B) D RI'!AA136</f>
        <v>8759</v>
      </c>
      <c r="E134" s="202">
        <f t="shared" ref="E134:E197" si="18">C134/D134</f>
        <v>40.698963332011658</v>
      </c>
      <c r="F134" s="371">
        <f t="shared" ref="F134:F197" si="19">E134/$E$314</f>
        <v>0.90794537177833767</v>
      </c>
      <c r="G134" s="382">
        <f t="shared" ref="G134:G197" si="20">IF(E134-$G$2&lt;0,0,E134-$G$2)</f>
        <v>0</v>
      </c>
      <c r="H134" s="379">
        <f t="shared" ref="H134:H197" si="21">IF(E134-$H$2&lt;0,0,E134-$H$2)</f>
        <v>0</v>
      </c>
      <c r="I134" s="382">
        <f t="shared" ref="I134:I197" si="22">IF(E134-$I$2&lt;0,0,E134-$I$2)</f>
        <v>0</v>
      </c>
      <c r="J134" s="379">
        <f t="shared" ref="J134:J197" si="23">IF(E134-$J$2&lt;0,0,E134-$J$2)</f>
        <v>0</v>
      </c>
      <c r="K134" s="374">
        <f t="shared" ref="K134:K197" si="24">IF(E134-$K$2&lt;0,0,E134-$K$2)</f>
        <v>0</v>
      </c>
      <c r="L134" s="378">
        <f t="shared" ref="L134:L197" si="25">(G134-H134)*$G$3+(H134-I134)*$H$3+(I134-J134)*$I$3+(J134-K134)*$J$3+(K134*$K$3)</f>
        <v>0</v>
      </c>
      <c r="M134" s="114">
        <f>L134*D134*'B) D RI'!S136</f>
        <v>0</v>
      </c>
    </row>
    <row r="135" spans="1:13" x14ac:dyDescent="0.25">
      <c r="A135" s="298">
        <f>'A) Base RI'!A137</f>
        <v>5625</v>
      </c>
      <c r="B135" s="32" t="str">
        <f>'A) Base RI'!B137</f>
        <v>Bussy-Chardonney</v>
      </c>
      <c r="C135" s="296">
        <f>'B) D RI'!U137</f>
        <v>13370.312366998642</v>
      </c>
      <c r="D135" s="32">
        <f>'B) D RI'!AA137</f>
        <v>376</v>
      </c>
      <c r="E135" s="202">
        <f t="shared" si="18"/>
        <v>35.559341401592135</v>
      </c>
      <c r="F135" s="371">
        <f t="shared" si="19"/>
        <v>0.79328653129764093</v>
      </c>
      <c r="G135" s="382">
        <f t="shared" si="20"/>
        <v>0</v>
      </c>
      <c r="H135" s="379">
        <f t="shared" si="21"/>
        <v>0</v>
      </c>
      <c r="I135" s="382">
        <f t="shared" si="22"/>
        <v>0</v>
      </c>
      <c r="J135" s="379">
        <f t="shared" si="23"/>
        <v>0</v>
      </c>
      <c r="K135" s="374">
        <f t="shared" si="24"/>
        <v>0</v>
      </c>
      <c r="L135" s="378">
        <f t="shared" si="25"/>
        <v>0</v>
      </c>
      <c r="M135" s="114">
        <f>L135*D135*'B) D RI'!S137</f>
        <v>0</v>
      </c>
    </row>
    <row r="136" spans="1:13" x14ac:dyDescent="0.25">
      <c r="A136" s="298">
        <f>'A) Base RI'!A138</f>
        <v>5627</v>
      </c>
      <c r="B136" s="32" t="str">
        <f>'A) Base RI'!B138</f>
        <v>Chavannes-près-Renens</v>
      </c>
      <c r="C136" s="296">
        <f>'B) D RI'!U138</f>
        <v>173390.58290122479</v>
      </c>
      <c r="D136" s="32">
        <f>'B) D RI'!AA138</f>
        <v>7741</v>
      </c>
      <c r="E136" s="202">
        <f t="shared" si="18"/>
        <v>22.398990169387002</v>
      </c>
      <c r="F136" s="371">
        <f t="shared" si="19"/>
        <v>0.49969477824039199</v>
      </c>
      <c r="G136" s="382">
        <f t="shared" si="20"/>
        <v>0</v>
      </c>
      <c r="H136" s="379">
        <f t="shared" si="21"/>
        <v>0</v>
      </c>
      <c r="I136" s="382">
        <f t="shared" si="22"/>
        <v>0</v>
      </c>
      <c r="J136" s="379">
        <f t="shared" si="23"/>
        <v>0</v>
      </c>
      <c r="K136" s="374">
        <f t="shared" si="24"/>
        <v>0</v>
      </c>
      <c r="L136" s="378">
        <f t="shared" si="25"/>
        <v>0</v>
      </c>
      <c r="M136" s="114">
        <f>L136*D136*'B) D RI'!S138</f>
        <v>0</v>
      </c>
    </row>
    <row r="137" spans="1:13" x14ac:dyDescent="0.25">
      <c r="A137" s="298">
        <f>'A) Base RI'!A139</f>
        <v>5628</v>
      </c>
      <c r="B137" s="32" t="str">
        <f>'A) Base RI'!B139</f>
        <v>Chigny</v>
      </c>
      <c r="C137" s="296">
        <f>'B) D RI'!U139</f>
        <v>21894.357951349266</v>
      </c>
      <c r="D137" s="32">
        <f>'B) D RI'!AA139</f>
        <v>358</v>
      </c>
      <c r="E137" s="202">
        <f t="shared" si="18"/>
        <v>61.157424445109683</v>
      </c>
      <c r="F137" s="371">
        <f t="shared" si="19"/>
        <v>1.3643492592634572</v>
      </c>
      <c r="G137" s="382">
        <f t="shared" si="20"/>
        <v>16.33208076579001</v>
      </c>
      <c r="H137" s="379">
        <f t="shared" si="21"/>
        <v>7.3670120299260802</v>
      </c>
      <c r="I137" s="382">
        <f t="shared" si="22"/>
        <v>0</v>
      </c>
      <c r="J137" s="379">
        <f t="shared" si="23"/>
        <v>0</v>
      </c>
      <c r="K137" s="374">
        <f t="shared" si="24"/>
        <v>0</v>
      </c>
      <c r="L137" s="378">
        <f t="shared" si="25"/>
        <v>4.0031173561506099</v>
      </c>
      <c r="M137" s="114">
        <f>L137*D137*'B) D RI'!S139</f>
        <v>88853.192837118942</v>
      </c>
    </row>
    <row r="138" spans="1:13" x14ac:dyDescent="0.25">
      <c r="A138" s="298">
        <f>'A) Base RI'!A140</f>
        <v>5629</v>
      </c>
      <c r="B138" s="32" t="str">
        <f>'A) Base RI'!B140</f>
        <v>Clarmont</v>
      </c>
      <c r="C138" s="296">
        <f>'B) D RI'!U140</f>
        <v>6916.2311229358211</v>
      </c>
      <c r="D138" s="32">
        <f>'B) D RI'!AA140</f>
        <v>190</v>
      </c>
      <c r="E138" s="202">
        <f t="shared" si="18"/>
        <v>36.40121643650432</v>
      </c>
      <c r="F138" s="371">
        <f t="shared" si="19"/>
        <v>0.81206776008051329</v>
      </c>
      <c r="G138" s="382">
        <f t="shared" si="20"/>
        <v>0</v>
      </c>
      <c r="H138" s="379">
        <f t="shared" si="21"/>
        <v>0</v>
      </c>
      <c r="I138" s="382">
        <f t="shared" si="22"/>
        <v>0</v>
      </c>
      <c r="J138" s="379">
        <f t="shared" si="23"/>
        <v>0</v>
      </c>
      <c r="K138" s="374">
        <f t="shared" si="24"/>
        <v>0</v>
      </c>
      <c r="L138" s="378">
        <f t="shared" si="25"/>
        <v>0</v>
      </c>
      <c r="M138" s="114">
        <f>L138*D138*'B) D RI'!S140</f>
        <v>0</v>
      </c>
    </row>
    <row r="139" spans="1:13" x14ac:dyDescent="0.25">
      <c r="A139" s="298">
        <f>'A) Base RI'!A141</f>
        <v>5631</v>
      </c>
      <c r="B139" s="32" t="str">
        <f>'A) Base RI'!B141</f>
        <v>Denens</v>
      </c>
      <c r="C139" s="296">
        <f>'B) D RI'!U141</f>
        <v>43815.97689546422</v>
      </c>
      <c r="D139" s="32">
        <f>'B) D RI'!AA141</f>
        <v>747</v>
      </c>
      <c r="E139" s="202">
        <f t="shared" si="18"/>
        <v>58.655926232214483</v>
      </c>
      <c r="F139" s="371">
        <f t="shared" si="19"/>
        <v>1.3085438151202753</v>
      </c>
      <c r="G139" s="382">
        <f t="shared" si="20"/>
        <v>13.830582552894811</v>
      </c>
      <c r="H139" s="379">
        <f t="shared" si="21"/>
        <v>4.8655138170308803</v>
      </c>
      <c r="I139" s="382">
        <f t="shared" si="22"/>
        <v>0</v>
      </c>
      <c r="J139" s="379">
        <f t="shared" si="23"/>
        <v>0</v>
      </c>
      <c r="K139" s="374">
        <f t="shared" si="24"/>
        <v>0</v>
      </c>
      <c r="L139" s="378">
        <f t="shared" si="25"/>
        <v>3.2526678922820498</v>
      </c>
      <c r="M139" s="114">
        <f>L139*D139*'B) D RI'!S141</f>
        <v>170082.00408742839</v>
      </c>
    </row>
    <row r="140" spans="1:13" x14ac:dyDescent="0.25">
      <c r="A140" s="298">
        <f>'A) Base RI'!A142</f>
        <v>5632</v>
      </c>
      <c r="B140" s="32" t="str">
        <f>'A) Base RI'!B142</f>
        <v>Denges</v>
      </c>
      <c r="C140" s="296">
        <f>'B) D RI'!U142</f>
        <v>67687.396226466764</v>
      </c>
      <c r="D140" s="32">
        <f>'B) D RI'!AA142</f>
        <v>1610</v>
      </c>
      <c r="E140" s="202">
        <f t="shared" si="18"/>
        <v>42.041861010227805</v>
      </c>
      <c r="F140" s="371">
        <f t="shared" si="19"/>
        <v>0.93790381867443362</v>
      </c>
      <c r="G140" s="382">
        <f t="shared" si="20"/>
        <v>0</v>
      </c>
      <c r="H140" s="379">
        <f t="shared" si="21"/>
        <v>0</v>
      </c>
      <c r="I140" s="382">
        <f t="shared" si="22"/>
        <v>0</v>
      </c>
      <c r="J140" s="379">
        <f t="shared" si="23"/>
        <v>0</v>
      </c>
      <c r="K140" s="374">
        <f t="shared" si="24"/>
        <v>0</v>
      </c>
      <c r="L140" s="378">
        <f t="shared" si="25"/>
        <v>0</v>
      </c>
      <c r="M140" s="114">
        <f>L140*D140*'B) D RI'!S142</f>
        <v>0</v>
      </c>
    </row>
    <row r="141" spans="1:13" x14ac:dyDescent="0.25">
      <c r="A141" s="298">
        <f>'A) Base RI'!A143</f>
        <v>5633</v>
      </c>
      <c r="B141" s="32" t="str">
        <f>'A) Base RI'!B143</f>
        <v>Echandens</v>
      </c>
      <c r="C141" s="296">
        <f>'B) D RI'!U143</f>
        <v>137438.92097427152</v>
      </c>
      <c r="D141" s="32">
        <f>'B) D RI'!AA143</f>
        <v>2789</v>
      </c>
      <c r="E141" s="202">
        <f t="shared" si="18"/>
        <v>49.278924694970065</v>
      </c>
      <c r="F141" s="371">
        <f t="shared" si="19"/>
        <v>1.0993540852137418</v>
      </c>
      <c r="G141" s="382">
        <f t="shared" si="20"/>
        <v>4.4535810156503928</v>
      </c>
      <c r="H141" s="379">
        <f t="shared" si="21"/>
        <v>0</v>
      </c>
      <c r="I141" s="382">
        <f t="shared" si="22"/>
        <v>0</v>
      </c>
      <c r="J141" s="379">
        <f t="shared" si="23"/>
        <v>0</v>
      </c>
      <c r="K141" s="374">
        <f t="shared" si="24"/>
        <v>0</v>
      </c>
      <c r="L141" s="378">
        <f t="shared" si="25"/>
        <v>0.8907162031300786</v>
      </c>
      <c r="M141" s="114">
        <f>L141*D141*'B) D RI'!S143</f>
        <v>154020.86441284692</v>
      </c>
    </row>
    <row r="142" spans="1:13" x14ac:dyDescent="0.25">
      <c r="A142" s="298">
        <f>'A) Base RI'!A144</f>
        <v>5634</v>
      </c>
      <c r="B142" s="32" t="str">
        <f>'A) Base RI'!B144</f>
        <v>Echichens</v>
      </c>
      <c r="C142" s="296">
        <f>'B) D RI'!U144</f>
        <v>172707.41089939879</v>
      </c>
      <c r="D142" s="32">
        <f>'B) D RI'!AA144</f>
        <v>3050</v>
      </c>
      <c r="E142" s="202">
        <f t="shared" si="18"/>
        <v>56.625380622753703</v>
      </c>
      <c r="F142" s="371">
        <f t="shared" si="19"/>
        <v>1.2632447623347061</v>
      </c>
      <c r="G142" s="382">
        <f t="shared" si="20"/>
        <v>11.80003694343403</v>
      </c>
      <c r="H142" s="379">
        <f t="shared" si="21"/>
        <v>2.8349682075700997</v>
      </c>
      <c r="I142" s="382">
        <f t="shared" si="22"/>
        <v>0</v>
      </c>
      <c r="J142" s="379">
        <f t="shared" si="23"/>
        <v>0</v>
      </c>
      <c r="K142" s="374">
        <f t="shared" si="24"/>
        <v>0</v>
      </c>
      <c r="L142" s="378">
        <f t="shared" si="25"/>
        <v>2.6435042094438161</v>
      </c>
      <c r="M142" s="114">
        <f>L142*D142*'B) D RI'!S144</f>
        <v>548262.77303864749</v>
      </c>
    </row>
    <row r="143" spans="1:13" x14ac:dyDescent="0.25">
      <c r="A143" s="298">
        <f>'A) Base RI'!A145</f>
        <v>5635</v>
      </c>
      <c r="B143" s="32" t="str">
        <f>'A) Base RI'!B145</f>
        <v>Ecublens</v>
      </c>
      <c r="C143" s="296">
        <f>'B) D RI'!U145</f>
        <v>425804.36099449953</v>
      </c>
      <c r="D143" s="32">
        <f>'B) D RI'!AA145</f>
        <v>12939</v>
      </c>
      <c r="E143" s="202">
        <f t="shared" si="18"/>
        <v>32.90859888666045</v>
      </c>
      <c r="F143" s="371">
        <f t="shared" si="19"/>
        <v>0.7341516246275418</v>
      </c>
      <c r="G143" s="382">
        <f t="shared" si="20"/>
        <v>0</v>
      </c>
      <c r="H143" s="379">
        <f t="shared" si="21"/>
        <v>0</v>
      </c>
      <c r="I143" s="382">
        <f t="shared" si="22"/>
        <v>0</v>
      </c>
      <c r="J143" s="379">
        <f t="shared" si="23"/>
        <v>0</v>
      </c>
      <c r="K143" s="374">
        <f t="shared" si="24"/>
        <v>0</v>
      </c>
      <c r="L143" s="378">
        <f t="shared" si="25"/>
        <v>0</v>
      </c>
      <c r="M143" s="114">
        <f>L143*D143*'B) D RI'!S145</f>
        <v>0</v>
      </c>
    </row>
    <row r="144" spans="1:13" x14ac:dyDescent="0.25">
      <c r="A144" s="298">
        <f>'A) Base RI'!A146</f>
        <v>5636</v>
      </c>
      <c r="B144" s="32" t="str">
        <f>'A) Base RI'!B146</f>
        <v>Etoy</v>
      </c>
      <c r="C144" s="296">
        <f>'B) D RI'!U146</f>
        <v>163508.07491244882</v>
      </c>
      <c r="D144" s="32">
        <f>'B) D RI'!AA146</f>
        <v>2905</v>
      </c>
      <c r="E144" s="202">
        <f t="shared" si="18"/>
        <v>56.285051604973773</v>
      </c>
      <c r="F144" s="371">
        <f t="shared" si="19"/>
        <v>1.2556524275114722</v>
      </c>
      <c r="G144" s="382">
        <f t="shared" si="20"/>
        <v>11.459707925654101</v>
      </c>
      <c r="H144" s="379">
        <f t="shared" si="21"/>
        <v>2.4946391897901705</v>
      </c>
      <c r="I144" s="382">
        <f t="shared" si="22"/>
        <v>0</v>
      </c>
      <c r="J144" s="379">
        <f t="shared" si="23"/>
        <v>0</v>
      </c>
      <c r="K144" s="374">
        <f t="shared" si="24"/>
        <v>0</v>
      </c>
      <c r="L144" s="378">
        <f t="shared" si="25"/>
        <v>2.5414055041098371</v>
      </c>
      <c r="M144" s="114">
        <f>L144*D144*'B) D RI'!S146</f>
        <v>450349.76235578372</v>
      </c>
    </row>
    <row r="145" spans="1:13" x14ac:dyDescent="0.25">
      <c r="A145" s="298">
        <f>'A) Base RI'!A147</f>
        <v>5637</v>
      </c>
      <c r="B145" s="32" t="str">
        <f>'A) Base RI'!B147</f>
        <v>Lavigny</v>
      </c>
      <c r="C145" s="296">
        <f>'B) D RI'!U147</f>
        <v>35527.670702114687</v>
      </c>
      <c r="D145" s="32">
        <f>'B) D RI'!AA147</f>
        <v>999</v>
      </c>
      <c r="E145" s="202">
        <f t="shared" si="18"/>
        <v>35.563233936050736</v>
      </c>
      <c r="F145" s="371">
        <f t="shared" si="19"/>
        <v>0.79337336910275502</v>
      </c>
      <c r="G145" s="382">
        <f t="shared" si="20"/>
        <v>0</v>
      </c>
      <c r="H145" s="379">
        <f t="shared" si="21"/>
        <v>0</v>
      </c>
      <c r="I145" s="382">
        <f t="shared" si="22"/>
        <v>0</v>
      </c>
      <c r="J145" s="379">
        <f t="shared" si="23"/>
        <v>0</v>
      </c>
      <c r="K145" s="374">
        <f t="shared" si="24"/>
        <v>0</v>
      </c>
      <c r="L145" s="378">
        <f t="shared" si="25"/>
        <v>0</v>
      </c>
      <c r="M145" s="114">
        <f>L145*D145*'B) D RI'!S147</f>
        <v>0</v>
      </c>
    </row>
    <row r="146" spans="1:13" x14ac:dyDescent="0.25">
      <c r="A146" s="298">
        <f>'A) Base RI'!A148</f>
        <v>5638</v>
      </c>
      <c r="B146" s="32" t="str">
        <f>'A) Base RI'!B148</f>
        <v>Lonay</v>
      </c>
      <c r="C146" s="296">
        <f>'B) D RI'!U148</f>
        <v>156801.12521319877</v>
      </c>
      <c r="D146" s="32">
        <f>'B) D RI'!AA148</f>
        <v>2593</v>
      </c>
      <c r="E146" s="202">
        <f t="shared" si="18"/>
        <v>60.470931435865317</v>
      </c>
      <c r="F146" s="371">
        <f t="shared" si="19"/>
        <v>1.3490344183075118</v>
      </c>
      <c r="G146" s="382">
        <f t="shared" si="20"/>
        <v>15.645587756545645</v>
      </c>
      <c r="H146" s="379">
        <f t="shared" si="21"/>
        <v>6.6805190206817144</v>
      </c>
      <c r="I146" s="382">
        <f t="shared" si="22"/>
        <v>0</v>
      </c>
      <c r="J146" s="379">
        <f t="shared" si="23"/>
        <v>0</v>
      </c>
      <c r="K146" s="374">
        <f t="shared" si="24"/>
        <v>0</v>
      </c>
      <c r="L146" s="378">
        <f t="shared" si="25"/>
        <v>3.7971694533773004</v>
      </c>
      <c r="M146" s="114">
        <f>L146*D146*'B) D RI'!S148</f>
        <v>541533.3215934037</v>
      </c>
    </row>
    <row r="147" spans="1:13" x14ac:dyDescent="0.25">
      <c r="A147" s="298">
        <f>'A) Base RI'!A149</f>
        <v>5639</v>
      </c>
      <c r="B147" s="32" t="str">
        <f>'A) Base RI'!B149</f>
        <v>Lully</v>
      </c>
      <c r="C147" s="296">
        <f>'B) D RI'!U149</f>
        <v>44733.650298121938</v>
      </c>
      <c r="D147" s="32">
        <f>'B) D RI'!AA149</f>
        <v>790</v>
      </c>
      <c r="E147" s="202">
        <f t="shared" si="18"/>
        <v>56.624873795091062</v>
      </c>
      <c r="F147" s="371">
        <f t="shared" si="19"/>
        <v>1.2632334556135292</v>
      </c>
      <c r="G147" s="382">
        <f t="shared" si="20"/>
        <v>11.79953011577139</v>
      </c>
      <c r="H147" s="379">
        <f t="shared" si="21"/>
        <v>2.8344613799074594</v>
      </c>
      <c r="I147" s="382">
        <f t="shared" si="22"/>
        <v>0</v>
      </c>
      <c r="J147" s="379">
        <f t="shared" si="23"/>
        <v>0</v>
      </c>
      <c r="K147" s="374">
        <f t="shared" si="24"/>
        <v>0</v>
      </c>
      <c r="L147" s="378">
        <f t="shared" si="25"/>
        <v>2.6433521611450237</v>
      </c>
      <c r="M147" s="114">
        <f>L147*D147*'B) D RI'!S149</f>
        <v>127383.14064557868</v>
      </c>
    </row>
    <row r="148" spans="1:13" x14ac:dyDescent="0.25">
      <c r="A148" s="298">
        <f>'A) Base RI'!A150</f>
        <v>5640</v>
      </c>
      <c r="B148" s="32" t="str">
        <f>'A) Base RI'!B150</f>
        <v>Lussy-sur-Morges</v>
      </c>
      <c r="C148" s="296">
        <f>'B) D RI'!U150</f>
        <v>53214.189880771395</v>
      </c>
      <c r="D148" s="32">
        <f>'B) D RI'!AA150</f>
        <v>687</v>
      </c>
      <c r="E148" s="202">
        <f t="shared" si="18"/>
        <v>77.45879167506753</v>
      </c>
      <c r="F148" s="371">
        <f t="shared" si="19"/>
        <v>1.7280133361432188</v>
      </c>
      <c r="G148" s="382">
        <f t="shared" si="20"/>
        <v>32.633447995747858</v>
      </c>
      <c r="H148" s="379">
        <f t="shared" si="21"/>
        <v>23.668379259883928</v>
      </c>
      <c r="I148" s="382">
        <f t="shared" si="22"/>
        <v>10.220776156088021</v>
      </c>
      <c r="J148" s="379">
        <f t="shared" si="23"/>
        <v>0</v>
      </c>
      <c r="K148" s="374">
        <f t="shared" si="24"/>
        <v>0</v>
      </c>
      <c r="L148" s="378">
        <f t="shared" si="25"/>
        <v>9.9156051407467665</v>
      </c>
      <c r="M148" s="114">
        <f>L148*D148*'B) D RI'!S150</f>
        <v>449593.36829173984</v>
      </c>
    </row>
    <row r="149" spans="1:13" x14ac:dyDescent="0.25">
      <c r="A149" s="298">
        <f>'A) Base RI'!A151</f>
        <v>5642</v>
      </c>
      <c r="B149" s="32" t="str">
        <f>'A) Base RI'!B151</f>
        <v>Morges</v>
      </c>
      <c r="C149" s="296">
        <f>'B) D RI'!U151</f>
        <v>729290.95553024486</v>
      </c>
      <c r="D149" s="32">
        <f>'B) D RI'!AA151</f>
        <v>15725</v>
      </c>
      <c r="E149" s="202">
        <f t="shared" si="18"/>
        <v>46.3778032133701</v>
      </c>
      <c r="F149" s="371">
        <f t="shared" si="19"/>
        <v>1.0346335221689926</v>
      </c>
      <c r="G149" s="382">
        <f t="shared" si="20"/>
        <v>1.5524595340504277</v>
      </c>
      <c r="H149" s="379">
        <f t="shared" si="21"/>
        <v>0</v>
      </c>
      <c r="I149" s="382">
        <f t="shared" si="22"/>
        <v>0</v>
      </c>
      <c r="J149" s="379">
        <f t="shared" si="23"/>
        <v>0</v>
      </c>
      <c r="K149" s="374">
        <f t="shared" si="24"/>
        <v>0</v>
      </c>
      <c r="L149" s="378">
        <f t="shared" si="25"/>
        <v>0.31049190681008554</v>
      </c>
      <c r="M149" s="114">
        <f>L149*D149*'B) D RI'!S151</f>
        <v>334450.23856931872</v>
      </c>
    </row>
    <row r="150" spans="1:13" x14ac:dyDescent="0.25">
      <c r="A150" s="298">
        <f>'A) Base RI'!A152</f>
        <v>5643</v>
      </c>
      <c r="B150" s="32" t="str">
        <f>'A) Base RI'!B152</f>
        <v>Préverenges</v>
      </c>
      <c r="C150" s="296">
        <f>'B) D RI'!U152</f>
        <v>256716.54312991558</v>
      </c>
      <c r="D150" s="32">
        <f>'B) D RI'!AA152</f>
        <v>5298</v>
      </c>
      <c r="E150" s="202">
        <f t="shared" si="18"/>
        <v>48.455368654193201</v>
      </c>
      <c r="F150" s="371">
        <f t="shared" si="19"/>
        <v>1.0809815313596414</v>
      </c>
      <c r="G150" s="382">
        <f t="shared" si="20"/>
        <v>3.6300249748735283</v>
      </c>
      <c r="H150" s="379">
        <f t="shared" si="21"/>
        <v>0</v>
      </c>
      <c r="I150" s="382">
        <f t="shared" si="22"/>
        <v>0</v>
      </c>
      <c r="J150" s="379">
        <f t="shared" si="23"/>
        <v>0</v>
      </c>
      <c r="K150" s="374">
        <f t="shared" si="24"/>
        <v>0</v>
      </c>
      <c r="L150" s="378">
        <f t="shared" si="25"/>
        <v>0.72600499497470572</v>
      </c>
      <c r="M150" s="114">
        <f>L150*D150*'B) D RI'!S152</f>
        <v>246167.96565606343</v>
      </c>
    </row>
    <row r="151" spans="1:13" x14ac:dyDescent="0.25">
      <c r="A151" s="298">
        <f>'A) Base RI'!A153</f>
        <v>5644</v>
      </c>
      <c r="B151" s="32" t="str">
        <f>'A) Base RI'!B153</f>
        <v>Reverolle</v>
      </c>
      <c r="C151" s="296">
        <f>'B) D RI'!U153</f>
        <v>13425.23260136249</v>
      </c>
      <c r="D151" s="32">
        <f>'B) D RI'!AA153</f>
        <v>399</v>
      </c>
      <c r="E151" s="202">
        <f t="shared" si="18"/>
        <v>33.647199502161627</v>
      </c>
      <c r="F151" s="371">
        <f t="shared" si="19"/>
        <v>0.75062892418346094</v>
      </c>
      <c r="G151" s="382">
        <f t="shared" si="20"/>
        <v>0</v>
      </c>
      <c r="H151" s="379">
        <f t="shared" si="21"/>
        <v>0</v>
      </c>
      <c r="I151" s="382">
        <f t="shared" si="22"/>
        <v>0</v>
      </c>
      <c r="J151" s="379">
        <f t="shared" si="23"/>
        <v>0</v>
      </c>
      <c r="K151" s="374">
        <f t="shared" si="24"/>
        <v>0</v>
      </c>
      <c r="L151" s="378">
        <f t="shared" si="25"/>
        <v>0</v>
      </c>
      <c r="M151" s="114">
        <f>L151*D151*'B) D RI'!S153</f>
        <v>0</v>
      </c>
    </row>
    <row r="152" spans="1:13" x14ac:dyDescent="0.25">
      <c r="A152" s="298">
        <f>'A) Base RI'!A154</f>
        <v>5645</v>
      </c>
      <c r="B152" s="32" t="str">
        <f>'A) Base RI'!B154</f>
        <v>Romanel-sur-Morges</v>
      </c>
      <c r="C152" s="296">
        <f>'B) D RI'!U154</f>
        <v>24229.852670127519</v>
      </c>
      <c r="D152" s="32">
        <f>'B) D RI'!AA154</f>
        <v>458</v>
      </c>
      <c r="E152" s="202">
        <f t="shared" si="18"/>
        <v>52.903608450060084</v>
      </c>
      <c r="F152" s="371">
        <f t="shared" si="19"/>
        <v>1.1802164603250402</v>
      </c>
      <c r="G152" s="382">
        <f t="shared" si="20"/>
        <v>8.0782647707404109</v>
      </c>
      <c r="H152" s="379">
        <f t="shared" si="21"/>
        <v>0</v>
      </c>
      <c r="I152" s="382">
        <f t="shared" si="22"/>
        <v>0</v>
      </c>
      <c r="J152" s="379">
        <f t="shared" si="23"/>
        <v>0</v>
      </c>
      <c r="K152" s="374">
        <f t="shared" si="24"/>
        <v>0</v>
      </c>
      <c r="L152" s="378">
        <f t="shared" si="25"/>
        <v>1.6156529541480822</v>
      </c>
      <c r="M152" s="114">
        <f>L152*D152*'B) D RI'!S154</f>
        <v>41438.266967990014</v>
      </c>
    </row>
    <row r="153" spans="1:13" x14ac:dyDescent="0.25">
      <c r="A153" s="298">
        <f>'A) Base RI'!A155</f>
        <v>5646</v>
      </c>
      <c r="B153" s="32" t="str">
        <f>'A) Base RI'!B155</f>
        <v>Saint-Prex</v>
      </c>
      <c r="C153" s="296">
        <f>'B) D RI'!U155</f>
        <v>461684.29365699238</v>
      </c>
      <c r="D153" s="32">
        <f>'B) D RI'!AA155</f>
        <v>5684</v>
      </c>
      <c r="E153" s="202">
        <f t="shared" si="18"/>
        <v>81.225245189477903</v>
      </c>
      <c r="F153" s="371">
        <f t="shared" si="19"/>
        <v>1.8120384256407041</v>
      </c>
      <c r="G153" s="382">
        <f t="shared" si="20"/>
        <v>36.39990151015823</v>
      </c>
      <c r="H153" s="379">
        <f t="shared" si="21"/>
        <v>27.4348327742943</v>
      </c>
      <c r="I153" s="382">
        <f t="shared" si="22"/>
        <v>13.987229670498394</v>
      </c>
      <c r="J153" s="379">
        <f t="shared" si="23"/>
        <v>0</v>
      </c>
      <c r="K153" s="374">
        <f t="shared" si="24"/>
        <v>0</v>
      </c>
      <c r="L153" s="378">
        <f t="shared" si="25"/>
        <v>11.422186546510915</v>
      </c>
      <c r="M153" s="114">
        <f>L153*D153*'B) D RI'!S155</f>
        <v>3570803.9581702421</v>
      </c>
    </row>
    <row r="154" spans="1:13" x14ac:dyDescent="0.25">
      <c r="A154" s="298">
        <f>'A) Base RI'!A156</f>
        <v>5648</v>
      </c>
      <c r="B154" s="32" t="str">
        <f>'A) Base RI'!B156</f>
        <v>Saint-Sulpice</v>
      </c>
      <c r="C154" s="296">
        <f>'B) D RI'!U156</f>
        <v>359984.01578722027</v>
      </c>
      <c r="D154" s="32">
        <f>'B) D RI'!AA156</f>
        <v>4669</v>
      </c>
      <c r="E154" s="202">
        <f t="shared" si="18"/>
        <v>77.100881513647522</v>
      </c>
      <c r="F154" s="371">
        <f t="shared" si="19"/>
        <v>1.7200287869564796</v>
      </c>
      <c r="G154" s="382">
        <f t="shared" si="20"/>
        <v>32.275537834327849</v>
      </c>
      <c r="H154" s="379">
        <f t="shared" si="21"/>
        <v>23.310469098463919</v>
      </c>
      <c r="I154" s="382">
        <f t="shared" si="22"/>
        <v>9.8628659946680131</v>
      </c>
      <c r="J154" s="379">
        <f t="shared" si="23"/>
        <v>0</v>
      </c>
      <c r="K154" s="374">
        <f t="shared" si="24"/>
        <v>0</v>
      </c>
      <c r="L154" s="378">
        <f t="shared" si="25"/>
        <v>9.7724410761787617</v>
      </c>
      <c r="M154" s="114">
        <f>L154*D154*'B) D RI'!S156</f>
        <v>2509514.0061573251</v>
      </c>
    </row>
    <row r="155" spans="1:13" x14ac:dyDescent="0.25">
      <c r="A155" s="298">
        <f>'A) Base RI'!A157</f>
        <v>5649</v>
      </c>
      <c r="B155" s="32" t="str">
        <f>'A) Base RI'!B157</f>
        <v>Tolochenaz</v>
      </c>
      <c r="C155" s="296">
        <f>'B) D RI'!U157</f>
        <v>113998.65852486389</v>
      </c>
      <c r="D155" s="32">
        <f>'B) D RI'!AA157</f>
        <v>1933</v>
      </c>
      <c r="E155" s="202">
        <f t="shared" si="18"/>
        <v>58.974991476908372</v>
      </c>
      <c r="F155" s="371">
        <f t="shared" si="19"/>
        <v>1.3156617805055824</v>
      </c>
      <c r="G155" s="382">
        <f t="shared" si="20"/>
        <v>14.149647797588699</v>
      </c>
      <c r="H155" s="379">
        <f t="shared" si="21"/>
        <v>5.1845790617247687</v>
      </c>
      <c r="I155" s="382">
        <f t="shared" si="22"/>
        <v>0</v>
      </c>
      <c r="J155" s="379">
        <f t="shared" si="23"/>
        <v>0</v>
      </c>
      <c r="K155" s="374">
        <f t="shared" si="24"/>
        <v>0</v>
      </c>
      <c r="L155" s="378">
        <f t="shared" si="25"/>
        <v>3.3483874656902168</v>
      </c>
      <c r="M155" s="114">
        <f>L155*D155*'B) D RI'!S157</f>
        <v>420708.14312664728</v>
      </c>
    </row>
    <row r="156" spans="1:13" x14ac:dyDescent="0.25">
      <c r="A156" s="298">
        <f>'A) Base RI'!A158</f>
        <v>5650</v>
      </c>
      <c r="B156" s="32" t="str">
        <f>'A) Base RI'!B158</f>
        <v>Vaux-sur-Morges</v>
      </c>
      <c r="C156" s="296">
        <f>'B) D RI'!U158</f>
        <v>185104.32562171915</v>
      </c>
      <c r="D156" s="32">
        <f>'B) D RI'!AA158</f>
        <v>184</v>
      </c>
      <c r="E156" s="202">
        <f t="shared" si="18"/>
        <v>1006.0017696832563</v>
      </c>
      <c r="F156" s="371">
        <f t="shared" si="19"/>
        <v>22.442700648994212</v>
      </c>
      <c r="G156" s="382">
        <f t="shared" si="20"/>
        <v>961.17642600393663</v>
      </c>
      <c r="H156" s="379">
        <f t="shared" si="21"/>
        <v>952.21135726807267</v>
      </c>
      <c r="I156" s="382">
        <f t="shared" si="22"/>
        <v>938.76375416427675</v>
      </c>
      <c r="J156" s="379">
        <f t="shared" si="23"/>
        <v>916.35108232461698</v>
      </c>
      <c r="K156" s="374">
        <f t="shared" si="24"/>
        <v>871.52573864529722</v>
      </c>
      <c r="L156" s="378">
        <f t="shared" si="25"/>
        <v>560.12047844101369</v>
      </c>
      <c r="M156" s="114">
        <f>L156*D156*'B) D RI'!S158</f>
        <v>5771481.4098562049</v>
      </c>
    </row>
    <row r="157" spans="1:13" x14ac:dyDescent="0.25">
      <c r="A157" s="298">
        <f>'A) Base RI'!A159</f>
        <v>5651</v>
      </c>
      <c r="B157" s="32" t="str">
        <f>'A) Base RI'!B159</f>
        <v>Villars-Sainte-Croix</v>
      </c>
      <c r="C157" s="296">
        <f>'B) D RI'!U159</f>
        <v>50327.012990433635</v>
      </c>
      <c r="D157" s="32">
        <f>'B) D RI'!AA159</f>
        <v>963</v>
      </c>
      <c r="E157" s="202">
        <f t="shared" si="18"/>
        <v>52.260657310938356</v>
      </c>
      <c r="F157" s="371">
        <f t="shared" si="19"/>
        <v>1.1658729866035358</v>
      </c>
      <c r="G157" s="382">
        <f t="shared" si="20"/>
        <v>7.4353136316186834</v>
      </c>
      <c r="H157" s="379">
        <f t="shared" si="21"/>
        <v>0</v>
      </c>
      <c r="I157" s="382">
        <f t="shared" si="22"/>
        <v>0</v>
      </c>
      <c r="J157" s="379">
        <f t="shared" si="23"/>
        <v>0</v>
      </c>
      <c r="K157" s="374">
        <f t="shared" si="24"/>
        <v>0</v>
      </c>
      <c r="L157" s="378">
        <f t="shared" si="25"/>
        <v>1.4870627263237368</v>
      </c>
      <c r="M157" s="114">
        <f>L157*D157*'B) D RI'!S159</f>
        <v>84490.442921535752</v>
      </c>
    </row>
    <row r="158" spans="1:13" x14ac:dyDescent="0.25">
      <c r="A158" s="298">
        <f>'A) Base RI'!A160</f>
        <v>5652</v>
      </c>
      <c r="B158" s="32" t="str">
        <f>'A) Base RI'!B160</f>
        <v>Villars-sous-Yens</v>
      </c>
      <c r="C158" s="296">
        <f>'B) D RI'!U160</f>
        <v>29665.347417842095</v>
      </c>
      <c r="D158" s="32">
        <f>'B) D RI'!AA160</f>
        <v>608</v>
      </c>
      <c r="E158" s="202">
        <f t="shared" si="18"/>
        <v>48.791689831977131</v>
      </c>
      <c r="F158" s="371">
        <f t="shared" si="19"/>
        <v>1.0884844560486291</v>
      </c>
      <c r="G158" s="382">
        <f t="shared" si="20"/>
        <v>3.9663461526574579</v>
      </c>
      <c r="H158" s="379">
        <f t="shared" si="21"/>
        <v>0</v>
      </c>
      <c r="I158" s="382">
        <f t="shared" si="22"/>
        <v>0</v>
      </c>
      <c r="J158" s="379">
        <f t="shared" si="23"/>
        <v>0</v>
      </c>
      <c r="K158" s="374">
        <f t="shared" si="24"/>
        <v>0</v>
      </c>
      <c r="L158" s="378">
        <f t="shared" si="25"/>
        <v>0.79326923053149168</v>
      </c>
      <c r="M158" s="114">
        <f>L158*D158*'B) D RI'!S160</f>
        <v>36655.384604399165</v>
      </c>
    </row>
    <row r="159" spans="1:13" x14ac:dyDescent="0.25">
      <c r="A159" s="298">
        <f>'A) Base RI'!A161</f>
        <v>5653</v>
      </c>
      <c r="B159" s="32" t="str">
        <f>'A) Base RI'!B161</f>
        <v>Vufflens-le-Château</v>
      </c>
      <c r="C159" s="296">
        <f>'B) D RI'!U161</f>
        <v>61628.734956407359</v>
      </c>
      <c r="D159" s="32">
        <f>'B) D RI'!AA161</f>
        <v>886</v>
      </c>
      <c r="E159" s="202">
        <f t="shared" si="18"/>
        <v>69.558391598653898</v>
      </c>
      <c r="F159" s="371">
        <f t="shared" si="19"/>
        <v>1.5517648251907303</v>
      </c>
      <c r="G159" s="382">
        <f t="shared" si="20"/>
        <v>24.733047919334226</v>
      </c>
      <c r="H159" s="379">
        <f t="shared" si="21"/>
        <v>15.767979183470295</v>
      </c>
      <c r="I159" s="382">
        <f t="shared" si="22"/>
        <v>2.3203760796743893</v>
      </c>
      <c r="J159" s="379">
        <f t="shared" si="23"/>
        <v>0</v>
      </c>
      <c r="K159" s="374">
        <f t="shared" si="24"/>
        <v>0</v>
      </c>
      <c r="L159" s="378">
        <f t="shared" si="25"/>
        <v>6.7554451101813129</v>
      </c>
      <c r="M159" s="114">
        <f>L159*D159*'B) D RI'!S161</f>
        <v>329192.84021913534</v>
      </c>
    </row>
    <row r="160" spans="1:13" x14ac:dyDescent="0.25">
      <c r="A160" s="298">
        <f>'A) Base RI'!A162</f>
        <v>5654</v>
      </c>
      <c r="B160" s="32" t="str">
        <f>'A) Base RI'!B162</f>
        <v>Vullierens</v>
      </c>
      <c r="C160" s="296">
        <f>'B) D RI'!U162</f>
        <v>19147.575291748301</v>
      </c>
      <c r="D160" s="32">
        <f>'B) D RI'!AA162</f>
        <v>507</v>
      </c>
      <c r="E160" s="202">
        <f t="shared" si="18"/>
        <v>37.76642069378363</v>
      </c>
      <c r="F160" s="371">
        <f t="shared" si="19"/>
        <v>0.84252384017319426</v>
      </c>
      <c r="G160" s="382">
        <f t="shared" si="20"/>
        <v>0</v>
      </c>
      <c r="H160" s="379">
        <f t="shared" si="21"/>
        <v>0</v>
      </c>
      <c r="I160" s="382">
        <f t="shared" si="22"/>
        <v>0</v>
      </c>
      <c r="J160" s="379">
        <f t="shared" si="23"/>
        <v>0</v>
      </c>
      <c r="K160" s="374">
        <f t="shared" si="24"/>
        <v>0</v>
      </c>
      <c r="L160" s="378">
        <f t="shared" si="25"/>
        <v>0</v>
      </c>
      <c r="M160" s="114">
        <f>L160*D160*'B) D RI'!S162</f>
        <v>0</v>
      </c>
    </row>
    <row r="161" spans="1:13" x14ac:dyDescent="0.25">
      <c r="A161" s="298">
        <f>'A) Base RI'!A163</f>
        <v>5655</v>
      </c>
      <c r="B161" s="32" t="str">
        <f>'A) Base RI'!B163</f>
        <v>Yens</v>
      </c>
      <c r="C161" s="296">
        <f>'B) D RI'!U163</f>
        <v>86097.458084051032</v>
      </c>
      <c r="D161" s="32">
        <f>'B) D RI'!AA163</f>
        <v>1429</v>
      </c>
      <c r="E161" s="202">
        <f t="shared" si="18"/>
        <v>60.250145615151176</v>
      </c>
      <c r="F161" s="371">
        <f t="shared" si="19"/>
        <v>1.344108949753525</v>
      </c>
      <c r="G161" s="382">
        <f t="shared" si="20"/>
        <v>15.424801935831503</v>
      </c>
      <c r="H161" s="379">
        <f t="shared" si="21"/>
        <v>6.4597331999675731</v>
      </c>
      <c r="I161" s="382">
        <f t="shared" si="22"/>
        <v>0</v>
      </c>
      <c r="J161" s="379">
        <f t="shared" si="23"/>
        <v>0</v>
      </c>
      <c r="K161" s="374">
        <f t="shared" si="24"/>
        <v>0</v>
      </c>
      <c r="L161" s="378">
        <f t="shared" si="25"/>
        <v>3.7309337071630582</v>
      </c>
      <c r="M161" s="114">
        <f>L161*D161*'B) D RI'!S163</f>
        <v>389199.81153012876</v>
      </c>
    </row>
    <row r="162" spans="1:13" x14ac:dyDescent="0.25">
      <c r="A162" s="298">
        <f>'A) Base RI'!A164</f>
        <v>5661</v>
      </c>
      <c r="B162" s="32" t="str">
        <f>'A) Base RI'!B164</f>
        <v>Boulens</v>
      </c>
      <c r="C162" s="296">
        <f>'B) D RI'!U164</f>
        <v>10242.097149449037</v>
      </c>
      <c r="D162" s="32">
        <f>'B) D RI'!AA164</f>
        <v>384</v>
      </c>
      <c r="E162" s="202">
        <f t="shared" si="18"/>
        <v>26.672127993356867</v>
      </c>
      <c r="F162" s="371">
        <f t="shared" si="19"/>
        <v>0.59502339087836476</v>
      </c>
      <c r="G162" s="382">
        <f t="shared" si="20"/>
        <v>0</v>
      </c>
      <c r="H162" s="379">
        <f t="shared" si="21"/>
        <v>0</v>
      </c>
      <c r="I162" s="382">
        <f t="shared" si="22"/>
        <v>0</v>
      </c>
      <c r="J162" s="379">
        <f t="shared" si="23"/>
        <v>0</v>
      </c>
      <c r="K162" s="374">
        <f t="shared" si="24"/>
        <v>0</v>
      </c>
      <c r="L162" s="378">
        <f t="shared" si="25"/>
        <v>0</v>
      </c>
      <c r="M162" s="114">
        <f>L162*D162*'B) D RI'!S164</f>
        <v>0</v>
      </c>
    </row>
    <row r="163" spans="1:13" x14ac:dyDescent="0.25">
      <c r="A163" s="298">
        <f>'A) Base RI'!A165</f>
        <v>5663</v>
      </c>
      <c r="B163" s="32" t="str">
        <f>'A) Base RI'!B165</f>
        <v>Bussy-sur-Moudon</v>
      </c>
      <c r="C163" s="296">
        <f>'B) D RI'!U165</f>
        <v>5275.6077688756623</v>
      </c>
      <c r="D163" s="32">
        <f>'B) D RI'!AA165</f>
        <v>214</v>
      </c>
      <c r="E163" s="202">
        <f t="shared" si="18"/>
        <v>24.652372751755433</v>
      </c>
      <c r="F163" s="371">
        <f t="shared" si="19"/>
        <v>0.54996505834106724</v>
      </c>
      <c r="G163" s="382">
        <f t="shared" si="20"/>
        <v>0</v>
      </c>
      <c r="H163" s="379">
        <f t="shared" si="21"/>
        <v>0</v>
      </c>
      <c r="I163" s="382">
        <f t="shared" si="22"/>
        <v>0</v>
      </c>
      <c r="J163" s="379">
        <f t="shared" si="23"/>
        <v>0</v>
      </c>
      <c r="K163" s="374">
        <f t="shared" si="24"/>
        <v>0</v>
      </c>
      <c r="L163" s="378">
        <f t="shared" si="25"/>
        <v>0</v>
      </c>
      <c r="M163" s="114">
        <f>L163*D163*'B) D RI'!S165</f>
        <v>0</v>
      </c>
    </row>
    <row r="164" spans="1:13" x14ac:dyDescent="0.25">
      <c r="A164" s="298">
        <f>'A) Base RI'!A166</f>
        <v>5665</v>
      </c>
      <c r="B164" s="32" t="str">
        <f>'A) Base RI'!B166</f>
        <v>Chavannes-sur-Moudon</v>
      </c>
      <c r="C164" s="296">
        <f>'B) D RI'!U166</f>
        <v>4607.2565465259731</v>
      </c>
      <c r="D164" s="32">
        <f>'B) D RI'!AA166</f>
        <v>216</v>
      </c>
      <c r="E164" s="202">
        <f t="shared" si="18"/>
        <v>21.329891419101727</v>
      </c>
      <c r="F164" s="371">
        <f t="shared" si="19"/>
        <v>0.47584445914560486</v>
      </c>
      <c r="G164" s="382">
        <f t="shared" si="20"/>
        <v>0</v>
      </c>
      <c r="H164" s="379">
        <f t="shared" si="21"/>
        <v>0</v>
      </c>
      <c r="I164" s="382">
        <f t="shared" si="22"/>
        <v>0</v>
      </c>
      <c r="J164" s="379">
        <f t="shared" si="23"/>
        <v>0</v>
      </c>
      <c r="K164" s="374">
        <f t="shared" si="24"/>
        <v>0</v>
      </c>
      <c r="L164" s="378">
        <f t="shared" si="25"/>
        <v>0</v>
      </c>
      <c r="M164" s="114">
        <f>L164*D164*'B) D RI'!S166</f>
        <v>0</v>
      </c>
    </row>
    <row r="165" spans="1:13" x14ac:dyDescent="0.25">
      <c r="A165" s="298">
        <f>'A) Base RI'!A167</f>
        <v>5669</v>
      </c>
      <c r="B165" s="32" t="str">
        <f>'A) Base RI'!B167</f>
        <v>Curtilles</v>
      </c>
      <c r="C165" s="296">
        <f>'B) D RI'!U167</f>
        <v>7730.4977240355793</v>
      </c>
      <c r="D165" s="32">
        <f>'B) D RI'!AA167</f>
        <v>313</v>
      </c>
      <c r="E165" s="202">
        <f t="shared" si="18"/>
        <v>24.698075795640829</v>
      </c>
      <c r="F165" s="371">
        <f t="shared" si="19"/>
        <v>0.55098463878672665</v>
      </c>
      <c r="G165" s="382">
        <f t="shared" si="20"/>
        <v>0</v>
      </c>
      <c r="H165" s="379">
        <f t="shared" si="21"/>
        <v>0</v>
      </c>
      <c r="I165" s="382">
        <f t="shared" si="22"/>
        <v>0</v>
      </c>
      <c r="J165" s="379">
        <f t="shared" si="23"/>
        <v>0</v>
      </c>
      <c r="K165" s="374">
        <f t="shared" si="24"/>
        <v>0</v>
      </c>
      <c r="L165" s="378">
        <f t="shared" si="25"/>
        <v>0</v>
      </c>
      <c r="M165" s="114">
        <f>L165*D165*'B) D RI'!S167</f>
        <v>0</v>
      </c>
    </row>
    <row r="166" spans="1:13" x14ac:dyDescent="0.25">
      <c r="A166" s="298">
        <f>'A) Base RI'!A168</f>
        <v>5671</v>
      </c>
      <c r="B166" s="32" t="str">
        <f>'A) Base RI'!B168</f>
        <v>Dompierre</v>
      </c>
      <c r="C166" s="296">
        <f>'B) D RI'!U168</f>
        <v>6107.4315082005251</v>
      </c>
      <c r="D166" s="32">
        <f>'B) D RI'!AA168</f>
        <v>239</v>
      </c>
      <c r="E166" s="202">
        <f t="shared" si="18"/>
        <v>25.55410672887249</v>
      </c>
      <c r="F166" s="371">
        <f t="shared" si="19"/>
        <v>0.57008166879179922</v>
      </c>
      <c r="G166" s="382">
        <f t="shared" si="20"/>
        <v>0</v>
      </c>
      <c r="H166" s="379">
        <f t="shared" si="21"/>
        <v>0</v>
      </c>
      <c r="I166" s="382">
        <f t="shared" si="22"/>
        <v>0</v>
      </c>
      <c r="J166" s="379">
        <f t="shared" si="23"/>
        <v>0</v>
      </c>
      <c r="K166" s="374">
        <f t="shared" si="24"/>
        <v>0</v>
      </c>
      <c r="L166" s="378">
        <f t="shared" si="25"/>
        <v>0</v>
      </c>
      <c r="M166" s="114">
        <f>L166*D166*'B) D RI'!S168</f>
        <v>0</v>
      </c>
    </row>
    <row r="167" spans="1:13" x14ac:dyDescent="0.25">
      <c r="A167" s="298">
        <f>'A) Base RI'!A169</f>
        <v>5673</v>
      </c>
      <c r="B167" s="32" t="str">
        <f>'A) Base RI'!B169</f>
        <v>Hermenches</v>
      </c>
      <c r="C167" s="296">
        <f>'B) D RI'!U169</f>
        <v>9275.5467189326828</v>
      </c>
      <c r="D167" s="32">
        <f>'B) D RI'!AA169</f>
        <v>364</v>
      </c>
      <c r="E167" s="202">
        <f t="shared" si="18"/>
        <v>25.482271205859018</v>
      </c>
      <c r="F167" s="371">
        <f t="shared" si="19"/>
        <v>0.56847910387835687</v>
      </c>
      <c r="G167" s="382">
        <f t="shared" si="20"/>
        <v>0</v>
      </c>
      <c r="H167" s="379">
        <f t="shared" si="21"/>
        <v>0</v>
      </c>
      <c r="I167" s="382">
        <f t="shared" si="22"/>
        <v>0</v>
      </c>
      <c r="J167" s="379">
        <f t="shared" si="23"/>
        <v>0</v>
      </c>
      <c r="K167" s="374">
        <f t="shared" si="24"/>
        <v>0</v>
      </c>
      <c r="L167" s="378">
        <f t="shared" si="25"/>
        <v>0</v>
      </c>
      <c r="M167" s="114">
        <f>L167*D167*'B) D RI'!S169</f>
        <v>0</v>
      </c>
    </row>
    <row r="168" spans="1:13" x14ac:dyDescent="0.25">
      <c r="A168" s="298">
        <f>'A) Base RI'!A170</f>
        <v>5674</v>
      </c>
      <c r="B168" s="32" t="str">
        <f>'A) Base RI'!B170</f>
        <v>Lovatens</v>
      </c>
      <c r="C168" s="296">
        <f>'B) D RI'!U170</f>
        <v>3271.992985930126</v>
      </c>
      <c r="D168" s="32">
        <f>'B) D RI'!AA170</f>
        <v>146</v>
      </c>
      <c r="E168" s="202">
        <f t="shared" si="18"/>
        <v>22.410910862535111</v>
      </c>
      <c r="F168" s="371">
        <f t="shared" si="19"/>
        <v>0.49996071469886938</v>
      </c>
      <c r="G168" s="382">
        <f t="shared" si="20"/>
        <v>0</v>
      </c>
      <c r="H168" s="379">
        <f t="shared" si="21"/>
        <v>0</v>
      </c>
      <c r="I168" s="382">
        <f t="shared" si="22"/>
        <v>0</v>
      </c>
      <c r="J168" s="379">
        <f t="shared" si="23"/>
        <v>0</v>
      </c>
      <c r="K168" s="374">
        <f t="shared" si="24"/>
        <v>0</v>
      </c>
      <c r="L168" s="378">
        <f t="shared" si="25"/>
        <v>0</v>
      </c>
      <c r="M168" s="114">
        <f>L168*D168*'B) D RI'!S170</f>
        <v>0</v>
      </c>
    </row>
    <row r="169" spans="1:13" x14ac:dyDescent="0.25">
      <c r="A169" s="298">
        <f>'A) Base RI'!A171</f>
        <v>5675</v>
      </c>
      <c r="B169" s="32" t="str">
        <f>'A) Base RI'!B171</f>
        <v>Lucens</v>
      </c>
      <c r="C169" s="296">
        <f>'B) D RI'!U171</f>
        <v>90143.04189619486</v>
      </c>
      <c r="D169" s="32">
        <f>'B) D RI'!AA171</f>
        <v>4199</v>
      </c>
      <c r="E169" s="202">
        <f t="shared" si="18"/>
        <v>21.467740389662982</v>
      </c>
      <c r="F169" s="371">
        <f t="shared" si="19"/>
        <v>0.47891970540690348</v>
      </c>
      <c r="G169" s="382">
        <f t="shared" si="20"/>
        <v>0</v>
      </c>
      <c r="H169" s="379">
        <f t="shared" si="21"/>
        <v>0</v>
      </c>
      <c r="I169" s="382">
        <f t="shared" si="22"/>
        <v>0</v>
      </c>
      <c r="J169" s="379">
        <f t="shared" si="23"/>
        <v>0</v>
      </c>
      <c r="K169" s="374">
        <f t="shared" si="24"/>
        <v>0</v>
      </c>
      <c r="L169" s="378">
        <f t="shared" si="25"/>
        <v>0</v>
      </c>
      <c r="M169" s="114">
        <f>L169*D169*'B) D RI'!S171</f>
        <v>0</v>
      </c>
    </row>
    <row r="170" spans="1:13" x14ac:dyDescent="0.25">
      <c r="A170" s="298">
        <f>'A) Base RI'!A172</f>
        <v>5678</v>
      </c>
      <c r="B170" s="32" t="str">
        <f>'A) Base RI'!B172</f>
        <v>Moudon</v>
      </c>
      <c r="C170" s="296">
        <f>'B) D RI'!U172</f>
        <v>115752.26296280598</v>
      </c>
      <c r="D170" s="32">
        <f>'B) D RI'!AA172</f>
        <v>6135</v>
      </c>
      <c r="E170" s="202">
        <f t="shared" si="18"/>
        <v>18.867524525314749</v>
      </c>
      <c r="F170" s="371">
        <f t="shared" si="19"/>
        <v>0.42091198809969965</v>
      </c>
      <c r="G170" s="382">
        <f t="shared" si="20"/>
        <v>0</v>
      </c>
      <c r="H170" s="379">
        <f t="shared" si="21"/>
        <v>0</v>
      </c>
      <c r="I170" s="382">
        <f t="shared" si="22"/>
        <v>0</v>
      </c>
      <c r="J170" s="379">
        <f t="shared" si="23"/>
        <v>0</v>
      </c>
      <c r="K170" s="374">
        <f t="shared" si="24"/>
        <v>0</v>
      </c>
      <c r="L170" s="378">
        <f t="shared" si="25"/>
        <v>0</v>
      </c>
      <c r="M170" s="114">
        <f>L170*D170*'B) D RI'!S172</f>
        <v>0</v>
      </c>
    </row>
    <row r="171" spans="1:13" x14ac:dyDescent="0.25">
      <c r="A171" s="298">
        <f>'A) Base RI'!A173</f>
        <v>5680</v>
      </c>
      <c r="B171" s="32" t="str">
        <f>'A) Base RI'!B173</f>
        <v>Ogens</v>
      </c>
      <c r="C171" s="296">
        <f>'B) D RI'!U173</f>
        <v>6425.0974128432881</v>
      </c>
      <c r="D171" s="32">
        <f>'B) D RI'!AA173</f>
        <v>299</v>
      </c>
      <c r="E171" s="202">
        <f t="shared" si="18"/>
        <v>21.488620109843772</v>
      </c>
      <c r="F171" s="371">
        <f t="shared" si="19"/>
        <v>0.47938550708218264</v>
      </c>
      <c r="G171" s="382">
        <f t="shared" si="20"/>
        <v>0</v>
      </c>
      <c r="H171" s="379">
        <f t="shared" si="21"/>
        <v>0</v>
      </c>
      <c r="I171" s="382">
        <f t="shared" si="22"/>
        <v>0</v>
      </c>
      <c r="J171" s="379">
        <f t="shared" si="23"/>
        <v>0</v>
      </c>
      <c r="K171" s="374">
        <f t="shared" si="24"/>
        <v>0</v>
      </c>
      <c r="L171" s="378">
        <f t="shared" si="25"/>
        <v>0</v>
      </c>
      <c r="M171" s="114">
        <f>L171*D171*'B) D RI'!S173</f>
        <v>0</v>
      </c>
    </row>
    <row r="172" spans="1:13" x14ac:dyDescent="0.25">
      <c r="A172" s="298">
        <f>'A) Base RI'!A174</f>
        <v>5683</v>
      </c>
      <c r="B172" s="32" t="str">
        <f>'A) Base RI'!B174</f>
        <v>Prévonloup</v>
      </c>
      <c r="C172" s="296">
        <f>'B) D RI'!U174</f>
        <v>3739.7592858383009</v>
      </c>
      <c r="D172" s="32">
        <f>'B) D RI'!AA174</f>
        <v>184</v>
      </c>
      <c r="E172" s="202">
        <f t="shared" si="18"/>
        <v>20.324778727382071</v>
      </c>
      <c r="F172" s="371">
        <f t="shared" si="19"/>
        <v>0.45342159276648175</v>
      </c>
      <c r="G172" s="382">
        <f t="shared" si="20"/>
        <v>0</v>
      </c>
      <c r="H172" s="379">
        <f t="shared" si="21"/>
        <v>0</v>
      </c>
      <c r="I172" s="382">
        <f t="shared" si="22"/>
        <v>0</v>
      </c>
      <c r="J172" s="379">
        <f t="shared" si="23"/>
        <v>0</v>
      </c>
      <c r="K172" s="374">
        <f t="shared" si="24"/>
        <v>0</v>
      </c>
      <c r="L172" s="378">
        <f t="shared" si="25"/>
        <v>0</v>
      </c>
      <c r="M172" s="114">
        <f>L172*D172*'B) D RI'!S174</f>
        <v>0</v>
      </c>
    </row>
    <row r="173" spans="1:13" x14ac:dyDescent="0.25">
      <c r="A173" s="298">
        <f>'A) Base RI'!A175</f>
        <v>5684</v>
      </c>
      <c r="B173" s="32" t="str">
        <f>'A) Base RI'!B175</f>
        <v>Rossenges</v>
      </c>
      <c r="C173" s="296">
        <f>'B) D RI'!U175</f>
        <v>1960.0054491323369</v>
      </c>
      <c r="D173" s="32">
        <f>'B) D RI'!AA175</f>
        <v>65</v>
      </c>
      <c r="E173" s="202">
        <f t="shared" si="18"/>
        <v>30.153929986651338</v>
      </c>
      <c r="F173" s="371">
        <f t="shared" si="19"/>
        <v>0.6726982441534064</v>
      </c>
      <c r="G173" s="382">
        <f t="shared" si="20"/>
        <v>0</v>
      </c>
      <c r="H173" s="379">
        <f t="shared" si="21"/>
        <v>0</v>
      </c>
      <c r="I173" s="382">
        <f t="shared" si="22"/>
        <v>0</v>
      </c>
      <c r="J173" s="379">
        <f t="shared" si="23"/>
        <v>0</v>
      </c>
      <c r="K173" s="374">
        <f t="shared" si="24"/>
        <v>0</v>
      </c>
      <c r="L173" s="378">
        <f t="shared" si="25"/>
        <v>0</v>
      </c>
      <c r="M173" s="114">
        <f>L173*D173*'B) D RI'!S175</f>
        <v>0</v>
      </c>
    </row>
    <row r="174" spans="1:13" x14ac:dyDescent="0.25">
      <c r="A174" s="298">
        <f>'A) Base RI'!A176</f>
        <v>5688</v>
      </c>
      <c r="B174" s="32" t="str">
        <f>'A) Base RI'!B176</f>
        <v>Syens</v>
      </c>
      <c r="C174" s="296">
        <f>'B) D RI'!U176</f>
        <v>3766.5702445621059</v>
      </c>
      <c r="D174" s="32">
        <f>'B) D RI'!AA176</f>
        <v>159</v>
      </c>
      <c r="E174" s="202">
        <f t="shared" si="18"/>
        <v>23.689121034981799</v>
      </c>
      <c r="F174" s="371">
        <f t="shared" si="19"/>
        <v>0.52847606042808448</v>
      </c>
      <c r="G174" s="382">
        <f t="shared" si="20"/>
        <v>0</v>
      </c>
      <c r="H174" s="379">
        <f t="shared" si="21"/>
        <v>0</v>
      </c>
      <c r="I174" s="382">
        <f t="shared" si="22"/>
        <v>0</v>
      </c>
      <c r="J174" s="379">
        <f t="shared" si="23"/>
        <v>0</v>
      </c>
      <c r="K174" s="374">
        <f t="shared" si="24"/>
        <v>0</v>
      </c>
      <c r="L174" s="378">
        <f t="shared" si="25"/>
        <v>0</v>
      </c>
      <c r="M174" s="114">
        <f>L174*D174*'B) D RI'!S176</f>
        <v>0</v>
      </c>
    </row>
    <row r="175" spans="1:13" x14ac:dyDescent="0.25">
      <c r="A175" s="298">
        <f>'A) Base RI'!A177</f>
        <v>5690</v>
      </c>
      <c r="B175" s="32" t="str">
        <f>'A) Base RI'!B177</f>
        <v>Villars-le-Comte</v>
      </c>
      <c r="C175" s="296">
        <f>'B) D RI'!U177</f>
        <v>4066.8729144140357</v>
      </c>
      <c r="D175" s="32">
        <f>'B) D RI'!AA177</f>
        <v>132</v>
      </c>
      <c r="E175" s="202">
        <f t="shared" si="18"/>
        <v>30.809643291015423</v>
      </c>
      <c r="F175" s="371">
        <f t="shared" si="19"/>
        <v>0.6873264265730451</v>
      </c>
      <c r="G175" s="382">
        <f t="shared" si="20"/>
        <v>0</v>
      </c>
      <c r="H175" s="379">
        <f t="shared" si="21"/>
        <v>0</v>
      </c>
      <c r="I175" s="382">
        <f t="shared" si="22"/>
        <v>0</v>
      </c>
      <c r="J175" s="379">
        <f t="shared" si="23"/>
        <v>0</v>
      </c>
      <c r="K175" s="374">
        <f t="shared" si="24"/>
        <v>0</v>
      </c>
      <c r="L175" s="378">
        <f t="shared" si="25"/>
        <v>0</v>
      </c>
      <c r="M175" s="114">
        <f>L175*D175*'B) D RI'!S177</f>
        <v>0</v>
      </c>
    </row>
    <row r="176" spans="1:13" x14ac:dyDescent="0.25">
      <c r="A176" s="298">
        <f>'A) Base RI'!A178</f>
        <v>5692</v>
      </c>
      <c r="B176" s="32" t="str">
        <f>'A) Base RI'!B178</f>
        <v>Vucherens</v>
      </c>
      <c r="C176" s="296">
        <f>'B) D RI'!U178</f>
        <v>16181.962340912567</v>
      </c>
      <c r="D176" s="32">
        <f>'B) D RI'!AA178</f>
        <v>577</v>
      </c>
      <c r="E176" s="202">
        <f t="shared" si="18"/>
        <v>28.044995391529579</v>
      </c>
      <c r="F176" s="371">
        <f t="shared" si="19"/>
        <v>0.62565042651236236</v>
      </c>
      <c r="G176" s="382">
        <f t="shared" si="20"/>
        <v>0</v>
      </c>
      <c r="H176" s="379">
        <f t="shared" si="21"/>
        <v>0</v>
      </c>
      <c r="I176" s="382">
        <f t="shared" si="22"/>
        <v>0</v>
      </c>
      <c r="J176" s="379">
        <f t="shared" si="23"/>
        <v>0</v>
      </c>
      <c r="K176" s="374">
        <f t="shared" si="24"/>
        <v>0</v>
      </c>
      <c r="L176" s="378">
        <f t="shared" si="25"/>
        <v>0</v>
      </c>
      <c r="M176" s="114">
        <f>L176*D176*'B) D RI'!S178</f>
        <v>0</v>
      </c>
    </row>
    <row r="177" spans="1:13" x14ac:dyDescent="0.25">
      <c r="A177" s="298">
        <f>'A) Base RI'!A179</f>
        <v>5693</v>
      </c>
      <c r="B177" s="32" t="str">
        <f>'A) Base RI'!B179</f>
        <v>Montanaire</v>
      </c>
      <c r="C177" s="296">
        <f>'B) D RI'!U179</f>
        <v>69189.830336889005</v>
      </c>
      <c r="D177" s="32">
        <f>'B) D RI'!AA179</f>
        <v>2685</v>
      </c>
      <c r="E177" s="202">
        <f t="shared" si="18"/>
        <v>25.769024334036875</v>
      </c>
      <c r="F177" s="371">
        <f t="shared" si="19"/>
        <v>0.57487622444990871</v>
      </c>
      <c r="G177" s="382">
        <f t="shared" si="20"/>
        <v>0</v>
      </c>
      <c r="H177" s="379">
        <f t="shared" si="21"/>
        <v>0</v>
      </c>
      <c r="I177" s="382">
        <f t="shared" si="22"/>
        <v>0</v>
      </c>
      <c r="J177" s="379">
        <f t="shared" si="23"/>
        <v>0</v>
      </c>
      <c r="K177" s="374">
        <f t="shared" si="24"/>
        <v>0</v>
      </c>
      <c r="L177" s="378">
        <f t="shared" si="25"/>
        <v>0</v>
      </c>
      <c r="M177" s="114">
        <f>L177*D177*'B) D RI'!S179</f>
        <v>0</v>
      </c>
    </row>
    <row r="178" spans="1:13" x14ac:dyDescent="0.25">
      <c r="A178" s="298">
        <f>'A) Base RI'!A180</f>
        <v>5701</v>
      </c>
      <c r="B178" s="32" t="str">
        <f>'A) Base RI'!B180</f>
        <v>Arnex-sur-Nyon</v>
      </c>
      <c r="C178" s="296">
        <f>'B) D RI'!U180</f>
        <v>13494.151628023246</v>
      </c>
      <c r="D178" s="32">
        <f>'B) D RI'!AA180</f>
        <v>235</v>
      </c>
      <c r="E178" s="202">
        <f t="shared" si="18"/>
        <v>57.421921821375513</v>
      </c>
      <c r="F178" s="371">
        <f t="shared" si="19"/>
        <v>1.2810146472533865</v>
      </c>
      <c r="G178" s="382">
        <f t="shared" si="20"/>
        <v>12.59657814205584</v>
      </c>
      <c r="H178" s="379">
        <f t="shared" si="21"/>
        <v>3.6315094061919098</v>
      </c>
      <c r="I178" s="382">
        <f t="shared" si="22"/>
        <v>0</v>
      </c>
      <c r="J178" s="379">
        <f t="shared" si="23"/>
        <v>0</v>
      </c>
      <c r="K178" s="374">
        <f t="shared" si="24"/>
        <v>0</v>
      </c>
      <c r="L178" s="378">
        <f t="shared" si="25"/>
        <v>2.8824665690303588</v>
      </c>
      <c r="M178" s="114">
        <f>L178*D178*'B) D RI'!S180</f>
        <v>47416.575060549403</v>
      </c>
    </row>
    <row r="179" spans="1:13" x14ac:dyDescent="0.25">
      <c r="A179" s="298">
        <f>'A) Base RI'!A181</f>
        <v>5702</v>
      </c>
      <c r="B179" s="32" t="str">
        <f>'A) Base RI'!B181</f>
        <v>Arzier-Le Muids</v>
      </c>
      <c r="C179" s="296">
        <f>'B) D RI'!U181</f>
        <v>176187.34911477199</v>
      </c>
      <c r="D179" s="32">
        <f>'B) D RI'!AA181</f>
        <v>2697</v>
      </c>
      <c r="E179" s="202">
        <f t="shared" si="18"/>
        <v>65.327159478966252</v>
      </c>
      <c r="F179" s="371">
        <f t="shared" si="19"/>
        <v>1.4573710788770853</v>
      </c>
      <c r="G179" s="382">
        <f t="shared" si="20"/>
        <v>20.501815799646579</v>
      </c>
      <c r="H179" s="379">
        <f t="shared" si="21"/>
        <v>11.536747063782649</v>
      </c>
      <c r="I179" s="382">
        <f t="shared" si="22"/>
        <v>0</v>
      </c>
      <c r="J179" s="379">
        <f t="shared" si="23"/>
        <v>0</v>
      </c>
      <c r="K179" s="374">
        <f t="shared" si="24"/>
        <v>0</v>
      </c>
      <c r="L179" s="378">
        <f t="shared" si="25"/>
        <v>5.2540378663075806</v>
      </c>
      <c r="M179" s="114">
        <f>L179*D179*'B) D RI'!S181</f>
        <v>906888.96802761883</v>
      </c>
    </row>
    <row r="180" spans="1:13" x14ac:dyDescent="0.25">
      <c r="A180" s="298">
        <f>'A) Base RI'!A182</f>
        <v>5703</v>
      </c>
      <c r="B180" s="32" t="str">
        <f>'A) Base RI'!B182</f>
        <v>Bassins</v>
      </c>
      <c r="C180" s="296">
        <f>'B) D RI'!U182</f>
        <v>55300.638649310058</v>
      </c>
      <c r="D180" s="32">
        <f>'B) D RI'!AA182</f>
        <v>1347</v>
      </c>
      <c r="E180" s="202">
        <f t="shared" si="18"/>
        <v>41.054668633489278</v>
      </c>
      <c r="F180" s="371">
        <f t="shared" si="19"/>
        <v>0.91588073316725049</v>
      </c>
      <c r="G180" s="382">
        <f t="shared" si="20"/>
        <v>0</v>
      </c>
      <c r="H180" s="379">
        <f t="shared" si="21"/>
        <v>0</v>
      </c>
      <c r="I180" s="382">
        <f t="shared" si="22"/>
        <v>0</v>
      </c>
      <c r="J180" s="379">
        <f t="shared" si="23"/>
        <v>0</v>
      </c>
      <c r="K180" s="374">
        <f t="shared" si="24"/>
        <v>0</v>
      </c>
      <c r="L180" s="378">
        <f t="shared" si="25"/>
        <v>0</v>
      </c>
      <c r="M180" s="114">
        <f>L180*D180*'B) D RI'!S182</f>
        <v>0</v>
      </c>
    </row>
    <row r="181" spans="1:13" x14ac:dyDescent="0.25">
      <c r="A181" s="298">
        <f>'A) Base RI'!A183</f>
        <v>5704</v>
      </c>
      <c r="B181" s="32" t="str">
        <f>'A) Base RI'!B183</f>
        <v>Begnins</v>
      </c>
      <c r="C181" s="296">
        <f>'B) D RI'!U183</f>
        <v>122435.43857401636</v>
      </c>
      <c r="D181" s="32">
        <f>'B) D RI'!AA183</f>
        <v>1952</v>
      </c>
      <c r="E181" s="202">
        <f t="shared" si="18"/>
        <v>62.723073039967396</v>
      </c>
      <c r="F181" s="371">
        <f t="shared" si="19"/>
        <v>1.3992770136619144</v>
      </c>
      <c r="G181" s="382">
        <f t="shared" si="20"/>
        <v>17.897729360647723</v>
      </c>
      <c r="H181" s="379">
        <f t="shared" si="21"/>
        <v>8.932660624783793</v>
      </c>
      <c r="I181" s="382">
        <f t="shared" si="22"/>
        <v>0</v>
      </c>
      <c r="J181" s="379">
        <f t="shared" si="23"/>
        <v>0</v>
      </c>
      <c r="K181" s="374">
        <f t="shared" si="24"/>
        <v>0</v>
      </c>
      <c r="L181" s="378">
        <f t="shared" si="25"/>
        <v>4.4728119346079236</v>
      </c>
      <c r="M181" s="114">
        <f>L181*D181*'B) D RI'!S183</f>
        <v>558779.44936669862</v>
      </c>
    </row>
    <row r="182" spans="1:13" x14ac:dyDescent="0.25">
      <c r="A182" s="298">
        <f>'A) Base RI'!A184</f>
        <v>5705</v>
      </c>
      <c r="B182" s="32" t="str">
        <f>'A) Base RI'!B184</f>
        <v>Bogis-Bossey</v>
      </c>
      <c r="C182" s="296">
        <f>'B) D RI'!U184</f>
        <v>49357.057232158906</v>
      </c>
      <c r="D182" s="32">
        <f>'B) D RI'!AA184</f>
        <v>867</v>
      </c>
      <c r="E182" s="202">
        <f t="shared" si="18"/>
        <v>56.9285550543932</v>
      </c>
      <c r="F182" s="371">
        <f t="shared" si="19"/>
        <v>1.2700082226175409</v>
      </c>
      <c r="G182" s="382">
        <f t="shared" si="20"/>
        <v>12.103211375073528</v>
      </c>
      <c r="H182" s="379">
        <f t="shared" si="21"/>
        <v>3.1381426392095975</v>
      </c>
      <c r="I182" s="382">
        <f t="shared" si="22"/>
        <v>0</v>
      </c>
      <c r="J182" s="379">
        <f t="shared" si="23"/>
        <v>0</v>
      </c>
      <c r="K182" s="374">
        <f t="shared" si="24"/>
        <v>0</v>
      </c>
      <c r="L182" s="378">
        <f t="shared" si="25"/>
        <v>2.7344565389356652</v>
      </c>
      <c r="M182" s="114">
        <f>L182*D182*'B) D RI'!S184</f>
        <v>165954.16734800555</v>
      </c>
    </row>
    <row r="183" spans="1:13" x14ac:dyDescent="0.25">
      <c r="A183" s="298">
        <f>'A) Base RI'!A185</f>
        <v>5706</v>
      </c>
      <c r="B183" s="32" t="str">
        <f>'A) Base RI'!B185</f>
        <v>Borex</v>
      </c>
      <c r="C183" s="296">
        <f>'B) D RI'!U185</f>
        <v>70814.792156181808</v>
      </c>
      <c r="D183" s="32">
        <f>'B) D RI'!AA185</f>
        <v>1140</v>
      </c>
      <c r="E183" s="202">
        <f t="shared" si="18"/>
        <v>62.118238733492817</v>
      </c>
      <c r="F183" s="371">
        <f t="shared" si="19"/>
        <v>1.3857838810536836</v>
      </c>
      <c r="G183" s="382">
        <f t="shared" si="20"/>
        <v>17.292895054173144</v>
      </c>
      <c r="H183" s="379">
        <f t="shared" si="21"/>
        <v>8.3278263183092136</v>
      </c>
      <c r="I183" s="382">
        <f t="shared" si="22"/>
        <v>0</v>
      </c>
      <c r="J183" s="379">
        <f t="shared" si="23"/>
        <v>0</v>
      </c>
      <c r="K183" s="374">
        <f t="shared" si="24"/>
        <v>0</v>
      </c>
      <c r="L183" s="378">
        <f t="shared" si="25"/>
        <v>4.2913616426655494</v>
      </c>
      <c r="M183" s="114">
        <f>L183*D183*'B) D RI'!S185</f>
        <v>283744.83181304613</v>
      </c>
    </row>
    <row r="184" spans="1:13" x14ac:dyDescent="0.25">
      <c r="A184" s="298">
        <f>'A) Base RI'!A186</f>
        <v>5707</v>
      </c>
      <c r="B184" s="32" t="str">
        <f>'A) Base RI'!B186</f>
        <v>Chavannes-de-Bogis</v>
      </c>
      <c r="C184" s="296">
        <f>'B) D RI'!U186</f>
        <v>74977.772605941107</v>
      </c>
      <c r="D184" s="32">
        <f>'B) D RI'!AA186</f>
        <v>1281</v>
      </c>
      <c r="E184" s="202">
        <f t="shared" si="18"/>
        <v>58.53065777200711</v>
      </c>
      <c r="F184" s="371">
        <f t="shared" si="19"/>
        <v>1.3057492250530236</v>
      </c>
      <c r="G184" s="382">
        <f t="shared" si="20"/>
        <v>13.705314092687438</v>
      </c>
      <c r="H184" s="379">
        <f t="shared" si="21"/>
        <v>4.7402453568235074</v>
      </c>
      <c r="I184" s="382">
        <f t="shared" si="22"/>
        <v>0</v>
      </c>
      <c r="J184" s="379">
        <f t="shared" si="23"/>
        <v>0</v>
      </c>
      <c r="K184" s="374">
        <f t="shared" si="24"/>
        <v>0</v>
      </c>
      <c r="L184" s="378">
        <f t="shared" si="25"/>
        <v>3.2150873542198379</v>
      </c>
      <c r="M184" s="114">
        <f>L184*D184*'B) D RI'!S186</f>
        <v>242993.08714458114</v>
      </c>
    </row>
    <row r="185" spans="1:13" x14ac:dyDescent="0.25">
      <c r="A185" s="298">
        <f>'A) Base RI'!A187</f>
        <v>5708</v>
      </c>
      <c r="B185" s="32" t="str">
        <f>'A) Base RI'!B187</f>
        <v>Chavannes-des-Bois</v>
      </c>
      <c r="C185" s="296">
        <f>'B) D RI'!U187</f>
        <v>57043.960322475032</v>
      </c>
      <c r="D185" s="32">
        <f>'B) D RI'!AA187</f>
        <v>964</v>
      </c>
      <c r="E185" s="202">
        <f t="shared" si="18"/>
        <v>59.174232699662895</v>
      </c>
      <c r="F185" s="371">
        <f t="shared" si="19"/>
        <v>1.3201066147533662</v>
      </c>
      <c r="G185" s="382">
        <f t="shared" si="20"/>
        <v>14.348889020343222</v>
      </c>
      <c r="H185" s="379">
        <f t="shared" si="21"/>
        <v>5.3838202844792917</v>
      </c>
      <c r="I185" s="382">
        <f t="shared" si="22"/>
        <v>0</v>
      </c>
      <c r="J185" s="379">
        <f t="shared" si="23"/>
        <v>0</v>
      </c>
      <c r="K185" s="374">
        <f t="shared" si="24"/>
        <v>0</v>
      </c>
      <c r="L185" s="378">
        <f t="shared" si="25"/>
        <v>3.4081598325165734</v>
      </c>
      <c r="M185" s="114">
        <f>L185*D185*'B) D RI'!S187</f>
        <v>206984.36294839653</v>
      </c>
    </row>
    <row r="186" spans="1:13" x14ac:dyDescent="0.25">
      <c r="A186" s="298">
        <f>'A) Base RI'!A188</f>
        <v>5709</v>
      </c>
      <c r="B186" s="32" t="str">
        <f>'A) Base RI'!B188</f>
        <v>Chéserex</v>
      </c>
      <c r="C186" s="296">
        <f>'B) D RI'!U188</f>
        <v>106115.90679849937</v>
      </c>
      <c r="D186" s="32">
        <f>'B) D RI'!AA188</f>
        <v>1227</v>
      </c>
      <c r="E186" s="202">
        <f t="shared" si="18"/>
        <v>86.484031620618893</v>
      </c>
      <c r="F186" s="371">
        <f t="shared" si="19"/>
        <v>1.9293556841264912</v>
      </c>
      <c r="G186" s="382">
        <f t="shared" si="20"/>
        <v>41.65868794129922</v>
      </c>
      <c r="H186" s="379">
        <f t="shared" si="21"/>
        <v>32.69361920543529</v>
      </c>
      <c r="I186" s="382">
        <f t="shared" si="22"/>
        <v>19.246016101639384</v>
      </c>
      <c r="J186" s="379">
        <f t="shared" si="23"/>
        <v>0</v>
      </c>
      <c r="K186" s="374">
        <f t="shared" si="24"/>
        <v>0</v>
      </c>
      <c r="L186" s="378">
        <f t="shared" si="25"/>
        <v>13.525701118967312</v>
      </c>
      <c r="M186" s="114">
        <f>L186*D186*'B) D RI'!S188</f>
        <v>945974.01055945479</v>
      </c>
    </row>
    <row r="187" spans="1:13" x14ac:dyDescent="0.25">
      <c r="A187" s="298">
        <f>'A) Base RI'!A189</f>
        <v>5710</v>
      </c>
      <c r="B187" s="32" t="str">
        <f>'A) Base RI'!B189</f>
        <v>Coinsins</v>
      </c>
      <c r="C187" s="296">
        <f>'B) D RI'!U189</f>
        <v>136110.49360949438</v>
      </c>
      <c r="D187" s="32">
        <f>'B) D RI'!AA189</f>
        <v>499</v>
      </c>
      <c r="E187" s="202">
        <f t="shared" si="18"/>
        <v>272.76652025950779</v>
      </c>
      <c r="F187" s="371">
        <f t="shared" si="19"/>
        <v>6.0850960164606516</v>
      </c>
      <c r="G187" s="382">
        <f t="shared" si="20"/>
        <v>227.94117658018811</v>
      </c>
      <c r="H187" s="379">
        <f t="shared" si="21"/>
        <v>218.97610784432419</v>
      </c>
      <c r="I187" s="382">
        <f t="shared" si="22"/>
        <v>205.52850474052826</v>
      </c>
      <c r="J187" s="379">
        <f t="shared" si="23"/>
        <v>183.11583290086844</v>
      </c>
      <c r="K187" s="374">
        <f t="shared" si="24"/>
        <v>138.29048922154877</v>
      </c>
      <c r="L187" s="378">
        <f t="shared" si="25"/>
        <v>120.17932878676459</v>
      </c>
      <c r="M187" s="114">
        <f>L187*D187*'B) D RI'!S189</f>
        <v>3058443.7382943719</v>
      </c>
    </row>
    <row r="188" spans="1:13" x14ac:dyDescent="0.25">
      <c r="A188" s="298">
        <f>'A) Base RI'!A190</f>
        <v>5711</v>
      </c>
      <c r="B188" s="32" t="str">
        <f>'A) Base RI'!B190</f>
        <v>Commugny</v>
      </c>
      <c r="C188" s="296">
        <f>'B) D RI'!U190</f>
        <v>277708.93037627928</v>
      </c>
      <c r="D188" s="32">
        <f>'B) D RI'!AA190</f>
        <v>2877</v>
      </c>
      <c r="E188" s="202">
        <f t="shared" si="18"/>
        <v>96.527261166589952</v>
      </c>
      <c r="F188" s="371">
        <f t="shared" si="19"/>
        <v>2.1534081669768241</v>
      </c>
      <c r="G188" s="382">
        <f t="shared" si="20"/>
        <v>51.701917487270279</v>
      </c>
      <c r="H188" s="379">
        <f t="shared" si="21"/>
        <v>42.736848751406349</v>
      </c>
      <c r="I188" s="382">
        <f t="shared" si="22"/>
        <v>29.289245647610443</v>
      </c>
      <c r="J188" s="379">
        <f t="shared" si="23"/>
        <v>6.8765738079506065</v>
      </c>
      <c r="K188" s="374">
        <f t="shared" si="24"/>
        <v>0</v>
      </c>
      <c r="L188" s="378">
        <f t="shared" si="25"/>
        <v>18.230650318150797</v>
      </c>
      <c r="M188" s="114">
        <f>L188*D188*'B) D RI'!S190</f>
        <v>2989626.1150232311</v>
      </c>
    </row>
    <row r="189" spans="1:13" x14ac:dyDescent="0.25">
      <c r="A189" s="298">
        <f>'A) Base RI'!A191</f>
        <v>5712</v>
      </c>
      <c r="B189" s="32" t="str">
        <f>'A) Base RI'!B191</f>
        <v>Coppet</v>
      </c>
      <c r="C189" s="296">
        <f>'B) D RI'!U191</f>
        <v>337534.69243130391</v>
      </c>
      <c r="D189" s="32">
        <f>'B) D RI'!AA191</f>
        <v>3126</v>
      </c>
      <c r="E189" s="202">
        <f t="shared" si="18"/>
        <v>107.97654908231091</v>
      </c>
      <c r="F189" s="371">
        <f t="shared" si="19"/>
        <v>2.4088281364840101</v>
      </c>
      <c r="G189" s="382">
        <f t="shared" si="20"/>
        <v>63.151205402991238</v>
      </c>
      <c r="H189" s="379">
        <f t="shared" si="21"/>
        <v>54.186136667127307</v>
      </c>
      <c r="I189" s="382">
        <f t="shared" si="22"/>
        <v>40.738533563331401</v>
      </c>
      <c r="J189" s="379">
        <f t="shared" si="23"/>
        <v>18.325861723671565</v>
      </c>
      <c r="K189" s="374">
        <f t="shared" si="24"/>
        <v>0</v>
      </c>
      <c r="L189" s="378">
        <f t="shared" si="25"/>
        <v>23.955294276011276</v>
      </c>
      <c r="M189" s="114">
        <f>L189*D189*'B) D RI'!S191</f>
        <v>3968865.2450609962</v>
      </c>
    </row>
    <row r="190" spans="1:13" x14ac:dyDescent="0.25">
      <c r="A190" s="298">
        <f>'A) Base RI'!A192</f>
        <v>5713</v>
      </c>
      <c r="B190" s="32" t="str">
        <f>'A) Base RI'!B192</f>
        <v>Crans-près-Céligny</v>
      </c>
      <c r="C190" s="296">
        <f>'B) D RI'!U192</f>
        <v>273158.77225218777</v>
      </c>
      <c r="D190" s="32">
        <f>'B) D RI'!AA192</f>
        <v>2193</v>
      </c>
      <c r="E190" s="202">
        <f t="shared" si="18"/>
        <v>124.55940367176825</v>
      </c>
      <c r="F190" s="371">
        <f t="shared" si="19"/>
        <v>2.7787718609112231</v>
      </c>
      <c r="G190" s="382">
        <f t="shared" si="20"/>
        <v>79.734059992448579</v>
      </c>
      <c r="H190" s="379">
        <f t="shared" si="21"/>
        <v>70.768991256584656</v>
      </c>
      <c r="I190" s="382">
        <f t="shared" si="22"/>
        <v>57.321388152788742</v>
      </c>
      <c r="J190" s="379">
        <f t="shared" si="23"/>
        <v>34.908716313128906</v>
      </c>
      <c r="K190" s="374">
        <f t="shared" si="24"/>
        <v>0</v>
      </c>
      <c r="L190" s="378">
        <f t="shared" si="25"/>
        <v>32.24672157073995</v>
      </c>
      <c r="M190" s="114">
        <f>L190*D190*'B) D RI'!S192</f>
        <v>3748004.2014455334</v>
      </c>
    </row>
    <row r="191" spans="1:13" x14ac:dyDescent="0.25">
      <c r="A191" s="298">
        <f>'A) Base RI'!A193</f>
        <v>5714</v>
      </c>
      <c r="B191" s="32" t="str">
        <f>'A) Base RI'!B193</f>
        <v>Crassier</v>
      </c>
      <c r="C191" s="296">
        <f>'B) D RI'!U193</f>
        <v>74464.147646326936</v>
      </c>
      <c r="D191" s="32">
        <f>'B) D RI'!AA193</f>
        <v>1175</v>
      </c>
      <c r="E191" s="202">
        <f t="shared" si="18"/>
        <v>63.373742677725055</v>
      </c>
      <c r="F191" s="371">
        <f t="shared" si="19"/>
        <v>1.4137926778900025</v>
      </c>
      <c r="G191" s="382">
        <f t="shared" si="20"/>
        <v>18.548398998405382</v>
      </c>
      <c r="H191" s="379">
        <f t="shared" si="21"/>
        <v>9.5833302625414518</v>
      </c>
      <c r="I191" s="382">
        <f t="shared" si="22"/>
        <v>0</v>
      </c>
      <c r="J191" s="379">
        <f t="shared" si="23"/>
        <v>0</v>
      </c>
      <c r="K191" s="374">
        <f t="shared" si="24"/>
        <v>0</v>
      </c>
      <c r="L191" s="378">
        <f t="shared" si="25"/>
        <v>4.6680128259352216</v>
      </c>
      <c r="M191" s="114">
        <f>L191*D191*'B) D RI'!S193</f>
        <v>351034.56451032864</v>
      </c>
    </row>
    <row r="192" spans="1:13" x14ac:dyDescent="0.25">
      <c r="A192" s="298">
        <f>'A) Base RI'!A194</f>
        <v>5715</v>
      </c>
      <c r="B192" s="32" t="str">
        <f>'A) Base RI'!B194</f>
        <v>Duillier</v>
      </c>
      <c r="C192" s="296">
        <f>'B) D RI'!U194</f>
        <v>77556.587804651164</v>
      </c>
      <c r="D192" s="32">
        <f>'B) D RI'!AA194</f>
        <v>1085</v>
      </c>
      <c r="E192" s="202">
        <f t="shared" si="18"/>
        <v>71.480726087236093</v>
      </c>
      <c r="F192" s="371">
        <f t="shared" si="19"/>
        <v>1.5946498168225751</v>
      </c>
      <c r="G192" s="382">
        <f t="shared" si="20"/>
        <v>26.65538240791642</v>
      </c>
      <c r="H192" s="379">
        <f t="shared" si="21"/>
        <v>17.69031367205249</v>
      </c>
      <c r="I192" s="382">
        <f t="shared" si="22"/>
        <v>4.2427105682565838</v>
      </c>
      <c r="J192" s="379">
        <f t="shared" si="23"/>
        <v>0</v>
      </c>
      <c r="K192" s="374">
        <f t="shared" si="24"/>
        <v>0</v>
      </c>
      <c r="L192" s="378">
        <f t="shared" si="25"/>
        <v>7.5243789056141912</v>
      </c>
      <c r="M192" s="114">
        <f>L192*D192*'B) D RI'!S194</f>
        <v>538820.7734310322</v>
      </c>
    </row>
    <row r="193" spans="1:13" x14ac:dyDescent="0.25">
      <c r="A193" s="298">
        <f>'A) Base RI'!A195</f>
        <v>5716</v>
      </c>
      <c r="B193" s="32" t="str">
        <f>'A) Base RI'!B195</f>
        <v>Eysins</v>
      </c>
      <c r="C193" s="296">
        <f>'B) D RI'!U195</f>
        <v>177981.86327972834</v>
      </c>
      <c r="D193" s="32">
        <f>'B) D RI'!AA195</f>
        <v>1618</v>
      </c>
      <c r="E193" s="202">
        <f t="shared" si="18"/>
        <v>110.00115159439329</v>
      </c>
      <c r="F193" s="371">
        <f t="shared" si="19"/>
        <v>2.4539946058493403</v>
      </c>
      <c r="G193" s="382">
        <f t="shared" si="20"/>
        <v>65.175807915073619</v>
      </c>
      <c r="H193" s="379">
        <f t="shared" si="21"/>
        <v>56.210739179209689</v>
      </c>
      <c r="I193" s="382">
        <f t="shared" si="22"/>
        <v>42.763136075413783</v>
      </c>
      <c r="J193" s="379">
        <f t="shared" si="23"/>
        <v>20.350464235753947</v>
      </c>
      <c r="K193" s="374">
        <f t="shared" si="24"/>
        <v>0</v>
      </c>
      <c r="L193" s="378">
        <f t="shared" si="25"/>
        <v>24.967595532052467</v>
      </c>
      <c r="M193" s="114">
        <f>L193*D193*'B) D RI'!S195</f>
        <v>2464251.7438225145</v>
      </c>
    </row>
    <row r="194" spans="1:13" x14ac:dyDescent="0.25">
      <c r="A194" s="298">
        <f>'A) Base RI'!A196</f>
        <v>5717</v>
      </c>
      <c r="B194" s="32" t="str">
        <f>'A) Base RI'!B196</f>
        <v>Founex</v>
      </c>
      <c r="C194" s="296">
        <f>'B) D RI'!U196</f>
        <v>372726.48546710185</v>
      </c>
      <c r="D194" s="32">
        <f>'B) D RI'!AA196</f>
        <v>3790</v>
      </c>
      <c r="E194" s="202">
        <f t="shared" si="18"/>
        <v>98.344719120607351</v>
      </c>
      <c r="F194" s="371">
        <f t="shared" si="19"/>
        <v>2.1939534881018443</v>
      </c>
      <c r="G194" s="382">
        <f t="shared" si="20"/>
        <v>53.519375441287679</v>
      </c>
      <c r="H194" s="379">
        <f t="shared" si="21"/>
        <v>44.554306705423748</v>
      </c>
      <c r="I194" s="382">
        <f t="shared" si="22"/>
        <v>31.106703601627842</v>
      </c>
      <c r="J194" s="379">
        <f t="shared" si="23"/>
        <v>8.6940317619680059</v>
      </c>
      <c r="K194" s="374">
        <f t="shared" si="24"/>
        <v>0</v>
      </c>
      <c r="L194" s="378">
        <f t="shared" si="25"/>
        <v>19.139379295159497</v>
      </c>
      <c r="M194" s="114">
        <f>L194*D194*'B) D RI'!S196</f>
        <v>4134680.109133306</v>
      </c>
    </row>
    <row r="195" spans="1:13" x14ac:dyDescent="0.25">
      <c r="A195" s="298">
        <f>'A) Base RI'!A197</f>
        <v>5718</v>
      </c>
      <c r="B195" s="32" t="str">
        <f>'A) Base RI'!B197</f>
        <v>Genolier</v>
      </c>
      <c r="C195" s="296">
        <f>'B) D RI'!U197</f>
        <v>170666.41821719555</v>
      </c>
      <c r="D195" s="32">
        <f>'B) D RI'!AA197</f>
        <v>1961</v>
      </c>
      <c r="E195" s="202">
        <f t="shared" si="18"/>
        <v>87.030299957774375</v>
      </c>
      <c r="F195" s="371">
        <f t="shared" si="19"/>
        <v>1.9415422797511335</v>
      </c>
      <c r="G195" s="382">
        <f t="shared" si="20"/>
        <v>42.204956278454702</v>
      </c>
      <c r="H195" s="379">
        <f t="shared" si="21"/>
        <v>33.239887542590772</v>
      </c>
      <c r="I195" s="382">
        <f t="shared" si="22"/>
        <v>19.792284438794866</v>
      </c>
      <c r="J195" s="379">
        <f t="shared" si="23"/>
        <v>0</v>
      </c>
      <c r="K195" s="374">
        <f t="shared" si="24"/>
        <v>0</v>
      </c>
      <c r="L195" s="378">
        <f t="shared" si="25"/>
        <v>13.744208453829504</v>
      </c>
      <c r="M195" s="114">
        <f>L195*D195*'B) D RI'!S197</f>
        <v>1482381.602787781</v>
      </c>
    </row>
    <row r="196" spans="1:13" x14ac:dyDescent="0.25">
      <c r="A196" s="298">
        <f>'A) Base RI'!A198</f>
        <v>5719</v>
      </c>
      <c r="B196" s="32" t="str">
        <f>'A) Base RI'!B198</f>
        <v>Gingins</v>
      </c>
      <c r="C196" s="296">
        <f>'B) D RI'!U198</f>
        <v>110505.6531809626</v>
      </c>
      <c r="D196" s="32">
        <f>'B) D RI'!AA198</f>
        <v>1226</v>
      </c>
      <c r="E196" s="202">
        <f t="shared" si="18"/>
        <v>90.135116787082055</v>
      </c>
      <c r="F196" s="371">
        <f t="shared" si="19"/>
        <v>2.0108070432634788</v>
      </c>
      <c r="G196" s="382">
        <f t="shared" si="20"/>
        <v>45.309773107762382</v>
      </c>
      <c r="H196" s="379">
        <f t="shared" si="21"/>
        <v>36.344704371898452</v>
      </c>
      <c r="I196" s="382">
        <f t="shared" si="22"/>
        <v>22.897101268102546</v>
      </c>
      <c r="J196" s="379">
        <f t="shared" si="23"/>
        <v>0.48442942844270931</v>
      </c>
      <c r="K196" s="374">
        <f t="shared" si="24"/>
        <v>0</v>
      </c>
      <c r="L196" s="378">
        <f t="shared" si="25"/>
        <v>15.034578128396848</v>
      </c>
      <c r="M196" s="114">
        <f>L196*D196*'B) D RI'!S198</f>
        <v>1050646.3887686287</v>
      </c>
    </row>
    <row r="197" spans="1:13" x14ac:dyDescent="0.25">
      <c r="A197" s="298">
        <f>'A) Base RI'!A199</f>
        <v>5720</v>
      </c>
      <c r="B197" s="32" t="str">
        <f>'A) Base RI'!B199</f>
        <v>Givrins</v>
      </c>
      <c r="C197" s="296">
        <f>'B) D RI'!U199</f>
        <v>66980.280368955675</v>
      </c>
      <c r="D197" s="32">
        <f>'B) D RI'!AA199</f>
        <v>1033</v>
      </c>
      <c r="E197" s="202">
        <f t="shared" si="18"/>
        <v>64.840542467527271</v>
      </c>
      <c r="F197" s="371">
        <f t="shared" si="19"/>
        <v>1.4465152332438598</v>
      </c>
      <c r="G197" s="382">
        <f t="shared" si="20"/>
        <v>20.015198788207599</v>
      </c>
      <c r="H197" s="379">
        <f t="shared" si="21"/>
        <v>11.050130052343668</v>
      </c>
      <c r="I197" s="382">
        <f t="shared" si="22"/>
        <v>0</v>
      </c>
      <c r="J197" s="379">
        <f t="shared" si="23"/>
        <v>0</v>
      </c>
      <c r="K197" s="374">
        <f t="shared" si="24"/>
        <v>0</v>
      </c>
      <c r="L197" s="378">
        <f t="shared" si="25"/>
        <v>5.1080527628758858</v>
      </c>
      <c r="M197" s="114">
        <f>L197*D197*'B) D RI'!S199</f>
        <v>353533.43977140292</v>
      </c>
    </row>
    <row r="198" spans="1:13" x14ac:dyDescent="0.25">
      <c r="A198" s="298">
        <f>'A) Base RI'!A200</f>
        <v>5721</v>
      </c>
      <c r="B198" s="32" t="str">
        <f>'A) Base RI'!B200</f>
        <v>Gland</v>
      </c>
      <c r="C198" s="296">
        <f>'B) D RI'!U200</f>
        <v>636120.41665849148</v>
      </c>
      <c r="D198" s="32">
        <f>'B) D RI'!AA200</f>
        <v>13101</v>
      </c>
      <c r="E198" s="202">
        <f t="shared" ref="E198:E261" si="26">C198/D198</f>
        <v>48.555103935462292</v>
      </c>
      <c r="F198" s="371">
        <f t="shared" ref="F198:F261" si="27">E198/$E$314</f>
        <v>1.0832065066321701</v>
      </c>
      <c r="G198" s="382">
        <f t="shared" ref="G198:G261" si="28">IF(E198-$G$2&lt;0,0,E198-$G$2)</f>
        <v>3.7297602561426189</v>
      </c>
      <c r="H198" s="379">
        <f t="shared" ref="H198:H261" si="29">IF(E198-$H$2&lt;0,0,E198-$H$2)</f>
        <v>0</v>
      </c>
      <c r="I198" s="382">
        <f t="shared" ref="I198:I261" si="30">IF(E198-$I$2&lt;0,0,E198-$I$2)</f>
        <v>0</v>
      </c>
      <c r="J198" s="379">
        <f t="shared" ref="J198:J261" si="31">IF(E198-$J$2&lt;0,0,E198-$J$2)</f>
        <v>0</v>
      </c>
      <c r="K198" s="374">
        <f t="shared" ref="K198:K261" si="32">IF(E198-$K$2&lt;0,0,E198-$K$2)</f>
        <v>0</v>
      </c>
      <c r="L198" s="378">
        <f t="shared" ref="L198:L261" si="33">(G198-H198)*$G$3+(H198-I198)*$H$3+(I198-J198)*$I$3+(J198-K198)*$J$3+(K198*$K$3)</f>
        <v>0.74595205122852382</v>
      </c>
      <c r="M198" s="114">
        <f>L198*D198*'B) D RI'!S200</f>
        <v>610794.86394655565</v>
      </c>
    </row>
    <row r="199" spans="1:13" x14ac:dyDescent="0.25">
      <c r="A199" s="298">
        <f>'A) Base RI'!A201</f>
        <v>5722</v>
      </c>
      <c r="B199" s="32" t="str">
        <f>'A) Base RI'!B201</f>
        <v>Grens</v>
      </c>
      <c r="C199" s="296">
        <f>'B) D RI'!U201</f>
        <v>22061.884042906917</v>
      </c>
      <c r="D199" s="32">
        <f>'B) D RI'!AA201</f>
        <v>391</v>
      </c>
      <c r="E199" s="202">
        <f t="shared" si="26"/>
        <v>56.424255864212064</v>
      </c>
      <c r="F199" s="371">
        <f t="shared" si="27"/>
        <v>1.2587579086480845</v>
      </c>
      <c r="G199" s="382">
        <f t="shared" si="28"/>
        <v>11.598912184892392</v>
      </c>
      <c r="H199" s="379">
        <f t="shared" si="29"/>
        <v>2.6338434490284612</v>
      </c>
      <c r="I199" s="382">
        <f t="shared" si="30"/>
        <v>0</v>
      </c>
      <c r="J199" s="379">
        <f t="shared" si="31"/>
        <v>0</v>
      </c>
      <c r="K199" s="374">
        <f t="shared" si="32"/>
        <v>0</v>
      </c>
      <c r="L199" s="378">
        <f t="shared" si="33"/>
        <v>2.5831667818813244</v>
      </c>
      <c r="M199" s="114">
        <f>L199*D199*'B) D RI'!S201</f>
        <v>62621.129126367072</v>
      </c>
    </row>
    <row r="200" spans="1:13" x14ac:dyDescent="0.25">
      <c r="A200" s="298">
        <f>'A) Base RI'!A202</f>
        <v>5723</v>
      </c>
      <c r="B200" s="32" t="str">
        <f>'A) Base RI'!B202</f>
        <v>Mies</v>
      </c>
      <c r="C200" s="296">
        <f>'B) D RI'!U202</f>
        <v>508753.19533233909</v>
      </c>
      <c r="D200" s="32">
        <f>'B) D RI'!AA202</f>
        <v>2075</v>
      </c>
      <c r="E200" s="202">
        <f t="shared" si="26"/>
        <v>245.18226281076582</v>
      </c>
      <c r="F200" s="371">
        <f t="shared" si="27"/>
        <v>5.4697241043994831</v>
      </c>
      <c r="G200" s="382">
        <f t="shared" si="28"/>
        <v>200.35691913144615</v>
      </c>
      <c r="H200" s="379">
        <f t="shared" si="29"/>
        <v>191.39185039558222</v>
      </c>
      <c r="I200" s="382">
        <f t="shared" si="30"/>
        <v>177.94424729178633</v>
      </c>
      <c r="J200" s="379">
        <f t="shared" si="31"/>
        <v>155.53157545212648</v>
      </c>
      <c r="K200" s="374">
        <f t="shared" si="32"/>
        <v>110.7062317728068</v>
      </c>
      <c r="L200" s="378">
        <f t="shared" si="33"/>
        <v>103.62877431751942</v>
      </c>
      <c r="M200" s="114">
        <f>L200*D200*'B) D RI'!S202</f>
        <v>10536455.628733786</v>
      </c>
    </row>
    <row r="201" spans="1:13" x14ac:dyDescent="0.25">
      <c r="A201" s="298">
        <f>'A) Base RI'!A203</f>
        <v>5724</v>
      </c>
      <c r="B201" s="32" t="str">
        <f>'A) Base RI'!B203</f>
        <v>Nyon</v>
      </c>
      <c r="C201" s="296">
        <f>'B) D RI'!U203</f>
        <v>1284648.9485752215</v>
      </c>
      <c r="D201" s="32">
        <f>'B) D RI'!AA203</f>
        <v>21239</v>
      </c>
      <c r="E201" s="202">
        <f t="shared" si="26"/>
        <v>60.485378246396792</v>
      </c>
      <c r="F201" s="371">
        <f t="shared" si="27"/>
        <v>1.3493567094344874</v>
      </c>
      <c r="G201" s="382">
        <f t="shared" si="28"/>
        <v>15.660034567077119</v>
      </c>
      <c r="H201" s="379">
        <f t="shared" si="29"/>
        <v>6.6949658312131888</v>
      </c>
      <c r="I201" s="382">
        <f t="shared" si="30"/>
        <v>0</v>
      </c>
      <c r="J201" s="379">
        <f t="shared" si="31"/>
        <v>0</v>
      </c>
      <c r="K201" s="374">
        <f t="shared" si="32"/>
        <v>0</v>
      </c>
      <c r="L201" s="378">
        <f t="shared" si="33"/>
        <v>3.8015034965367427</v>
      </c>
      <c r="M201" s="114">
        <f>L201*D201*'B) D RI'!S203</f>
        <v>4925148.0985395759</v>
      </c>
    </row>
    <row r="202" spans="1:13" x14ac:dyDescent="0.25">
      <c r="A202" s="298">
        <f>'A) Base RI'!A204</f>
        <v>5725</v>
      </c>
      <c r="B202" s="32" t="str">
        <f>'A) Base RI'!B204</f>
        <v>Prangins</v>
      </c>
      <c r="C202" s="296">
        <f>'B) D RI'!U204</f>
        <v>331424.63115044968</v>
      </c>
      <c r="D202" s="32">
        <f>'B) D RI'!AA204</f>
        <v>4040</v>
      </c>
      <c r="E202" s="202">
        <f t="shared" si="26"/>
        <v>82.03579978971527</v>
      </c>
      <c r="F202" s="371">
        <f t="shared" si="27"/>
        <v>1.8301209328499308</v>
      </c>
      <c r="G202" s="382">
        <f t="shared" si="28"/>
        <v>37.210456110395597</v>
      </c>
      <c r="H202" s="379">
        <f t="shared" si="29"/>
        <v>28.245387374531667</v>
      </c>
      <c r="I202" s="382">
        <f t="shared" si="30"/>
        <v>14.797784270735761</v>
      </c>
      <c r="J202" s="379">
        <f t="shared" si="31"/>
        <v>0</v>
      </c>
      <c r="K202" s="374">
        <f t="shared" si="32"/>
        <v>0</v>
      </c>
      <c r="L202" s="378">
        <f t="shared" si="33"/>
        <v>11.746408386605861</v>
      </c>
      <c r="M202" s="114">
        <f>L202*D202*'B) D RI'!S204</f>
        <v>2657507.4333857098</v>
      </c>
    </row>
    <row r="203" spans="1:13" x14ac:dyDescent="0.25">
      <c r="A203" s="298">
        <f>'A) Base RI'!A205</f>
        <v>5726</v>
      </c>
      <c r="B203" s="32" t="str">
        <f>'A) Base RI'!B205</f>
        <v>La Rippe</v>
      </c>
      <c r="C203" s="296">
        <f>'B) D RI'!U205</f>
        <v>59775.654047436234</v>
      </c>
      <c r="D203" s="32">
        <f>'B) D RI'!AA205</f>
        <v>1161</v>
      </c>
      <c r="E203" s="202">
        <f t="shared" si="26"/>
        <v>51.486351462046713</v>
      </c>
      <c r="F203" s="371">
        <f t="shared" si="27"/>
        <v>1.1485991458399039</v>
      </c>
      <c r="G203" s="382">
        <f t="shared" si="28"/>
        <v>6.6610077827270402</v>
      </c>
      <c r="H203" s="379">
        <f t="shared" si="29"/>
        <v>0</v>
      </c>
      <c r="I203" s="382">
        <f t="shared" si="30"/>
        <v>0</v>
      </c>
      <c r="J203" s="379">
        <f t="shared" si="31"/>
        <v>0</v>
      </c>
      <c r="K203" s="374">
        <f t="shared" si="32"/>
        <v>0</v>
      </c>
      <c r="L203" s="378">
        <f t="shared" si="33"/>
        <v>1.3322015565454082</v>
      </c>
      <c r="M203" s="114">
        <f>L203*D203*'B) D RI'!S205</f>
        <v>100534.59046469923</v>
      </c>
    </row>
    <row r="204" spans="1:13" x14ac:dyDescent="0.25">
      <c r="A204" s="298">
        <f>'A) Base RI'!A206</f>
        <v>5727</v>
      </c>
      <c r="B204" s="32" t="str">
        <f>'A) Base RI'!B206</f>
        <v>Saint-Cergue</v>
      </c>
      <c r="C204" s="296">
        <f>'B) D RI'!U206</f>
        <v>84837.616861897855</v>
      </c>
      <c r="D204" s="32">
        <f>'B) D RI'!AA206</f>
        <v>2583</v>
      </c>
      <c r="E204" s="202">
        <f t="shared" si="26"/>
        <v>32.844605831164479</v>
      </c>
      <c r="F204" s="371">
        <f t="shared" si="27"/>
        <v>0.73272401581869973</v>
      </c>
      <c r="G204" s="382">
        <f t="shared" si="28"/>
        <v>0</v>
      </c>
      <c r="H204" s="379">
        <f t="shared" si="29"/>
        <v>0</v>
      </c>
      <c r="I204" s="382">
        <f t="shared" si="30"/>
        <v>0</v>
      </c>
      <c r="J204" s="379">
        <f t="shared" si="31"/>
        <v>0</v>
      </c>
      <c r="K204" s="374">
        <f t="shared" si="32"/>
        <v>0</v>
      </c>
      <c r="L204" s="378">
        <f t="shared" si="33"/>
        <v>0</v>
      </c>
      <c r="M204" s="114">
        <f>L204*D204*'B) D RI'!S206</f>
        <v>0</v>
      </c>
    </row>
    <row r="205" spans="1:13" x14ac:dyDescent="0.25">
      <c r="A205" s="298">
        <f>'A) Base RI'!A207</f>
        <v>5728</v>
      </c>
      <c r="B205" s="32" t="str">
        <f>'A) Base RI'!B207</f>
        <v>Signy-Avenex</v>
      </c>
      <c r="C205" s="296">
        <f>'B) D RI'!U207</f>
        <v>43642.129855163919</v>
      </c>
      <c r="D205" s="32">
        <f>'B) D RI'!AA207</f>
        <v>592</v>
      </c>
      <c r="E205" s="202">
        <f t="shared" si="26"/>
        <v>73.719813944533641</v>
      </c>
      <c r="F205" s="371">
        <f t="shared" si="27"/>
        <v>1.6446011986416633</v>
      </c>
      <c r="G205" s="382">
        <f t="shared" si="28"/>
        <v>28.894470265213968</v>
      </c>
      <c r="H205" s="379">
        <f t="shared" si="29"/>
        <v>19.929401529350038</v>
      </c>
      <c r="I205" s="382">
        <f t="shared" si="30"/>
        <v>6.4817984255541319</v>
      </c>
      <c r="J205" s="379">
        <f t="shared" si="31"/>
        <v>0</v>
      </c>
      <c r="K205" s="374">
        <f t="shared" si="32"/>
        <v>0</v>
      </c>
      <c r="L205" s="378">
        <f t="shared" si="33"/>
        <v>8.4200140485332113</v>
      </c>
      <c r="M205" s="114">
        <f>L205*D205*'B) D RI'!S207</f>
        <v>289109.60237043636</v>
      </c>
    </row>
    <row r="206" spans="1:13" x14ac:dyDescent="0.25">
      <c r="A206" s="298">
        <f>'A) Base RI'!A208</f>
        <v>5729</v>
      </c>
      <c r="B206" s="32" t="str">
        <f>'A) Base RI'!B208</f>
        <v>Tannay</v>
      </c>
      <c r="C206" s="296">
        <f>'B) D RI'!U208</f>
        <v>140788.91539066879</v>
      </c>
      <c r="D206" s="32">
        <f>'B) D RI'!AA208</f>
        <v>1593</v>
      </c>
      <c r="E206" s="202">
        <f t="shared" si="26"/>
        <v>88.379733453024969</v>
      </c>
      <c r="F206" s="371">
        <f t="shared" si="27"/>
        <v>1.9716465329366624</v>
      </c>
      <c r="G206" s="382">
        <f t="shared" si="28"/>
        <v>43.554389773705296</v>
      </c>
      <c r="H206" s="379">
        <f t="shared" si="29"/>
        <v>34.589321037841366</v>
      </c>
      <c r="I206" s="382">
        <f t="shared" si="30"/>
        <v>21.14171793404546</v>
      </c>
      <c r="J206" s="379">
        <f t="shared" si="31"/>
        <v>0</v>
      </c>
      <c r="K206" s="374">
        <f t="shared" si="32"/>
        <v>0</v>
      </c>
      <c r="L206" s="378">
        <f t="shared" si="33"/>
        <v>14.283981851929742</v>
      </c>
      <c r="M206" s="114">
        <f>L206*D206*'B) D RI'!S208</f>
        <v>1388017.3684975689</v>
      </c>
    </row>
    <row r="207" spans="1:13" x14ac:dyDescent="0.25">
      <c r="A207" s="298">
        <f>'A) Base RI'!A209</f>
        <v>5730</v>
      </c>
      <c r="B207" s="32" t="str">
        <f>'A) Base RI'!B209</f>
        <v>Trélex</v>
      </c>
      <c r="C207" s="296">
        <f>'B) D RI'!U209</f>
        <v>159385.15609090315</v>
      </c>
      <c r="D207" s="32">
        <f>'B) D RI'!AA209</f>
        <v>1408</v>
      </c>
      <c r="E207" s="202">
        <f t="shared" si="26"/>
        <v>113.19968472365281</v>
      </c>
      <c r="F207" s="371">
        <f t="shared" si="27"/>
        <v>2.5253500683337289</v>
      </c>
      <c r="G207" s="382">
        <f t="shared" si="28"/>
        <v>68.374341044333136</v>
      </c>
      <c r="H207" s="379">
        <f t="shared" si="29"/>
        <v>59.409272308469205</v>
      </c>
      <c r="I207" s="382">
        <f t="shared" si="30"/>
        <v>45.961669204673299</v>
      </c>
      <c r="J207" s="379">
        <f t="shared" si="31"/>
        <v>23.548997365013463</v>
      </c>
      <c r="K207" s="374">
        <f t="shared" si="32"/>
        <v>0</v>
      </c>
      <c r="L207" s="378">
        <f t="shared" si="33"/>
        <v>26.566862096682225</v>
      </c>
      <c r="M207" s="114">
        <f>L207*D207*'B) D RI'!S209</f>
        <v>2132150.0844313288</v>
      </c>
    </row>
    <row r="208" spans="1:13" x14ac:dyDescent="0.25">
      <c r="A208" s="298">
        <f>'A) Base RI'!A210</f>
        <v>5731</v>
      </c>
      <c r="B208" s="32" t="str">
        <f>'A) Base RI'!B210</f>
        <v>Le Vaud</v>
      </c>
      <c r="C208" s="296">
        <f>'B) D RI'!U210</f>
        <v>52787.084696622871</v>
      </c>
      <c r="D208" s="32">
        <f>'B) D RI'!AA210</f>
        <v>1319</v>
      </c>
      <c r="E208" s="202">
        <f t="shared" si="26"/>
        <v>40.020534265824772</v>
      </c>
      <c r="F208" s="371">
        <f t="shared" si="27"/>
        <v>0.89281042778236153</v>
      </c>
      <c r="G208" s="382">
        <f t="shared" si="28"/>
        <v>0</v>
      </c>
      <c r="H208" s="379">
        <f t="shared" si="29"/>
        <v>0</v>
      </c>
      <c r="I208" s="382">
        <f t="shared" si="30"/>
        <v>0</v>
      </c>
      <c r="J208" s="379">
        <f t="shared" si="31"/>
        <v>0</v>
      </c>
      <c r="K208" s="374">
        <f t="shared" si="32"/>
        <v>0</v>
      </c>
      <c r="L208" s="378">
        <f t="shared" si="33"/>
        <v>0</v>
      </c>
      <c r="M208" s="114">
        <f>L208*D208*'B) D RI'!S210</f>
        <v>0</v>
      </c>
    </row>
    <row r="209" spans="1:13" x14ac:dyDescent="0.25">
      <c r="A209" s="298">
        <f>'A) Base RI'!A211</f>
        <v>5732</v>
      </c>
      <c r="B209" s="32" t="str">
        <f>'A) Base RI'!B211</f>
        <v>Vich</v>
      </c>
      <c r="C209" s="296">
        <f>'B) D RI'!U211</f>
        <v>63679.159894206758</v>
      </c>
      <c r="D209" s="32">
        <f>'B) D RI'!AA211</f>
        <v>1039</v>
      </c>
      <c r="E209" s="202">
        <f t="shared" si="26"/>
        <v>61.288893064684082</v>
      </c>
      <c r="F209" s="371">
        <f t="shared" si="27"/>
        <v>1.3672821674975786</v>
      </c>
      <c r="G209" s="382">
        <f t="shared" si="28"/>
        <v>16.463549385364409</v>
      </c>
      <c r="H209" s="379">
        <f t="shared" si="29"/>
        <v>7.498480649500479</v>
      </c>
      <c r="I209" s="382">
        <f t="shared" si="30"/>
        <v>0</v>
      </c>
      <c r="J209" s="379">
        <f t="shared" si="31"/>
        <v>0</v>
      </c>
      <c r="K209" s="374">
        <f t="shared" si="32"/>
        <v>0</v>
      </c>
      <c r="L209" s="378">
        <f t="shared" si="33"/>
        <v>4.0425579420229294</v>
      </c>
      <c r="M209" s="114">
        <f>L209*D209*'B) D RI'!S211</f>
        <v>281414.58601804217</v>
      </c>
    </row>
    <row r="210" spans="1:13" x14ac:dyDescent="0.25">
      <c r="A210" s="298">
        <f>'A) Base RI'!A212</f>
        <v>5741</v>
      </c>
      <c r="B210" s="32" t="str">
        <f>'A) Base RI'!B212</f>
        <v>L'Abergement</v>
      </c>
      <c r="C210" s="296">
        <f>'B) D RI'!U212</f>
        <v>7417.8594757266228</v>
      </c>
      <c r="D210" s="32">
        <f>'B) D RI'!AA212</f>
        <v>248</v>
      </c>
      <c r="E210" s="202">
        <f t="shared" si="26"/>
        <v>29.910723692446059</v>
      </c>
      <c r="F210" s="371">
        <f t="shared" si="27"/>
        <v>0.66727260155387214</v>
      </c>
      <c r="G210" s="382">
        <f t="shared" si="28"/>
        <v>0</v>
      </c>
      <c r="H210" s="379">
        <f t="shared" si="29"/>
        <v>0</v>
      </c>
      <c r="I210" s="382">
        <f t="shared" si="30"/>
        <v>0</v>
      </c>
      <c r="J210" s="379">
        <f t="shared" si="31"/>
        <v>0</v>
      </c>
      <c r="K210" s="374">
        <f t="shared" si="32"/>
        <v>0</v>
      </c>
      <c r="L210" s="378">
        <f t="shared" si="33"/>
        <v>0</v>
      </c>
      <c r="M210" s="114">
        <f>L210*D210*'B) D RI'!S212</f>
        <v>0</v>
      </c>
    </row>
    <row r="211" spans="1:13" x14ac:dyDescent="0.25">
      <c r="A211" s="298">
        <f>'A) Base RI'!A213</f>
        <v>5742</v>
      </c>
      <c r="B211" s="32" t="str">
        <f>'A) Base RI'!B213</f>
        <v>Agiez</v>
      </c>
      <c r="C211" s="296">
        <f>'B) D RI'!U213</f>
        <v>9044.2293566491917</v>
      </c>
      <c r="D211" s="32">
        <f>'B) D RI'!AA213</f>
        <v>327</v>
      </c>
      <c r="E211" s="202">
        <f t="shared" si="26"/>
        <v>27.658193751220768</v>
      </c>
      <c r="F211" s="371">
        <f t="shared" si="27"/>
        <v>0.61702134286102461</v>
      </c>
      <c r="G211" s="382">
        <f t="shared" si="28"/>
        <v>0</v>
      </c>
      <c r="H211" s="379">
        <f t="shared" si="29"/>
        <v>0</v>
      </c>
      <c r="I211" s="382">
        <f t="shared" si="30"/>
        <v>0</v>
      </c>
      <c r="J211" s="379">
        <f t="shared" si="31"/>
        <v>0</v>
      </c>
      <c r="K211" s="374">
        <f t="shared" si="32"/>
        <v>0</v>
      </c>
      <c r="L211" s="378">
        <f t="shared" si="33"/>
        <v>0</v>
      </c>
      <c r="M211" s="114">
        <f>L211*D211*'B) D RI'!S213</f>
        <v>0</v>
      </c>
    </row>
    <row r="212" spans="1:13" x14ac:dyDescent="0.25">
      <c r="A212" s="298">
        <f>'A) Base RI'!A214</f>
        <v>5743</v>
      </c>
      <c r="B212" s="32" t="str">
        <f>'A) Base RI'!B214</f>
        <v>Arnex-sur-Orbe</v>
      </c>
      <c r="C212" s="296">
        <f>'B) D RI'!U214</f>
        <v>18380.074354130466</v>
      </c>
      <c r="D212" s="32">
        <f>'B) D RI'!AA214</f>
        <v>631</v>
      </c>
      <c r="E212" s="202">
        <f t="shared" si="26"/>
        <v>29.12848550575351</v>
      </c>
      <c r="F212" s="371">
        <f t="shared" si="27"/>
        <v>0.64982179978671395</v>
      </c>
      <c r="G212" s="382">
        <f t="shared" si="28"/>
        <v>0</v>
      </c>
      <c r="H212" s="379">
        <f t="shared" si="29"/>
        <v>0</v>
      </c>
      <c r="I212" s="382">
        <f t="shared" si="30"/>
        <v>0</v>
      </c>
      <c r="J212" s="379">
        <f t="shared" si="31"/>
        <v>0</v>
      </c>
      <c r="K212" s="374">
        <f t="shared" si="32"/>
        <v>0</v>
      </c>
      <c r="L212" s="378">
        <f t="shared" si="33"/>
        <v>0</v>
      </c>
      <c r="M212" s="114">
        <f>L212*D212*'B) D RI'!S214</f>
        <v>0</v>
      </c>
    </row>
    <row r="213" spans="1:13" x14ac:dyDescent="0.25">
      <c r="A213" s="298">
        <f>'A) Base RI'!A215</f>
        <v>5744</v>
      </c>
      <c r="B213" s="32" t="str">
        <f>'A) Base RI'!B215</f>
        <v>Ballaigues</v>
      </c>
      <c r="C213" s="296">
        <f>'B) D RI'!U215</f>
        <v>36664.575000922312</v>
      </c>
      <c r="D213" s="32">
        <f>'B) D RI'!AA215</f>
        <v>1075</v>
      </c>
      <c r="E213" s="202">
        <f t="shared" si="26"/>
        <v>34.106581396206799</v>
      </c>
      <c r="F213" s="371">
        <f t="shared" si="27"/>
        <v>0.76087718680318761</v>
      </c>
      <c r="G213" s="382">
        <f t="shared" si="28"/>
        <v>0</v>
      </c>
      <c r="H213" s="379">
        <f t="shared" si="29"/>
        <v>0</v>
      </c>
      <c r="I213" s="382">
        <f t="shared" si="30"/>
        <v>0</v>
      </c>
      <c r="J213" s="379">
        <f t="shared" si="31"/>
        <v>0</v>
      </c>
      <c r="K213" s="374">
        <f t="shared" si="32"/>
        <v>0</v>
      </c>
      <c r="L213" s="378">
        <f t="shared" si="33"/>
        <v>0</v>
      </c>
      <c r="M213" s="114">
        <f>L213*D213*'B) D RI'!S215</f>
        <v>0</v>
      </c>
    </row>
    <row r="214" spans="1:13" x14ac:dyDescent="0.25">
      <c r="A214" s="298">
        <f>'A) Base RI'!A216</f>
        <v>5745</v>
      </c>
      <c r="B214" s="32" t="str">
        <f>'A) Base RI'!B216</f>
        <v>Baulmes</v>
      </c>
      <c r="C214" s="296">
        <f>'B) D RI'!U216</f>
        <v>26462.919353923764</v>
      </c>
      <c r="D214" s="32">
        <f>'B) D RI'!AA216</f>
        <v>1027</v>
      </c>
      <c r="E214" s="202">
        <f t="shared" si="26"/>
        <v>25.767204823684288</v>
      </c>
      <c r="F214" s="371">
        <f t="shared" si="27"/>
        <v>0.57483563334221743</v>
      </c>
      <c r="G214" s="382">
        <f t="shared" si="28"/>
        <v>0</v>
      </c>
      <c r="H214" s="379">
        <f t="shared" si="29"/>
        <v>0</v>
      </c>
      <c r="I214" s="382">
        <f t="shared" si="30"/>
        <v>0</v>
      </c>
      <c r="J214" s="379">
        <f t="shared" si="31"/>
        <v>0</v>
      </c>
      <c r="K214" s="374">
        <f t="shared" si="32"/>
        <v>0</v>
      </c>
      <c r="L214" s="378">
        <f t="shared" si="33"/>
        <v>0</v>
      </c>
      <c r="M214" s="114">
        <f>L214*D214*'B) D RI'!S216</f>
        <v>0</v>
      </c>
    </row>
    <row r="215" spans="1:13" x14ac:dyDescent="0.25">
      <c r="A215" s="298">
        <f>'A) Base RI'!A217</f>
        <v>5746</v>
      </c>
      <c r="B215" s="32" t="str">
        <f>'A) Base RI'!B217</f>
        <v>Bavois</v>
      </c>
      <c r="C215" s="296">
        <f>'B) D RI'!U217</f>
        <v>26553.96285852553</v>
      </c>
      <c r="D215" s="32">
        <f>'B) D RI'!AA217</f>
        <v>942</v>
      </c>
      <c r="E215" s="202">
        <f t="shared" si="26"/>
        <v>28.188920231980394</v>
      </c>
      <c r="F215" s="371">
        <f t="shared" si="27"/>
        <v>0.62886121819040175</v>
      </c>
      <c r="G215" s="382">
        <f t="shared" si="28"/>
        <v>0</v>
      </c>
      <c r="H215" s="379">
        <f t="shared" si="29"/>
        <v>0</v>
      </c>
      <c r="I215" s="382">
        <f t="shared" si="30"/>
        <v>0</v>
      </c>
      <c r="J215" s="379">
        <f t="shared" si="31"/>
        <v>0</v>
      </c>
      <c r="K215" s="374">
        <f t="shared" si="32"/>
        <v>0</v>
      </c>
      <c r="L215" s="378">
        <f t="shared" si="33"/>
        <v>0</v>
      </c>
      <c r="M215" s="114">
        <f>L215*D215*'B) D RI'!S217</f>
        <v>0</v>
      </c>
    </row>
    <row r="216" spans="1:13" x14ac:dyDescent="0.25">
      <c r="A216" s="298">
        <f>'A) Base RI'!A218</f>
        <v>5747</v>
      </c>
      <c r="B216" s="32" t="str">
        <f>'A) Base RI'!B218</f>
        <v>Bofflens</v>
      </c>
      <c r="C216" s="296">
        <f>'B) D RI'!U218</f>
        <v>4975.9343453180645</v>
      </c>
      <c r="D216" s="32">
        <f>'B) D RI'!AA218</f>
        <v>196</v>
      </c>
      <c r="E216" s="202">
        <f t="shared" si="26"/>
        <v>25.387420129173798</v>
      </c>
      <c r="F216" s="371">
        <f t="shared" si="27"/>
        <v>0.56636308938968316</v>
      </c>
      <c r="G216" s="382">
        <f t="shared" si="28"/>
        <v>0</v>
      </c>
      <c r="H216" s="379">
        <f t="shared" si="29"/>
        <v>0</v>
      </c>
      <c r="I216" s="382">
        <f t="shared" si="30"/>
        <v>0</v>
      </c>
      <c r="J216" s="379">
        <f t="shared" si="31"/>
        <v>0</v>
      </c>
      <c r="K216" s="374">
        <f t="shared" si="32"/>
        <v>0</v>
      </c>
      <c r="L216" s="378">
        <f t="shared" si="33"/>
        <v>0</v>
      </c>
      <c r="M216" s="114">
        <f>L216*D216*'B) D RI'!S218</f>
        <v>0</v>
      </c>
    </row>
    <row r="217" spans="1:13" x14ac:dyDescent="0.25">
      <c r="A217" s="298">
        <f>'A) Base RI'!A219</f>
        <v>5748</v>
      </c>
      <c r="B217" s="32" t="str">
        <f>'A) Base RI'!B219</f>
        <v>Bretonnières</v>
      </c>
      <c r="C217" s="296">
        <f>'B) D RI'!U219</f>
        <v>5547.867770022187</v>
      </c>
      <c r="D217" s="32">
        <f>'B) D RI'!AA219</f>
        <v>265</v>
      </c>
      <c r="E217" s="202">
        <f t="shared" si="26"/>
        <v>20.935350075555423</v>
      </c>
      <c r="F217" s="371">
        <f t="shared" si="27"/>
        <v>0.46704271193829172</v>
      </c>
      <c r="G217" s="382">
        <f t="shared" si="28"/>
        <v>0</v>
      </c>
      <c r="H217" s="379">
        <f t="shared" si="29"/>
        <v>0</v>
      </c>
      <c r="I217" s="382">
        <f t="shared" si="30"/>
        <v>0</v>
      </c>
      <c r="J217" s="379">
        <f t="shared" si="31"/>
        <v>0</v>
      </c>
      <c r="K217" s="374">
        <f t="shared" si="32"/>
        <v>0</v>
      </c>
      <c r="L217" s="378">
        <f t="shared" si="33"/>
        <v>0</v>
      </c>
      <c r="M217" s="114">
        <f>L217*D217*'B) D RI'!S219</f>
        <v>0</v>
      </c>
    </row>
    <row r="218" spans="1:13" x14ac:dyDescent="0.25">
      <c r="A218" s="298">
        <f>'A) Base RI'!A220</f>
        <v>5749</v>
      </c>
      <c r="B218" s="32" t="str">
        <f>'A) Base RI'!B220</f>
        <v>Chavornay</v>
      </c>
      <c r="C218" s="296">
        <f>'B) D RI'!U220</f>
        <v>136712.84503559873</v>
      </c>
      <c r="D218" s="32">
        <f>'B) D RI'!AA220</f>
        <v>4996</v>
      </c>
      <c r="E218" s="202">
        <f t="shared" si="26"/>
        <v>27.36446057558021</v>
      </c>
      <c r="F218" s="371">
        <f t="shared" si="27"/>
        <v>0.61046850574856604</v>
      </c>
      <c r="G218" s="382">
        <f t="shared" si="28"/>
        <v>0</v>
      </c>
      <c r="H218" s="379">
        <f t="shared" si="29"/>
        <v>0</v>
      </c>
      <c r="I218" s="382">
        <f t="shared" si="30"/>
        <v>0</v>
      </c>
      <c r="J218" s="379">
        <f t="shared" si="31"/>
        <v>0</v>
      </c>
      <c r="K218" s="374">
        <f t="shared" si="32"/>
        <v>0</v>
      </c>
      <c r="L218" s="378">
        <f t="shared" si="33"/>
        <v>0</v>
      </c>
      <c r="M218" s="114">
        <f>L218*D218*'B) D RI'!S220</f>
        <v>0</v>
      </c>
    </row>
    <row r="219" spans="1:13" x14ac:dyDescent="0.25">
      <c r="A219" s="298">
        <f>'A) Base RI'!A221</f>
        <v>5750</v>
      </c>
      <c r="B219" s="32" t="str">
        <f>'A) Base RI'!B221</f>
        <v>Les Clées</v>
      </c>
      <c r="C219" s="296">
        <f>'B) D RI'!U221</f>
        <v>5161.3627278037393</v>
      </c>
      <c r="D219" s="32">
        <f>'B) D RI'!AA221</f>
        <v>185</v>
      </c>
      <c r="E219" s="202">
        <f t="shared" si="26"/>
        <v>27.899257988128319</v>
      </c>
      <c r="F219" s="371">
        <f t="shared" si="27"/>
        <v>0.62239919871489435</v>
      </c>
      <c r="G219" s="382">
        <f t="shared" si="28"/>
        <v>0</v>
      </c>
      <c r="H219" s="379">
        <f t="shared" si="29"/>
        <v>0</v>
      </c>
      <c r="I219" s="382">
        <f t="shared" si="30"/>
        <v>0</v>
      </c>
      <c r="J219" s="379">
        <f t="shared" si="31"/>
        <v>0</v>
      </c>
      <c r="K219" s="374">
        <f t="shared" si="32"/>
        <v>0</v>
      </c>
      <c r="L219" s="378">
        <f t="shared" si="33"/>
        <v>0</v>
      </c>
      <c r="M219" s="114">
        <f>L219*D219*'B) D RI'!S221</f>
        <v>0</v>
      </c>
    </row>
    <row r="220" spans="1:13" x14ac:dyDescent="0.25">
      <c r="A220" s="298">
        <f>'A) Base RI'!A222</f>
        <v>5752</v>
      </c>
      <c r="B220" s="32" t="str">
        <f>'A) Base RI'!B222</f>
        <v>Croy</v>
      </c>
      <c r="C220" s="296">
        <f>'B) D RI'!U222</f>
        <v>10757.15843408766</v>
      </c>
      <c r="D220" s="32">
        <f>'B) D RI'!AA222</f>
        <v>404</v>
      </c>
      <c r="E220" s="202">
        <f t="shared" si="26"/>
        <v>26.626629787345692</v>
      </c>
      <c r="F220" s="371">
        <f t="shared" si="27"/>
        <v>0.59400838012157797</v>
      </c>
      <c r="G220" s="382">
        <f t="shared" si="28"/>
        <v>0</v>
      </c>
      <c r="H220" s="379">
        <f t="shared" si="29"/>
        <v>0</v>
      </c>
      <c r="I220" s="382">
        <f t="shared" si="30"/>
        <v>0</v>
      </c>
      <c r="J220" s="379">
        <f t="shared" si="31"/>
        <v>0</v>
      </c>
      <c r="K220" s="374">
        <f t="shared" si="32"/>
        <v>0</v>
      </c>
      <c r="L220" s="378">
        <f t="shared" si="33"/>
        <v>0</v>
      </c>
      <c r="M220" s="114">
        <f>L220*D220*'B) D RI'!S222</f>
        <v>0</v>
      </c>
    </row>
    <row r="221" spans="1:13" x14ac:dyDescent="0.25">
      <c r="A221" s="298">
        <f>'A) Base RI'!A223</f>
        <v>5754</v>
      </c>
      <c r="B221" s="32" t="str">
        <f>'A) Base RI'!B223</f>
        <v>Juriens</v>
      </c>
      <c r="C221" s="296">
        <f>'B) D RI'!U223</f>
        <v>8043.6966976741023</v>
      </c>
      <c r="D221" s="32">
        <f>'B) D RI'!AA223</f>
        <v>308</v>
      </c>
      <c r="E221" s="202">
        <f t="shared" si="26"/>
        <v>26.115898369071761</v>
      </c>
      <c r="F221" s="371">
        <f t="shared" si="27"/>
        <v>0.58261457080853174</v>
      </c>
      <c r="G221" s="382">
        <f t="shared" si="28"/>
        <v>0</v>
      </c>
      <c r="H221" s="379">
        <f t="shared" si="29"/>
        <v>0</v>
      </c>
      <c r="I221" s="382">
        <f t="shared" si="30"/>
        <v>0</v>
      </c>
      <c r="J221" s="379">
        <f t="shared" si="31"/>
        <v>0</v>
      </c>
      <c r="K221" s="374">
        <f t="shared" si="32"/>
        <v>0</v>
      </c>
      <c r="L221" s="378">
        <f t="shared" si="33"/>
        <v>0</v>
      </c>
      <c r="M221" s="114">
        <f>L221*D221*'B) D RI'!S223</f>
        <v>0</v>
      </c>
    </row>
    <row r="222" spans="1:13" x14ac:dyDescent="0.25">
      <c r="A222" s="298">
        <f>'A) Base RI'!A224</f>
        <v>5755</v>
      </c>
      <c r="B222" s="32" t="str">
        <f>'A) Base RI'!B224</f>
        <v>Lignerolle</v>
      </c>
      <c r="C222" s="296">
        <f>'B) D RI'!U224</f>
        <v>9515.1754002495127</v>
      </c>
      <c r="D222" s="32">
        <f>'B) D RI'!AA224</f>
        <v>422</v>
      </c>
      <c r="E222" s="202">
        <f t="shared" si="26"/>
        <v>22.547809005330599</v>
      </c>
      <c r="F222" s="371">
        <f t="shared" si="27"/>
        <v>0.50301474912579669</v>
      </c>
      <c r="G222" s="382">
        <f t="shared" si="28"/>
        <v>0</v>
      </c>
      <c r="H222" s="379">
        <f t="shared" si="29"/>
        <v>0</v>
      </c>
      <c r="I222" s="382">
        <f t="shared" si="30"/>
        <v>0</v>
      </c>
      <c r="J222" s="379">
        <f t="shared" si="31"/>
        <v>0</v>
      </c>
      <c r="K222" s="374">
        <f t="shared" si="32"/>
        <v>0</v>
      </c>
      <c r="L222" s="378">
        <f t="shared" si="33"/>
        <v>0</v>
      </c>
      <c r="M222" s="114">
        <f>L222*D222*'B) D RI'!S224</f>
        <v>0</v>
      </c>
    </row>
    <row r="223" spans="1:13" x14ac:dyDescent="0.25">
      <c r="A223" s="298">
        <f>'A) Base RI'!A225</f>
        <v>5756</v>
      </c>
      <c r="B223" s="32" t="str">
        <f>'A) Base RI'!B225</f>
        <v>Montcherand</v>
      </c>
      <c r="C223" s="296">
        <f>'B) D RI'!U225</f>
        <v>16469.035494125688</v>
      </c>
      <c r="D223" s="32">
        <f>'B) D RI'!AA225</f>
        <v>489</v>
      </c>
      <c r="E223" s="202">
        <f t="shared" si="26"/>
        <v>33.679009190441079</v>
      </c>
      <c r="F223" s="371">
        <f t="shared" si="27"/>
        <v>0.75133856042199199</v>
      </c>
      <c r="G223" s="382">
        <f t="shared" si="28"/>
        <v>0</v>
      </c>
      <c r="H223" s="379">
        <f t="shared" si="29"/>
        <v>0</v>
      </c>
      <c r="I223" s="382">
        <f t="shared" si="30"/>
        <v>0</v>
      </c>
      <c r="J223" s="379">
        <f t="shared" si="31"/>
        <v>0</v>
      </c>
      <c r="K223" s="374">
        <f t="shared" si="32"/>
        <v>0</v>
      </c>
      <c r="L223" s="378">
        <f t="shared" si="33"/>
        <v>0</v>
      </c>
      <c r="M223" s="114">
        <f>L223*D223*'B) D RI'!S225</f>
        <v>0</v>
      </c>
    </row>
    <row r="224" spans="1:13" x14ac:dyDescent="0.25">
      <c r="A224" s="298">
        <f>'A) Base RI'!A226</f>
        <v>5757</v>
      </c>
      <c r="B224" s="32" t="str">
        <f>'A) Base RI'!B226</f>
        <v>Orbe</v>
      </c>
      <c r="C224" s="296">
        <f>'B) D RI'!U226</f>
        <v>204851.86723579146</v>
      </c>
      <c r="D224" s="32">
        <f>'B) D RI'!AA226</f>
        <v>6942</v>
      </c>
      <c r="E224" s="202">
        <f t="shared" si="26"/>
        <v>29.509056069690502</v>
      </c>
      <c r="F224" s="371">
        <f t="shared" si="27"/>
        <v>0.65831187554964821</v>
      </c>
      <c r="G224" s="382">
        <f t="shared" si="28"/>
        <v>0</v>
      </c>
      <c r="H224" s="379">
        <f t="shared" si="29"/>
        <v>0</v>
      </c>
      <c r="I224" s="382">
        <f t="shared" si="30"/>
        <v>0</v>
      </c>
      <c r="J224" s="379">
        <f t="shared" si="31"/>
        <v>0</v>
      </c>
      <c r="K224" s="374">
        <f t="shared" si="32"/>
        <v>0</v>
      </c>
      <c r="L224" s="378">
        <f t="shared" si="33"/>
        <v>0</v>
      </c>
      <c r="M224" s="114">
        <f>L224*D224*'B) D RI'!S226</f>
        <v>0</v>
      </c>
    </row>
    <row r="225" spans="1:13" x14ac:dyDescent="0.25">
      <c r="A225" s="298">
        <f>'A) Base RI'!A227</f>
        <v>5758</v>
      </c>
      <c r="B225" s="32" t="str">
        <f>'A) Base RI'!B227</f>
        <v>La Praz</v>
      </c>
      <c r="C225" s="296">
        <f>'B) D RI'!U227</f>
        <v>4452.1612722088212</v>
      </c>
      <c r="D225" s="32">
        <f>'B) D RI'!AA227</f>
        <v>165</v>
      </c>
      <c r="E225" s="202">
        <f t="shared" si="26"/>
        <v>26.98279558914437</v>
      </c>
      <c r="F225" s="371">
        <f t="shared" si="27"/>
        <v>0.60195401472388432</v>
      </c>
      <c r="G225" s="382">
        <f t="shared" si="28"/>
        <v>0</v>
      </c>
      <c r="H225" s="379">
        <f t="shared" si="29"/>
        <v>0</v>
      </c>
      <c r="I225" s="382">
        <f t="shared" si="30"/>
        <v>0</v>
      </c>
      <c r="J225" s="379">
        <f t="shared" si="31"/>
        <v>0</v>
      </c>
      <c r="K225" s="374">
        <f t="shared" si="32"/>
        <v>0</v>
      </c>
      <c r="L225" s="378">
        <f t="shared" si="33"/>
        <v>0</v>
      </c>
      <c r="M225" s="114">
        <f>L225*D225*'B) D RI'!S227</f>
        <v>0</v>
      </c>
    </row>
    <row r="226" spans="1:13" x14ac:dyDescent="0.25">
      <c r="A226" s="298">
        <f>'A) Base RI'!A228</f>
        <v>5759</v>
      </c>
      <c r="B226" s="32" t="str">
        <f>'A) Base RI'!B228</f>
        <v>Premier</v>
      </c>
      <c r="C226" s="296">
        <f>'B) D RI'!U228</f>
        <v>4744.8996537773928</v>
      </c>
      <c r="D226" s="32">
        <f>'B) D RI'!AA228</f>
        <v>213</v>
      </c>
      <c r="E226" s="202">
        <f t="shared" si="26"/>
        <v>22.276524196137995</v>
      </c>
      <c r="F226" s="371">
        <f t="shared" si="27"/>
        <v>0.49696270831751249</v>
      </c>
      <c r="G226" s="382">
        <f t="shared" si="28"/>
        <v>0</v>
      </c>
      <c r="H226" s="379">
        <f t="shared" si="29"/>
        <v>0</v>
      </c>
      <c r="I226" s="382">
        <f t="shared" si="30"/>
        <v>0</v>
      </c>
      <c r="J226" s="379">
        <f t="shared" si="31"/>
        <v>0</v>
      </c>
      <c r="K226" s="374">
        <f t="shared" si="32"/>
        <v>0</v>
      </c>
      <c r="L226" s="378">
        <f t="shared" si="33"/>
        <v>0</v>
      </c>
      <c r="M226" s="114">
        <f>L226*D226*'B) D RI'!S228</f>
        <v>0</v>
      </c>
    </row>
    <row r="227" spans="1:13" x14ac:dyDescent="0.25">
      <c r="A227" s="298">
        <f>'A) Base RI'!A229</f>
        <v>5760</v>
      </c>
      <c r="B227" s="32" t="str">
        <f>'A) Base RI'!B229</f>
        <v>Rances</v>
      </c>
      <c r="C227" s="296">
        <f>'B) D RI'!U229</f>
        <v>11421.2396274482</v>
      </c>
      <c r="D227" s="32">
        <f>'B) D RI'!AA229</f>
        <v>482</v>
      </c>
      <c r="E227" s="202">
        <f t="shared" si="26"/>
        <v>23.695517899270126</v>
      </c>
      <c r="F227" s="371">
        <f t="shared" si="27"/>
        <v>0.52861876684733899</v>
      </c>
      <c r="G227" s="382">
        <f t="shared" si="28"/>
        <v>0</v>
      </c>
      <c r="H227" s="379">
        <f t="shared" si="29"/>
        <v>0</v>
      </c>
      <c r="I227" s="382">
        <f t="shared" si="30"/>
        <v>0</v>
      </c>
      <c r="J227" s="379">
        <f t="shared" si="31"/>
        <v>0</v>
      </c>
      <c r="K227" s="374">
        <f t="shared" si="32"/>
        <v>0</v>
      </c>
      <c r="L227" s="378">
        <f t="shared" si="33"/>
        <v>0</v>
      </c>
      <c r="M227" s="114">
        <f>L227*D227*'B) D RI'!S229</f>
        <v>0</v>
      </c>
    </row>
    <row r="228" spans="1:13" x14ac:dyDescent="0.25">
      <c r="A228" s="298">
        <f>'A) Base RI'!A230</f>
        <v>5761</v>
      </c>
      <c r="B228" s="32" t="str">
        <f>'A) Base RI'!B230</f>
        <v>Romainmôtier-Envy</v>
      </c>
      <c r="C228" s="296">
        <f>'B) D RI'!U230</f>
        <v>14547.39613540147</v>
      </c>
      <c r="D228" s="32">
        <f>'B) D RI'!AA230</f>
        <v>540</v>
      </c>
      <c r="E228" s="202">
        <f t="shared" si="26"/>
        <v>26.939622472965684</v>
      </c>
      <c r="F228" s="371">
        <f t="shared" si="27"/>
        <v>0.60099087395049633</v>
      </c>
      <c r="G228" s="382">
        <f t="shared" si="28"/>
        <v>0</v>
      </c>
      <c r="H228" s="379">
        <f t="shared" si="29"/>
        <v>0</v>
      </c>
      <c r="I228" s="382">
        <f t="shared" si="30"/>
        <v>0</v>
      </c>
      <c r="J228" s="379">
        <f t="shared" si="31"/>
        <v>0</v>
      </c>
      <c r="K228" s="374">
        <f t="shared" si="32"/>
        <v>0</v>
      </c>
      <c r="L228" s="378">
        <f t="shared" si="33"/>
        <v>0</v>
      </c>
      <c r="M228" s="114">
        <f>L228*D228*'B) D RI'!S230</f>
        <v>0</v>
      </c>
    </row>
    <row r="229" spans="1:13" x14ac:dyDescent="0.25">
      <c r="A229" s="298">
        <f>'A) Base RI'!A231</f>
        <v>5762</v>
      </c>
      <c r="B229" s="32" t="str">
        <f>'A) Base RI'!B231</f>
        <v>Sergey</v>
      </c>
      <c r="C229" s="296">
        <f>'B) D RI'!U231</f>
        <v>3763.729317622563</v>
      </c>
      <c r="D229" s="32">
        <f>'B) D RI'!AA231</f>
        <v>146</v>
      </c>
      <c r="E229" s="202">
        <f t="shared" si="26"/>
        <v>25.778967928921663</v>
      </c>
      <c r="F229" s="371">
        <f t="shared" si="27"/>
        <v>0.57509805420220073</v>
      </c>
      <c r="G229" s="382">
        <f t="shared" si="28"/>
        <v>0</v>
      </c>
      <c r="H229" s="379">
        <f t="shared" si="29"/>
        <v>0</v>
      </c>
      <c r="I229" s="382">
        <f t="shared" si="30"/>
        <v>0</v>
      </c>
      <c r="J229" s="379">
        <f t="shared" si="31"/>
        <v>0</v>
      </c>
      <c r="K229" s="374">
        <f t="shared" si="32"/>
        <v>0</v>
      </c>
      <c r="L229" s="378">
        <f t="shared" si="33"/>
        <v>0</v>
      </c>
      <c r="M229" s="114">
        <f>L229*D229*'B) D RI'!S231</f>
        <v>0</v>
      </c>
    </row>
    <row r="230" spans="1:13" x14ac:dyDescent="0.25">
      <c r="A230" s="298">
        <f>'A) Base RI'!A232</f>
        <v>5763</v>
      </c>
      <c r="B230" s="32" t="str">
        <f>'A) Base RI'!B232</f>
        <v>Valeyres-sous-Rances</v>
      </c>
      <c r="C230" s="296">
        <f>'B) D RI'!U232</f>
        <v>20916.396171179269</v>
      </c>
      <c r="D230" s="32">
        <f>'B) D RI'!AA232</f>
        <v>622</v>
      </c>
      <c r="E230" s="202">
        <f t="shared" si="26"/>
        <v>33.627646577458634</v>
      </c>
      <c r="F230" s="371">
        <f t="shared" si="27"/>
        <v>0.75019272173417528</v>
      </c>
      <c r="G230" s="382">
        <f t="shared" si="28"/>
        <v>0</v>
      </c>
      <c r="H230" s="379">
        <f t="shared" si="29"/>
        <v>0</v>
      </c>
      <c r="I230" s="382">
        <f t="shared" si="30"/>
        <v>0</v>
      </c>
      <c r="J230" s="379">
        <f t="shared" si="31"/>
        <v>0</v>
      </c>
      <c r="K230" s="374">
        <f t="shared" si="32"/>
        <v>0</v>
      </c>
      <c r="L230" s="378">
        <f t="shared" si="33"/>
        <v>0</v>
      </c>
      <c r="M230" s="114">
        <f>L230*D230*'B) D RI'!S232</f>
        <v>0</v>
      </c>
    </row>
    <row r="231" spans="1:13" x14ac:dyDescent="0.25">
      <c r="A231" s="298">
        <f>'A) Base RI'!A233</f>
        <v>5764</v>
      </c>
      <c r="B231" s="32" t="str">
        <f>'A) Base RI'!B233</f>
        <v>Vallorbe</v>
      </c>
      <c r="C231" s="296">
        <f>'B) D RI'!U233</f>
        <v>83482.591885585367</v>
      </c>
      <c r="D231" s="32">
        <f>'B) D RI'!AA233</f>
        <v>3852</v>
      </c>
      <c r="E231" s="202">
        <f t="shared" si="26"/>
        <v>21.67253164215612</v>
      </c>
      <c r="F231" s="371">
        <f t="shared" si="27"/>
        <v>0.48348835420429398</v>
      </c>
      <c r="G231" s="382">
        <f t="shared" si="28"/>
        <v>0</v>
      </c>
      <c r="H231" s="379">
        <f t="shared" si="29"/>
        <v>0</v>
      </c>
      <c r="I231" s="382">
        <f t="shared" si="30"/>
        <v>0</v>
      </c>
      <c r="J231" s="379">
        <f t="shared" si="31"/>
        <v>0</v>
      </c>
      <c r="K231" s="374">
        <f t="shared" si="32"/>
        <v>0</v>
      </c>
      <c r="L231" s="378">
        <f t="shared" si="33"/>
        <v>0</v>
      </c>
      <c r="M231" s="114">
        <f>L231*D231*'B) D RI'!S233</f>
        <v>0</v>
      </c>
    </row>
    <row r="232" spans="1:13" x14ac:dyDescent="0.25">
      <c r="A232" s="298">
        <f>'A) Base RI'!A234</f>
        <v>5765</v>
      </c>
      <c r="B232" s="32" t="str">
        <f>'A) Base RI'!B234</f>
        <v>Vaulion</v>
      </c>
      <c r="C232" s="296">
        <f>'B) D RI'!U234</f>
        <v>9771.3712818501954</v>
      </c>
      <c r="D232" s="32">
        <f>'B) D RI'!AA234</f>
        <v>469</v>
      </c>
      <c r="E232" s="202">
        <f t="shared" si="26"/>
        <v>20.834480345096367</v>
      </c>
      <c r="F232" s="371">
        <f t="shared" si="27"/>
        <v>0.4647924284562357</v>
      </c>
      <c r="G232" s="382">
        <f t="shared" si="28"/>
        <v>0</v>
      </c>
      <c r="H232" s="379">
        <f t="shared" si="29"/>
        <v>0</v>
      </c>
      <c r="I232" s="382">
        <f t="shared" si="30"/>
        <v>0</v>
      </c>
      <c r="J232" s="379">
        <f t="shared" si="31"/>
        <v>0</v>
      </c>
      <c r="K232" s="374">
        <f t="shared" si="32"/>
        <v>0</v>
      </c>
      <c r="L232" s="378">
        <f t="shared" si="33"/>
        <v>0</v>
      </c>
      <c r="M232" s="114">
        <f>L232*D232*'B) D RI'!S234</f>
        <v>0</v>
      </c>
    </row>
    <row r="233" spans="1:13" x14ac:dyDescent="0.25">
      <c r="A233" s="298">
        <f>'A) Base RI'!A235</f>
        <v>5766</v>
      </c>
      <c r="B233" s="32" t="str">
        <f>'A) Base RI'!B235</f>
        <v>Vuiteboeuf</v>
      </c>
      <c r="C233" s="296">
        <f>'B) D RI'!U235</f>
        <v>13156.989379669412</v>
      </c>
      <c r="D233" s="32">
        <f>'B) D RI'!AA235</f>
        <v>584</v>
      </c>
      <c r="E233" s="202">
        <f t="shared" si="26"/>
        <v>22.529091403543514</v>
      </c>
      <c r="F233" s="371">
        <f t="shared" si="27"/>
        <v>0.50259718173532686</v>
      </c>
      <c r="G233" s="382">
        <f t="shared" si="28"/>
        <v>0</v>
      </c>
      <c r="H233" s="379">
        <f t="shared" si="29"/>
        <v>0</v>
      </c>
      <c r="I233" s="382">
        <f t="shared" si="30"/>
        <v>0</v>
      </c>
      <c r="J233" s="379">
        <f t="shared" si="31"/>
        <v>0</v>
      </c>
      <c r="K233" s="374">
        <f t="shared" si="32"/>
        <v>0</v>
      </c>
      <c r="L233" s="378">
        <f t="shared" si="33"/>
        <v>0</v>
      </c>
      <c r="M233" s="114">
        <f>L233*D233*'B) D RI'!S235</f>
        <v>0</v>
      </c>
    </row>
    <row r="234" spans="1:13" x14ac:dyDescent="0.25">
      <c r="A234" s="298">
        <f>'A) Base RI'!A236</f>
        <v>5785</v>
      </c>
      <c r="B234" s="32" t="str">
        <f>'A) Base RI'!B236</f>
        <v>Corcelles-le-Jorat</v>
      </c>
      <c r="C234" s="296">
        <f>'B) D RI'!U236</f>
        <v>15572.051048960157</v>
      </c>
      <c r="D234" s="32">
        <f>'B) D RI'!AA236</f>
        <v>445</v>
      </c>
      <c r="E234" s="202">
        <f t="shared" si="26"/>
        <v>34.993373143730686</v>
      </c>
      <c r="F234" s="371">
        <f t="shared" si="27"/>
        <v>0.78066045391805883</v>
      </c>
      <c r="G234" s="382">
        <f t="shared" si="28"/>
        <v>0</v>
      </c>
      <c r="H234" s="379">
        <f t="shared" si="29"/>
        <v>0</v>
      </c>
      <c r="I234" s="382">
        <f t="shared" si="30"/>
        <v>0</v>
      </c>
      <c r="J234" s="379">
        <f t="shared" si="31"/>
        <v>0</v>
      </c>
      <c r="K234" s="374">
        <f t="shared" si="32"/>
        <v>0</v>
      </c>
      <c r="L234" s="378">
        <f t="shared" si="33"/>
        <v>0</v>
      </c>
      <c r="M234" s="114">
        <f>L234*D234*'B) D RI'!S236</f>
        <v>0</v>
      </c>
    </row>
    <row r="235" spans="1:13" x14ac:dyDescent="0.25">
      <c r="A235" s="298">
        <f>'A) Base RI'!A237</f>
        <v>5788</v>
      </c>
      <c r="B235" s="32" t="str">
        <f>'A) Base RI'!B237</f>
        <v>Essertes</v>
      </c>
      <c r="C235" s="296">
        <f>'B) D RI'!U237</f>
        <v>11883.854268348969</v>
      </c>
      <c r="D235" s="32">
        <f>'B) D RI'!AA237</f>
        <v>374</v>
      </c>
      <c r="E235" s="202">
        <f t="shared" si="26"/>
        <v>31.775011412697776</v>
      </c>
      <c r="F235" s="371">
        <f t="shared" si="27"/>
        <v>0.70886263895746293</v>
      </c>
      <c r="G235" s="382">
        <f t="shared" si="28"/>
        <v>0</v>
      </c>
      <c r="H235" s="379">
        <f t="shared" si="29"/>
        <v>0</v>
      </c>
      <c r="I235" s="382">
        <f t="shared" si="30"/>
        <v>0</v>
      </c>
      <c r="J235" s="379">
        <f t="shared" si="31"/>
        <v>0</v>
      </c>
      <c r="K235" s="374">
        <f t="shared" si="32"/>
        <v>0</v>
      </c>
      <c r="L235" s="378">
        <f t="shared" si="33"/>
        <v>0</v>
      </c>
      <c r="M235" s="114">
        <f>L235*D235*'B) D RI'!S237</f>
        <v>0</v>
      </c>
    </row>
    <row r="236" spans="1:13" x14ac:dyDescent="0.25">
      <c r="A236" s="298">
        <f>'A) Base RI'!A238</f>
        <v>5790</v>
      </c>
      <c r="B236" s="32" t="str">
        <f>'A) Base RI'!B238</f>
        <v>Maracon</v>
      </c>
      <c r="C236" s="296">
        <f>'B) D RI'!U238</f>
        <v>13256.164125976293</v>
      </c>
      <c r="D236" s="32">
        <f>'B) D RI'!AA238</f>
        <v>492</v>
      </c>
      <c r="E236" s="202">
        <f t="shared" si="26"/>
        <v>26.943423020277017</v>
      </c>
      <c r="F236" s="371">
        <f t="shared" si="27"/>
        <v>0.60107565963197418</v>
      </c>
      <c r="G236" s="382">
        <f t="shared" si="28"/>
        <v>0</v>
      </c>
      <c r="H236" s="379">
        <f t="shared" si="29"/>
        <v>0</v>
      </c>
      <c r="I236" s="382">
        <f t="shared" si="30"/>
        <v>0</v>
      </c>
      <c r="J236" s="379">
        <f t="shared" si="31"/>
        <v>0</v>
      </c>
      <c r="K236" s="374">
        <f t="shared" si="32"/>
        <v>0</v>
      </c>
      <c r="L236" s="378">
        <f t="shared" si="33"/>
        <v>0</v>
      </c>
      <c r="M236" s="114">
        <f>L236*D236*'B) D RI'!S238</f>
        <v>0</v>
      </c>
    </row>
    <row r="237" spans="1:13" x14ac:dyDescent="0.25">
      <c r="A237" s="298">
        <f>'A) Base RI'!A239</f>
        <v>5792</v>
      </c>
      <c r="B237" s="32" t="str">
        <f>'A) Base RI'!B239</f>
        <v>Montpreveyres</v>
      </c>
      <c r="C237" s="296">
        <f>'B) D RI'!U239</f>
        <v>18726.471313410195</v>
      </c>
      <c r="D237" s="32">
        <f>'B) D RI'!AA239</f>
        <v>643</v>
      </c>
      <c r="E237" s="202">
        <f t="shared" si="26"/>
        <v>29.123594577620832</v>
      </c>
      <c r="F237" s="371">
        <f t="shared" si="27"/>
        <v>0.64971268900849732</v>
      </c>
      <c r="G237" s="382">
        <f t="shared" si="28"/>
        <v>0</v>
      </c>
      <c r="H237" s="379">
        <f t="shared" si="29"/>
        <v>0</v>
      </c>
      <c r="I237" s="382">
        <f t="shared" si="30"/>
        <v>0</v>
      </c>
      <c r="J237" s="379">
        <f t="shared" si="31"/>
        <v>0</v>
      </c>
      <c r="K237" s="374">
        <f t="shared" si="32"/>
        <v>0</v>
      </c>
      <c r="L237" s="378">
        <f t="shared" si="33"/>
        <v>0</v>
      </c>
      <c r="M237" s="114">
        <f>L237*D237*'B) D RI'!S239</f>
        <v>0</v>
      </c>
    </row>
    <row r="238" spans="1:13" x14ac:dyDescent="0.25">
      <c r="A238" s="298">
        <f>'A) Base RI'!A240</f>
        <v>5798</v>
      </c>
      <c r="B238" s="32" t="str">
        <f>'A) Base RI'!B240</f>
        <v>Ropraz</v>
      </c>
      <c r="C238" s="296">
        <f>'B) D RI'!U240</f>
        <v>13725.260150883058</v>
      </c>
      <c r="D238" s="32">
        <f>'B) D RI'!AA240</f>
        <v>494</v>
      </c>
      <c r="E238" s="202">
        <f t="shared" si="26"/>
        <v>27.783927430937364</v>
      </c>
      <c r="F238" s="371">
        <f t="shared" si="27"/>
        <v>0.6198263114211342</v>
      </c>
      <c r="G238" s="382">
        <f t="shared" si="28"/>
        <v>0</v>
      </c>
      <c r="H238" s="379">
        <f t="shared" si="29"/>
        <v>0</v>
      </c>
      <c r="I238" s="382">
        <f t="shared" si="30"/>
        <v>0</v>
      </c>
      <c r="J238" s="379">
        <f t="shared" si="31"/>
        <v>0</v>
      </c>
      <c r="K238" s="374">
        <f t="shared" si="32"/>
        <v>0</v>
      </c>
      <c r="L238" s="378">
        <f t="shared" si="33"/>
        <v>0</v>
      </c>
      <c r="M238" s="114">
        <f>L238*D238*'B) D RI'!S240</f>
        <v>0</v>
      </c>
    </row>
    <row r="239" spans="1:13" x14ac:dyDescent="0.25">
      <c r="A239" s="298">
        <f>'A) Base RI'!A241</f>
        <v>5799</v>
      </c>
      <c r="B239" s="32" t="str">
        <f>'A) Base RI'!B241</f>
        <v>Servion</v>
      </c>
      <c r="C239" s="296">
        <f>'B) D RI'!U241</f>
        <v>68712.576636224549</v>
      </c>
      <c r="D239" s="32">
        <f>'B) D RI'!AA241</f>
        <v>1942</v>
      </c>
      <c r="E239" s="202">
        <f t="shared" si="26"/>
        <v>35.382377258612024</v>
      </c>
      <c r="F239" s="371">
        <f t="shared" si="27"/>
        <v>0.78933867215246378</v>
      </c>
      <c r="G239" s="382">
        <f t="shared" si="28"/>
        <v>0</v>
      </c>
      <c r="H239" s="379">
        <f t="shared" si="29"/>
        <v>0</v>
      </c>
      <c r="I239" s="382">
        <f t="shared" si="30"/>
        <v>0</v>
      </c>
      <c r="J239" s="379">
        <f t="shared" si="31"/>
        <v>0</v>
      </c>
      <c r="K239" s="374">
        <f t="shared" si="32"/>
        <v>0</v>
      </c>
      <c r="L239" s="378">
        <f t="shared" si="33"/>
        <v>0</v>
      </c>
      <c r="M239" s="114">
        <f>L239*D239*'B) D RI'!S241</f>
        <v>0</v>
      </c>
    </row>
    <row r="240" spans="1:13" x14ac:dyDescent="0.25">
      <c r="A240" s="298">
        <f>'A) Base RI'!A242</f>
        <v>5803</v>
      </c>
      <c r="B240" s="32" t="str">
        <f>'A) Base RI'!B242</f>
        <v>Vulliens</v>
      </c>
      <c r="C240" s="296">
        <f>'B) D RI'!U242</f>
        <v>16546.34632030463</v>
      </c>
      <c r="D240" s="32">
        <f>'B) D RI'!AA242</f>
        <v>595</v>
      </c>
      <c r="E240" s="202">
        <f t="shared" si="26"/>
        <v>27.808985412276691</v>
      </c>
      <c r="F240" s="371">
        <f t="shared" si="27"/>
        <v>0.62038532512370814</v>
      </c>
      <c r="G240" s="382">
        <f t="shared" si="28"/>
        <v>0</v>
      </c>
      <c r="H240" s="379">
        <f t="shared" si="29"/>
        <v>0</v>
      </c>
      <c r="I240" s="382">
        <f t="shared" si="30"/>
        <v>0</v>
      </c>
      <c r="J240" s="379">
        <f t="shared" si="31"/>
        <v>0</v>
      </c>
      <c r="K240" s="374">
        <f t="shared" si="32"/>
        <v>0</v>
      </c>
      <c r="L240" s="378">
        <f t="shared" si="33"/>
        <v>0</v>
      </c>
      <c r="M240" s="114">
        <f>L240*D240*'B) D RI'!S242</f>
        <v>0</v>
      </c>
    </row>
    <row r="241" spans="1:13" x14ac:dyDescent="0.25">
      <c r="A241" s="298">
        <f>'A) Base RI'!A243</f>
        <v>5804</v>
      </c>
      <c r="B241" s="32" t="str">
        <f>'A) Base RI'!B243</f>
        <v>Jorat-Menthue</v>
      </c>
      <c r="C241" s="296">
        <f>'B) D RI'!U243</f>
        <v>47504.398266419383</v>
      </c>
      <c r="D241" s="32">
        <f>'B) D RI'!AA243</f>
        <v>1586</v>
      </c>
      <c r="E241" s="202">
        <f t="shared" si="26"/>
        <v>29.95233181993656</v>
      </c>
      <c r="F241" s="371">
        <f t="shared" si="27"/>
        <v>0.66820082929459323</v>
      </c>
      <c r="G241" s="382">
        <f t="shared" si="28"/>
        <v>0</v>
      </c>
      <c r="H241" s="379">
        <f t="shared" si="29"/>
        <v>0</v>
      </c>
      <c r="I241" s="382">
        <f t="shared" si="30"/>
        <v>0</v>
      </c>
      <c r="J241" s="379">
        <f t="shared" si="31"/>
        <v>0</v>
      </c>
      <c r="K241" s="374">
        <f t="shared" si="32"/>
        <v>0</v>
      </c>
      <c r="L241" s="378">
        <f t="shared" si="33"/>
        <v>0</v>
      </c>
      <c r="M241" s="114">
        <f>L241*D241*'B) D RI'!S243</f>
        <v>0</v>
      </c>
    </row>
    <row r="242" spans="1:13" x14ac:dyDescent="0.25">
      <c r="A242" s="298">
        <f>'A) Base RI'!A244</f>
        <v>5805</v>
      </c>
      <c r="B242" s="32" t="str">
        <f>'A) Base RI'!B244</f>
        <v>Oron</v>
      </c>
      <c r="C242" s="296">
        <f>'B) D RI'!U244</f>
        <v>152415.01875763744</v>
      </c>
      <c r="D242" s="32">
        <f>'B) D RI'!AA244</f>
        <v>5501</v>
      </c>
      <c r="E242" s="202">
        <f t="shared" si="26"/>
        <v>27.70678399520768</v>
      </c>
      <c r="F242" s="371">
        <f t="shared" si="27"/>
        <v>0.61810533330032891</v>
      </c>
      <c r="G242" s="382">
        <f t="shared" si="28"/>
        <v>0</v>
      </c>
      <c r="H242" s="379">
        <f t="shared" si="29"/>
        <v>0</v>
      </c>
      <c r="I242" s="382">
        <f t="shared" si="30"/>
        <v>0</v>
      </c>
      <c r="J242" s="379">
        <f t="shared" si="31"/>
        <v>0</v>
      </c>
      <c r="K242" s="374">
        <f t="shared" si="32"/>
        <v>0</v>
      </c>
      <c r="L242" s="378">
        <f t="shared" si="33"/>
        <v>0</v>
      </c>
      <c r="M242" s="114">
        <f>L242*D242*'B) D RI'!S244</f>
        <v>0</v>
      </c>
    </row>
    <row r="243" spans="1:13" x14ac:dyDescent="0.25">
      <c r="A243" s="298">
        <f>'A) Base RI'!A245</f>
        <v>5806</v>
      </c>
      <c r="B243" s="32" t="str">
        <f>'A) Base RI'!B245</f>
        <v>Jorat-Mézières</v>
      </c>
      <c r="C243" s="296">
        <f>'B) D RI'!U245</f>
        <v>89827.60291631594</v>
      </c>
      <c r="D243" s="32">
        <f>'B) D RI'!AA245</f>
        <v>2869</v>
      </c>
      <c r="E243" s="202">
        <f t="shared" si="26"/>
        <v>31.309725659224796</v>
      </c>
      <c r="F243" s="371">
        <f t="shared" si="27"/>
        <v>0.69848266826941574</v>
      </c>
      <c r="G243" s="382">
        <f t="shared" si="28"/>
        <v>0</v>
      </c>
      <c r="H243" s="379">
        <f t="shared" si="29"/>
        <v>0</v>
      </c>
      <c r="I243" s="382">
        <f t="shared" si="30"/>
        <v>0</v>
      </c>
      <c r="J243" s="379">
        <f t="shared" si="31"/>
        <v>0</v>
      </c>
      <c r="K243" s="374">
        <f t="shared" si="32"/>
        <v>0</v>
      </c>
      <c r="L243" s="378">
        <f t="shared" si="33"/>
        <v>0</v>
      </c>
      <c r="M243" s="114">
        <f>L243*D243*'B) D RI'!S245</f>
        <v>0</v>
      </c>
    </row>
    <row r="244" spans="1:13" x14ac:dyDescent="0.25">
      <c r="A244" s="298">
        <f>'A) Base RI'!A246</f>
        <v>5812</v>
      </c>
      <c r="B244" s="32" t="str">
        <f>'A) Base RI'!B246</f>
        <v>Champtauroz</v>
      </c>
      <c r="C244" s="296">
        <f>'B) D RI'!U246</f>
        <v>2432.9524302206905</v>
      </c>
      <c r="D244" s="32">
        <f>'B) D RI'!AA246</f>
        <v>122</v>
      </c>
      <c r="E244" s="202">
        <f t="shared" si="26"/>
        <v>19.942233034595823</v>
      </c>
      <c r="F244" s="371">
        <f t="shared" si="27"/>
        <v>0.44488745423264298</v>
      </c>
      <c r="G244" s="382">
        <f t="shared" si="28"/>
        <v>0</v>
      </c>
      <c r="H244" s="379">
        <f t="shared" si="29"/>
        <v>0</v>
      </c>
      <c r="I244" s="382">
        <f t="shared" si="30"/>
        <v>0</v>
      </c>
      <c r="J244" s="379">
        <f t="shared" si="31"/>
        <v>0</v>
      </c>
      <c r="K244" s="374">
        <f t="shared" si="32"/>
        <v>0</v>
      </c>
      <c r="L244" s="378">
        <f t="shared" si="33"/>
        <v>0</v>
      </c>
      <c r="M244" s="114">
        <f>L244*D244*'B) D RI'!S246</f>
        <v>0</v>
      </c>
    </row>
    <row r="245" spans="1:13" x14ac:dyDescent="0.25">
      <c r="A245" s="298">
        <f>'A) Base RI'!A247</f>
        <v>5813</v>
      </c>
      <c r="B245" s="32" t="str">
        <f>'A) Base RI'!B247</f>
        <v>Chevroux</v>
      </c>
      <c r="C245" s="296">
        <f>'B) D RI'!U247</f>
        <v>12841.233936581375</v>
      </c>
      <c r="D245" s="32">
        <f>'B) D RI'!AA247</f>
        <v>480</v>
      </c>
      <c r="E245" s="202">
        <f t="shared" si="26"/>
        <v>26.752570701211198</v>
      </c>
      <c r="F245" s="371">
        <f t="shared" si="27"/>
        <v>0.59681797182859275</v>
      </c>
      <c r="G245" s="382">
        <f t="shared" si="28"/>
        <v>0</v>
      </c>
      <c r="H245" s="379">
        <f t="shared" si="29"/>
        <v>0</v>
      </c>
      <c r="I245" s="382">
        <f t="shared" si="30"/>
        <v>0</v>
      </c>
      <c r="J245" s="379">
        <f t="shared" si="31"/>
        <v>0</v>
      </c>
      <c r="K245" s="374">
        <f t="shared" si="32"/>
        <v>0</v>
      </c>
      <c r="L245" s="378">
        <f t="shared" si="33"/>
        <v>0</v>
      </c>
      <c r="M245" s="114">
        <f>L245*D245*'B) D RI'!S247</f>
        <v>0</v>
      </c>
    </row>
    <row r="246" spans="1:13" x14ac:dyDescent="0.25">
      <c r="A246" s="298">
        <f>'A) Base RI'!A248</f>
        <v>5816</v>
      </c>
      <c r="B246" s="32" t="str">
        <f>'A) Base RI'!B248</f>
        <v>Corcelles-près-Payerne</v>
      </c>
      <c r="C246" s="296">
        <f>'B) D RI'!U248</f>
        <v>55328.106299465391</v>
      </c>
      <c r="D246" s="32">
        <f>'B) D RI'!AA248</f>
        <v>2479</v>
      </c>
      <c r="E246" s="202">
        <f t="shared" si="26"/>
        <v>22.318719765819036</v>
      </c>
      <c r="F246" s="371">
        <f t="shared" si="27"/>
        <v>0.49790404119346116</v>
      </c>
      <c r="G246" s="382">
        <f t="shared" si="28"/>
        <v>0</v>
      </c>
      <c r="H246" s="379">
        <f t="shared" si="29"/>
        <v>0</v>
      </c>
      <c r="I246" s="382">
        <f t="shared" si="30"/>
        <v>0</v>
      </c>
      <c r="J246" s="379">
        <f t="shared" si="31"/>
        <v>0</v>
      </c>
      <c r="K246" s="374">
        <f t="shared" si="32"/>
        <v>0</v>
      </c>
      <c r="L246" s="378">
        <f t="shared" si="33"/>
        <v>0</v>
      </c>
      <c r="M246" s="114">
        <f>L246*D246*'B) D RI'!S248</f>
        <v>0</v>
      </c>
    </row>
    <row r="247" spans="1:13" x14ac:dyDescent="0.25">
      <c r="A247" s="298">
        <f>'A) Base RI'!A249</f>
        <v>5817</v>
      </c>
      <c r="B247" s="32" t="str">
        <f>'A) Base RI'!B249</f>
        <v>Grandcour</v>
      </c>
      <c r="C247" s="296">
        <f>'B) D RI'!U249</f>
        <v>23406.066601684674</v>
      </c>
      <c r="D247" s="32">
        <f>'B) D RI'!AA249</f>
        <v>929</v>
      </c>
      <c r="E247" s="202">
        <f t="shared" si="26"/>
        <v>25.194904845731617</v>
      </c>
      <c r="F247" s="371">
        <f t="shared" si="27"/>
        <v>0.5620683028327873</v>
      </c>
      <c r="G247" s="382">
        <f t="shared" si="28"/>
        <v>0</v>
      </c>
      <c r="H247" s="379">
        <f t="shared" si="29"/>
        <v>0</v>
      </c>
      <c r="I247" s="382">
        <f t="shared" si="30"/>
        <v>0</v>
      </c>
      <c r="J247" s="379">
        <f t="shared" si="31"/>
        <v>0</v>
      </c>
      <c r="K247" s="374">
        <f t="shared" si="32"/>
        <v>0</v>
      </c>
      <c r="L247" s="378">
        <f t="shared" si="33"/>
        <v>0</v>
      </c>
      <c r="M247" s="114">
        <f>L247*D247*'B) D RI'!S249</f>
        <v>0</v>
      </c>
    </row>
    <row r="248" spans="1:13" x14ac:dyDescent="0.25">
      <c r="A248" s="298">
        <f>'A) Base RI'!A250</f>
        <v>5819</v>
      </c>
      <c r="B248" s="32" t="str">
        <f>'A) Base RI'!B250</f>
        <v>Henniez</v>
      </c>
      <c r="C248" s="296">
        <f>'B) D RI'!U250</f>
        <v>12438.573202549422</v>
      </c>
      <c r="D248" s="32">
        <f>'B) D RI'!AA250</f>
        <v>341</v>
      </c>
      <c r="E248" s="202">
        <f t="shared" si="26"/>
        <v>36.476754259675722</v>
      </c>
      <c r="F248" s="371">
        <f t="shared" si="27"/>
        <v>0.81375291889852031</v>
      </c>
      <c r="G248" s="382">
        <f t="shared" si="28"/>
        <v>0</v>
      </c>
      <c r="H248" s="379">
        <f t="shared" si="29"/>
        <v>0</v>
      </c>
      <c r="I248" s="382">
        <f t="shared" si="30"/>
        <v>0</v>
      </c>
      <c r="J248" s="379">
        <f t="shared" si="31"/>
        <v>0</v>
      </c>
      <c r="K248" s="374">
        <f t="shared" si="32"/>
        <v>0</v>
      </c>
      <c r="L248" s="378">
        <f t="shared" si="33"/>
        <v>0</v>
      </c>
      <c r="M248" s="114">
        <f>L248*D248*'B) D RI'!S250</f>
        <v>0</v>
      </c>
    </row>
    <row r="249" spans="1:13" x14ac:dyDescent="0.25">
      <c r="A249" s="298">
        <f>'A) Base RI'!A251</f>
        <v>5821</v>
      </c>
      <c r="B249" s="32" t="str">
        <f>'A) Base RI'!B251</f>
        <v>Missy</v>
      </c>
      <c r="C249" s="296">
        <f>'B) D RI'!U251</f>
        <v>8575.631351638991</v>
      </c>
      <c r="D249" s="32">
        <f>'B) D RI'!AA251</f>
        <v>368</v>
      </c>
      <c r="E249" s="202">
        <f t="shared" si="26"/>
        <v>23.30334606423639</v>
      </c>
      <c r="F249" s="371">
        <f t="shared" si="27"/>
        <v>0.51986988055124428</v>
      </c>
      <c r="G249" s="382">
        <f t="shared" si="28"/>
        <v>0</v>
      </c>
      <c r="H249" s="379">
        <f t="shared" si="29"/>
        <v>0</v>
      </c>
      <c r="I249" s="382">
        <f t="shared" si="30"/>
        <v>0</v>
      </c>
      <c r="J249" s="379">
        <f t="shared" si="31"/>
        <v>0</v>
      </c>
      <c r="K249" s="374">
        <f t="shared" si="32"/>
        <v>0</v>
      </c>
      <c r="L249" s="378">
        <f t="shared" si="33"/>
        <v>0</v>
      </c>
      <c r="M249" s="114">
        <f>L249*D249*'B) D RI'!S251</f>
        <v>0</v>
      </c>
    </row>
    <row r="250" spans="1:13" x14ac:dyDescent="0.25">
      <c r="A250" s="298">
        <f>'A) Base RI'!A252</f>
        <v>5822</v>
      </c>
      <c r="B250" s="32" t="str">
        <f>'A) Base RI'!B252</f>
        <v>Payerne</v>
      </c>
      <c r="C250" s="296">
        <f>'B) D RI'!U252</f>
        <v>236916.04439002261</v>
      </c>
      <c r="D250" s="32">
        <f>'B) D RI'!AA252</f>
        <v>9971</v>
      </c>
      <c r="E250" s="202">
        <f t="shared" si="26"/>
        <v>23.760509917763777</v>
      </c>
      <c r="F250" s="371">
        <f t="shared" si="27"/>
        <v>0.53006866133021469</v>
      </c>
      <c r="G250" s="382">
        <f t="shared" si="28"/>
        <v>0</v>
      </c>
      <c r="H250" s="379">
        <f t="shared" si="29"/>
        <v>0</v>
      </c>
      <c r="I250" s="382">
        <f t="shared" si="30"/>
        <v>0</v>
      </c>
      <c r="J250" s="379">
        <f t="shared" si="31"/>
        <v>0</v>
      </c>
      <c r="K250" s="374">
        <f t="shared" si="32"/>
        <v>0</v>
      </c>
      <c r="L250" s="378">
        <f t="shared" si="33"/>
        <v>0</v>
      </c>
      <c r="M250" s="114">
        <f>L250*D250*'B) D RI'!S252</f>
        <v>0</v>
      </c>
    </row>
    <row r="251" spans="1:13" x14ac:dyDescent="0.25">
      <c r="A251" s="298">
        <f>'A) Base RI'!A253</f>
        <v>5827</v>
      </c>
      <c r="B251" s="32" t="str">
        <f>'A) Base RI'!B253</f>
        <v>Trey</v>
      </c>
      <c r="C251" s="296">
        <f>'B) D RI'!U253</f>
        <v>7081.6159611211069</v>
      </c>
      <c r="D251" s="32">
        <f>'B) D RI'!AA253</f>
        <v>267</v>
      </c>
      <c r="E251" s="202">
        <f t="shared" si="26"/>
        <v>26.522906221427366</v>
      </c>
      <c r="F251" s="371">
        <f t="shared" si="27"/>
        <v>0.5916944309712856</v>
      </c>
      <c r="G251" s="382">
        <f t="shared" si="28"/>
        <v>0</v>
      </c>
      <c r="H251" s="379">
        <f t="shared" si="29"/>
        <v>0</v>
      </c>
      <c r="I251" s="382">
        <f t="shared" si="30"/>
        <v>0</v>
      </c>
      <c r="J251" s="379">
        <f t="shared" si="31"/>
        <v>0</v>
      </c>
      <c r="K251" s="374">
        <f t="shared" si="32"/>
        <v>0</v>
      </c>
      <c r="L251" s="378">
        <f t="shared" si="33"/>
        <v>0</v>
      </c>
      <c r="M251" s="114">
        <f>L251*D251*'B) D RI'!S253</f>
        <v>0</v>
      </c>
    </row>
    <row r="252" spans="1:13" x14ac:dyDescent="0.25">
      <c r="A252" s="298">
        <f>'A) Base RI'!A254</f>
        <v>5828</v>
      </c>
      <c r="B252" s="32" t="str">
        <f>'A) Base RI'!B254</f>
        <v>Treytorrens (Payerne)</v>
      </c>
      <c r="C252" s="296">
        <f>'B) D RI'!U254</f>
        <v>2673.2421559488716</v>
      </c>
      <c r="D252" s="32">
        <f>'B) D RI'!AA254</f>
        <v>119</v>
      </c>
      <c r="E252" s="202">
        <f t="shared" si="26"/>
        <v>22.464219797889676</v>
      </c>
      <c r="F252" s="371">
        <f t="shared" si="27"/>
        <v>0.50114997351941382</v>
      </c>
      <c r="G252" s="382">
        <f t="shared" si="28"/>
        <v>0</v>
      </c>
      <c r="H252" s="379">
        <f t="shared" si="29"/>
        <v>0</v>
      </c>
      <c r="I252" s="382">
        <f t="shared" si="30"/>
        <v>0</v>
      </c>
      <c r="J252" s="379">
        <f t="shared" si="31"/>
        <v>0</v>
      </c>
      <c r="K252" s="374">
        <f t="shared" si="32"/>
        <v>0</v>
      </c>
      <c r="L252" s="378">
        <f t="shared" si="33"/>
        <v>0</v>
      </c>
      <c r="M252" s="114">
        <f>L252*D252*'B) D RI'!S254</f>
        <v>0</v>
      </c>
    </row>
    <row r="253" spans="1:13" x14ac:dyDescent="0.25">
      <c r="A253" s="298">
        <f>'A) Base RI'!A255</f>
        <v>5830</v>
      </c>
      <c r="B253" s="32" t="str">
        <f>'A) Base RI'!B255</f>
        <v>Villarzel</v>
      </c>
      <c r="C253" s="296">
        <f>'B) D RI'!U255</f>
        <v>12117.556810814382</v>
      </c>
      <c r="D253" s="32">
        <f>'B) D RI'!AA255</f>
        <v>446</v>
      </c>
      <c r="E253" s="202">
        <f t="shared" si="26"/>
        <v>27.169409889718345</v>
      </c>
      <c r="F253" s="371">
        <f t="shared" si="27"/>
        <v>0.60611715738507643</v>
      </c>
      <c r="G253" s="382">
        <f t="shared" si="28"/>
        <v>0</v>
      </c>
      <c r="H253" s="379">
        <f t="shared" si="29"/>
        <v>0</v>
      </c>
      <c r="I253" s="382">
        <f t="shared" si="30"/>
        <v>0</v>
      </c>
      <c r="J253" s="379">
        <f t="shared" si="31"/>
        <v>0</v>
      </c>
      <c r="K253" s="374">
        <f t="shared" si="32"/>
        <v>0</v>
      </c>
      <c r="L253" s="378">
        <f t="shared" si="33"/>
        <v>0</v>
      </c>
      <c r="M253" s="114">
        <f>L253*D253*'B) D RI'!S255</f>
        <v>0</v>
      </c>
    </row>
    <row r="254" spans="1:13" x14ac:dyDescent="0.25">
      <c r="A254" s="298">
        <f>'A) Base RI'!A256</f>
        <v>5831</v>
      </c>
      <c r="B254" s="32" t="str">
        <f>'A) Base RI'!B256</f>
        <v>Valbroye</v>
      </c>
      <c r="C254" s="296">
        <f>'B) D RI'!U256</f>
        <v>83651.867392232569</v>
      </c>
      <c r="D254" s="32">
        <f>'B) D RI'!AA256</f>
        <v>3174</v>
      </c>
      <c r="E254" s="202">
        <f t="shared" si="26"/>
        <v>26.355345744244666</v>
      </c>
      <c r="F254" s="371">
        <f t="shared" si="27"/>
        <v>0.587956356403884</v>
      </c>
      <c r="G254" s="382">
        <f t="shared" si="28"/>
        <v>0</v>
      </c>
      <c r="H254" s="379">
        <f t="shared" si="29"/>
        <v>0</v>
      </c>
      <c r="I254" s="382">
        <f t="shared" si="30"/>
        <v>0</v>
      </c>
      <c r="J254" s="379">
        <f t="shared" si="31"/>
        <v>0</v>
      </c>
      <c r="K254" s="374">
        <f t="shared" si="32"/>
        <v>0</v>
      </c>
      <c r="L254" s="378">
        <f t="shared" si="33"/>
        <v>0</v>
      </c>
      <c r="M254" s="114">
        <f>L254*D254*'B) D RI'!S256</f>
        <v>0</v>
      </c>
    </row>
    <row r="255" spans="1:13" x14ac:dyDescent="0.25">
      <c r="A255" s="298">
        <f>'A) Base RI'!A257</f>
        <v>5841</v>
      </c>
      <c r="B255" s="32" t="str">
        <f>'A) Base RI'!B257</f>
        <v>Château-d'Oex</v>
      </c>
      <c r="C255" s="296">
        <f>'B) D RI'!U257</f>
        <v>116299.93992329082</v>
      </c>
      <c r="D255" s="32">
        <f>'B) D RI'!AA257</f>
        <v>3460</v>
      </c>
      <c r="E255" s="202">
        <f t="shared" si="26"/>
        <v>33.612699399795034</v>
      </c>
      <c r="F255" s="371">
        <f t="shared" si="27"/>
        <v>0.74985926801275971</v>
      </c>
      <c r="G255" s="382">
        <f t="shared" si="28"/>
        <v>0</v>
      </c>
      <c r="H255" s="379">
        <f t="shared" si="29"/>
        <v>0</v>
      </c>
      <c r="I255" s="382">
        <f t="shared" si="30"/>
        <v>0</v>
      </c>
      <c r="J255" s="379">
        <f t="shared" si="31"/>
        <v>0</v>
      </c>
      <c r="K255" s="374">
        <f t="shared" si="32"/>
        <v>0</v>
      </c>
      <c r="L255" s="378">
        <f t="shared" si="33"/>
        <v>0</v>
      </c>
      <c r="M255" s="114">
        <f>L255*D255*'B) D RI'!S257</f>
        <v>0</v>
      </c>
    </row>
    <row r="256" spans="1:13" x14ac:dyDescent="0.25">
      <c r="A256" s="298">
        <f>'A) Base RI'!A258</f>
        <v>5842</v>
      </c>
      <c r="B256" s="32" t="str">
        <f>'A) Base RI'!B258</f>
        <v>Rossinière</v>
      </c>
      <c r="C256" s="296">
        <f>'B) D RI'!U258</f>
        <v>16094.216375513943</v>
      </c>
      <c r="D256" s="32">
        <f>'B) D RI'!AA258</f>
        <v>548</v>
      </c>
      <c r="E256" s="202">
        <f t="shared" si="26"/>
        <v>29.369007984514493</v>
      </c>
      <c r="F256" s="371">
        <f t="shared" si="27"/>
        <v>0.65518756966193625</v>
      </c>
      <c r="G256" s="382">
        <f t="shared" si="28"/>
        <v>0</v>
      </c>
      <c r="H256" s="379">
        <f t="shared" si="29"/>
        <v>0</v>
      </c>
      <c r="I256" s="382">
        <f t="shared" si="30"/>
        <v>0</v>
      </c>
      <c r="J256" s="379">
        <f t="shared" si="31"/>
        <v>0</v>
      </c>
      <c r="K256" s="374">
        <f t="shared" si="32"/>
        <v>0</v>
      </c>
      <c r="L256" s="378">
        <f t="shared" si="33"/>
        <v>0</v>
      </c>
      <c r="M256" s="114">
        <f>L256*D256*'B) D RI'!S258</f>
        <v>0</v>
      </c>
    </row>
    <row r="257" spans="1:13" x14ac:dyDescent="0.25">
      <c r="A257" s="298">
        <f>'A) Base RI'!A259</f>
        <v>5843</v>
      </c>
      <c r="B257" s="32" t="str">
        <f>'A) Base RI'!B259</f>
        <v>Rougemont</v>
      </c>
      <c r="C257" s="296">
        <f>'B) D RI'!U259</f>
        <v>94148.401666926264</v>
      </c>
      <c r="D257" s="32">
        <f>'B) D RI'!AA259</f>
        <v>882</v>
      </c>
      <c r="E257" s="202">
        <f t="shared" si="26"/>
        <v>106.74421957701391</v>
      </c>
      <c r="F257" s="371">
        <f t="shared" si="27"/>
        <v>2.3813363337638105</v>
      </c>
      <c r="G257" s="382">
        <f t="shared" si="28"/>
        <v>61.918875897694235</v>
      </c>
      <c r="H257" s="379">
        <f t="shared" si="29"/>
        <v>52.953807161830305</v>
      </c>
      <c r="I257" s="382">
        <f t="shared" si="30"/>
        <v>39.506204058034399</v>
      </c>
      <c r="J257" s="379">
        <f t="shared" si="31"/>
        <v>17.093532218374563</v>
      </c>
      <c r="K257" s="374">
        <f t="shared" si="32"/>
        <v>0</v>
      </c>
      <c r="L257" s="378">
        <f t="shared" si="33"/>
        <v>23.339129523362775</v>
      </c>
      <c r="M257" s="114">
        <f>L257*D257*'B) D RI'!S259</f>
        <v>1523298.3057308418</v>
      </c>
    </row>
    <row r="258" spans="1:13" x14ac:dyDescent="0.25">
      <c r="A258" s="298">
        <f>'A) Base RI'!A260</f>
        <v>5851</v>
      </c>
      <c r="B258" s="32" t="str">
        <f>'A) Base RI'!B260</f>
        <v>Allaman</v>
      </c>
      <c r="C258" s="296">
        <f>'B) D RI'!U260</f>
        <v>28833.689592297927</v>
      </c>
      <c r="D258" s="32">
        <f>'B) D RI'!AA260</f>
        <v>434</v>
      </c>
      <c r="E258" s="202">
        <f t="shared" si="26"/>
        <v>66.437072793313192</v>
      </c>
      <c r="F258" s="371">
        <f t="shared" si="27"/>
        <v>1.4821319222581704</v>
      </c>
      <c r="G258" s="382">
        <f t="shared" si="28"/>
        <v>21.611729113993519</v>
      </c>
      <c r="H258" s="379">
        <f t="shared" si="29"/>
        <v>12.646660378129589</v>
      </c>
      <c r="I258" s="382">
        <f t="shared" si="30"/>
        <v>0</v>
      </c>
      <c r="J258" s="379">
        <f t="shared" si="31"/>
        <v>0</v>
      </c>
      <c r="K258" s="374">
        <f t="shared" si="32"/>
        <v>0</v>
      </c>
      <c r="L258" s="378">
        <f t="shared" si="33"/>
        <v>5.5870118606116623</v>
      </c>
      <c r="M258" s="114">
        <f>L258*D258*'B) D RI'!S260</f>
        <v>150335.31514533859</v>
      </c>
    </row>
    <row r="259" spans="1:13" x14ac:dyDescent="0.25">
      <c r="A259" s="298">
        <f>'A) Base RI'!A261</f>
        <v>5852</v>
      </c>
      <c r="B259" s="32" t="str">
        <f>'A) Base RI'!B261</f>
        <v>Bursinel</v>
      </c>
      <c r="C259" s="296">
        <f>'B) D RI'!U261</f>
        <v>39695.951591324636</v>
      </c>
      <c r="D259" s="32">
        <f>'B) D RI'!AA261</f>
        <v>471</v>
      </c>
      <c r="E259" s="202">
        <f t="shared" si="26"/>
        <v>84.280151998566112</v>
      </c>
      <c r="F259" s="371">
        <f t="shared" si="27"/>
        <v>1.8801897560787482</v>
      </c>
      <c r="G259" s="382">
        <f t="shared" si="28"/>
        <v>39.454808319246439</v>
      </c>
      <c r="H259" s="379">
        <f t="shared" si="29"/>
        <v>30.489739583382509</v>
      </c>
      <c r="I259" s="382">
        <f t="shared" si="30"/>
        <v>17.042136479586603</v>
      </c>
      <c r="J259" s="379">
        <f t="shared" si="31"/>
        <v>0</v>
      </c>
      <c r="K259" s="374">
        <f t="shared" si="32"/>
        <v>0</v>
      </c>
      <c r="L259" s="378">
        <f t="shared" si="33"/>
        <v>12.644149270146197</v>
      </c>
      <c r="M259" s="114">
        <f>L259*D259*'B) D RI'!S261</f>
        <v>390078.32705864526</v>
      </c>
    </row>
    <row r="260" spans="1:13" x14ac:dyDescent="0.25">
      <c r="A260" s="298">
        <f>'A) Base RI'!A262</f>
        <v>5853</v>
      </c>
      <c r="B260" s="32" t="str">
        <f>'A) Base RI'!B262</f>
        <v>Bursins</v>
      </c>
      <c r="C260" s="296">
        <f>'B) D RI'!U262</f>
        <v>36570.93565140845</v>
      </c>
      <c r="D260" s="32">
        <f>'B) D RI'!AA262</f>
        <v>752</v>
      </c>
      <c r="E260" s="202">
        <f t="shared" si="26"/>
        <v>48.631563366234644</v>
      </c>
      <c r="F260" s="371">
        <f t="shared" si="27"/>
        <v>1.0849122254174925</v>
      </c>
      <c r="G260" s="382">
        <f t="shared" si="28"/>
        <v>3.8062196869149716</v>
      </c>
      <c r="H260" s="379">
        <f t="shared" si="29"/>
        <v>0</v>
      </c>
      <c r="I260" s="382">
        <f t="shared" si="30"/>
        <v>0</v>
      </c>
      <c r="J260" s="379">
        <f t="shared" si="31"/>
        <v>0</v>
      </c>
      <c r="K260" s="374">
        <f t="shared" si="32"/>
        <v>0</v>
      </c>
      <c r="L260" s="378">
        <f t="shared" si="33"/>
        <v>0.76124393738299434</v>
      </c>
      <c r="M260" s="114">
        <f>L260*D260*'B) D RI'!S262</f>
        <v>40644.33630475284</v>
      </c>
    </row>
    <row r="261" spans="1:13" x14ac:dyDescent="0.25">
      <c r="A261" s="298">
        <f>'A) Base RI'!A263</f>
        <v>5854</v>
      </c>
      <c r="B261" s="32" t="str">
        <f>'A) Base RI'!B263</f>
        <v>Burtigny</v>
      </c>
      <c r="C261" s="296">
        <f>'B) D RI'!U263</f>
        <v>15186.776169765042</v>
      </c>
      <c r="D261" s="32">
        <f>'B) D RI'!AA263</f>
        <v>391</v>
      </c>
      <c r="E261" s="202">
        <f t="shared" si="26"/>
        <v>38.84085976922006</v>
      </c>
      <c r="F261" s="371">
        <f t="shared" si="27"/>
        <v>0.86649329555814258</v>
      </c>
      <c r="G261" s="382">
        <f t="shared" si="28"/>
        <v>0</v>
      </c>
      <c r="H261" s="379">
        <f t="shared" si="29"/>
        <v>0</v>
      </c>
      <c r="I261" s="382">
        <f t="shared" si="30"/>
        <v>0</v>
      </c>
      <c r="J261" s="379">
        <f t="shared" si="31"/>
        <v>0</v>
      </c>
      <c r="K261" s="374">
        <f t="shared" si="32"/>
        <v>0</v>
      </c>
      <c r="L261" s="378">
        <f t="shared" si="33"/>
        <v>0</v>
      </c>
      <c r="M261" s="114">
        <f>L261*D261*'B) D RI'!S263</f>
        <v>0</v>
      </c>
    </row>
    <row r="262" spans="1:13" x14ac:dyDescent="0.25">
      <c r="A262" s="298">
        <f>'A) Base RI'!A264</f>
        <v>5855</v>
      </c>
      <c r="B262" s="32" t="str">
        <f>'A) Base RI'!B264</f>
        <v>Dully</v>
      </c>
      <c r="C262" s="296">
        <f>'B) D RI'!U264</f>
        <v>91369.635498396179</v>
      </c>
      <c r="D262" s="32">
        <f>'B) D RI'!AA264</f>
        <v>635</v>
      </c>
      <c r="E262" s="202">
        <f t="shared" ref="E262:E313" si="34">C262/D262</f>
        <v>143.88918976125382</v>
      </c>
      <c r="F262" s="371">
        <f t="shared" ref="F262:F313" si="35">E262/$E$314</f>
        <v>3.209996353639506</v>
      </c>
      <c r="G262" s="382">
        <f t="shared" ref="G262:G313" si="36">IF(E262-$G$2&lt;0,0,E262-$G$2)</f>
        <v>99.063846081934145</v>
      </c>
      <c r="H262" s="379">
        <f t="shared" ref="H262:H313" si="37">IF(E262-$H$2&lt;0,0,E262-$H$2)</f>
        <v>90.098777346070221</v>
      </c>
      <c r="I262" s="382">
        <f t="shared" ref="I262:I313" si="38">IF(E262-$I$2&lt;0,0,E262-$I$2)</f>
        <v>76.651174242274308</v>
      </c>
      <c r="J262" s="379">
        <f t="shared" ref="J262:J313" si="39">IF(E262-$J$2&lt;0,0,E262-$J$2)</f>
        <v>54.238502402614472</v>
      </c>
      <c r="K262" s="374">
        <f t="shared" ref="K262:K313" si="40">IF(E262-$K$2&lt;0,0,E262-$K$2)</f>
        <v>9.4131587232947993</v>
      </c>
      <c r="L262" s="378">
        <f t="shared" ref="L262:L313" si="41">(G262-H262)*$G$3+(H262-I262)*$H$3+(I262-J262)*$I$3+(J262-K262)*$J$3+(K262*$K$3)</f>
        <v>42.852930487812216</v>
      </c>
      <c r="M262" s="114">
        <f>L262*D262*'B) D RI'!S264</f>
        <v>1333368.9321282771</v>
      </c>
    </row>
    <row r="263" spans="1:13" x14ac:dyDescent="0.25">
      <c r="A263" s="298">
        <f>'A) Base RI'!A265</f>
        <v>5856</v>
      </c>
      <c r="B263" s="32" t="str">
        <f>'A) Base RI'!B265</f>
        <v>Essertines-sur-Rolle</v>
      </c>
      <c r="C263" s="296">
        <f>'B) D RI'!U265</f>
        <v>37403.277675115321</v>
      </c>
      <c r="D263" s="32">
        <f>'B) D RI'!AA265</f>
        <v>726</v>
      </c>
      <c r="E263" s="202">
        <f t="shared" si="34"/>
        <v>51.519666219167107</v>
      </c>
      <c r="F263" s="371">
        <f t="shared" si="35"/>
        <v>1.1493423583707152</v>
      </c>
      <c r="G263" s="382">
        <f t="shared" si="36"/>
        <v>6.694322539847434</v>
      </c>
      <c r="H263" s="379">
        <f t="shared" si="37"/>
        <v>0</v>
      </c>
      <c r="I263" s="382">
        <f t="shared" si="38"/>
        <v>0</v>
      </c>
      <c r="J263" s="379">
        <f t="shared" si="39"/>
        <v>0</v>
      </c>
      <c r="K263" s="374">
        <f t="shared" si="40"/>
        <v>0</v>
      </c>
      <c r="L263" s="378">
        <f t="shared" si="41"/>
        <v>1.338864507969487</v>
      </c>
      <c r="M263" s="114">
        <f>L263*D263*'B) D RI'!S265</f>
        <v>66097.063029437631</v>
      </c>
    </row>
    <row r="264" spans="1:13" x14ac:dyDescent="0.25">
      <c r="A264" s="298">
        <f>'A) Base RI'!A266</f>
        <v>5857</v>
      </c>
      <c r="B264" s="32" t="str">
        <f>'A) Base RI'!B266</f>
        <v>Gilly</v>
      </c>
      <c r="C264" s="296">
        <f>'B) D RI'!U266</f>
        <v>88640.687774331382</v>
      </c>
      <c r="D264" s="32">
        <f>'B) D RI'!AA266</f>
        <v>1324</v>
      </c>
      <c r="E264" s="202">
        <f t="shared" si="34"/>
        <v>66.949159950401352</v>
      </c>
      <c r="F264" s="371">
        <f t="shared" si="35"/>
        <v>1.4935559764885546</v>
      </c>
      <c r="G264" s="382">
        <f t="shared" si="36"/>
        <v>22.123816271081679</v>
      </c>
      <c r="H264" s="379">
        <f t="shared" si="37"/>
        <v>13.158747535217749</v>
      </c>
      <c r="I264" s="382">
        <f t="shared" si="38"/>
        <v>0</v>
      </c>
      <c r="J264" s="379">
        <f t="shared" si="39"/>
        <v>0</v>
      </c>
      <c r="K264" s="374">
        <f t="shared" si="40"/>
        <v>0</v>
      </c>
      <c r="L264" s="378">
        <f t="shared" si="41"/>
        <v>5.7406380077381112</v>
      </c>
      <c r="M264" s="114">
        <f>L264*D264*'B) D RI'!S266</f>
        <v>501639.91166818707</v>
      </c>
    </row>
    <row r="265" spans="1:13" x14ac:dyDescent="0.25">
      <c r="A265" s="298">
        <f>'A) Base RI'!A267</f>
        <v>5858</v>
      </c>
      <c r="B265" s="32" t="str">
        <f>'A) Base RI'!B267</f>
        <v>Luins</v>
      </c>
      <c r="C265" s="296">
        <f>'B) D RI'!U267</f>
        <v>43780.812152194871</v>
      </c>
      <c r="D265" s="32">
        <f>'B) D RI'!AA267</f>
        <v>613</v>
      </c>
      <c r="E265" s="202">
        <f t="shared" si="34"/>
        <v>71.420574473401089</v>
      </c>
      <c r="F265" s="371">
        <f t="shared" si="35"/>
        <v>1.5933079059994184</v>
      </c>
      <c r="G265" s="382">
        <f t="shared" si="36"/>
        <v>26.595230794081417</v>
      </c>
      <c r="H265" s="379">
        <f t="shared" si="37"/>
        <v>17.630162058217486</v>
      </c>
      <c r="I265" s="382">
        <f t="shared" si="38"/>
        <v>4.1825589544215802</v>
      </c>
      <c r="J265" s="379">
        <f t="shared" si="39"/>
        <v>0</v>
      </c>
      <c r="K265" s="374">
        <f t="shared" si="40"/>
        <v>0</v>
      </c>
      <c r="L265" s="378">
        <f t="shared" si="41"/>
        <v>7.5003182600801894</v>
      </c>
      <c r="M265" s="114">
        <f>L265*D265*'B) D RI'!S267</f>
        <v>275861.70560574939</v>
      </c>
    </row>
    <row r="266" spans="1:13" x14ac:dyDescent="0.25">
      <c r="A266" s="298">
        <f>'A) Base RI'!A268</f>
        <v>5859</v>
      </c>
      <c r="B266" s="32" t="str">
        <f>'A) Base RI'!B268</f>
        <v>Mont-sur-Rolle</v>
      </c>
      <c r="C266" s="296">
        <f>'B) D RI'!U268</f>
        <v>142403.85565354835</v>
      </c>
      <c r="D266" s="32">
        <f>'B) D RI'!AA268</f>
        <v>2651</v>
      </c>
      <c r="E266" s="202">
        <f t="shared" si="34"/>
        <v>53.717033441549738</v>
      </c>
      <c r="F266" s="371">
        <f t="shared" si="35"/>
        <v>1.1983630025425165</v>
      </c>
      <c r="G266" s="382">
        <f t="shared" si="36"/>
        <v>8.8916897622300652</v>
      </c>
      <c r="H266" s="379">
        <f t="shared" si="37"/>
        <v>0</v>
      </c>
      <c r="I266" s="382">
        <f t="shared" si="38"/>
        <v>0</v>
      </c>
      <c r="J266" s="379">
        <f t="shared" si="39"/>
        <v>0</v>
      </c>
      <c r="K266" s="374">
        <f t="shared" si="40"/>
        <v>0</v>
      </c>
      <c r="L266" s="378">
        <f t="shared" si="41"/>
        <v>1.7783379524460132</v>
      </c>
      <c r="M266" s="114">
        <f>L266*D266*'B) D RI'!S268</f>
        <v>306434.30427573476</v>
      </c>
    </row>
    <row r="267" spans="1:13" x14ac:dyDescent="0.25">
      <c r="A267" s="298">
        <f>'A) Base RI'!A269</f>
        <v>5860</v>
      </c>
      <c r="B267" s="32" t="str">
        <f>'A) Base RI'!B269</f>
        <v>Perroy</v>
      </c>
      <c r="C267" s="296">
        <f>'B) D RI'!U269</f>
        <v>95160.687801613312</v>
      </c>
      <c r="D267" s="32">
        <f>'B) D RI'!AA269</f>
        <v>1542</v>
      </c>
      <c r="E267" s="202">
        <f t="shared" si="34"/>
        <v>61.712508301954159</v>
      </c>
      <c r="F267" s="371">
        <f t="shared" si="35"/>
        <v>1.3767325186270782</v>
      </c>
      <c r="G267" s="382">
        <f t="shared" si="36"/>
        <v>16.887164622634486</v>
      </c>
      <c r="H267" s="379">
        <f t="shared" si="37"/>
        <v>7.9220958867705562</v>
      </c>
      <c r="I267" s="382">
        <f t="shared" si="38"/>
        <v>0</v>
      </c>
      <c r="J267" s="379">
        <f t="shared" si="39"/>
        <v>0</v>
      </c>
      <c r="K267" s="374">
        <f t="shared" si="40"/>
        <v>0</v>
      </c>
      <c r="L267" s="378">
        <f t="shared" si="41"/>
        <v>4.1696425132039527</v>
      </c>
      <c r="M267" s="114">
        <f>L267*D267*'B) D RI'!S269</f>
        <v>385775.3253216297</v>
      </c>
    </row>
    <row r="268" spans="1:13" x14ac:dyDescent="0.25">
      <c r="A268" s="298">
        <f>'A) Base RI'!A270</f>
        <v>5861</v>
      </c>
      <c r="B268" s="32" t="str">
        <f>'A) Base RI'!B270</f>
        <v>Rolle</v>
      </c>
      <c r="C268" s="296">
        <f>'B) D RI'!U270</f>
        <v>574229.10238061741</v>
      </c>
      <c r="D268" s="32">
        <f>'B) D RI'!AA270</f>
        <v>6246</v>
      </c>
      <c r="E268" s="202">
        <f t="shared" si="34"/>
        <v>91.935495097761347</v>
      </c>
      <c r="F268" s="371">
        <f t="shared" si="35"/>
        <v>2.0509713378991026</v>
      </c>
      <c r="G268" s="382">
        <f t="shared" si="36"/>
        <v>47.110151418441674</v>
      </c>
      <c r="H268" s="379">
        <f t="shared" si="37"/>
        <v>38.145082682577744</v>
      </c>
      <c r="I268" s="382">
        <f t="shared" si="38"/>
        <v>24.697479578781838</v>
      </c>
      <c r="J268" s="379">
        <f t="shared" si="39"/>
        <v>2.2848077391220016</v>
      </c>
      <c r="K268" s="374">
        <f t="shared" si="40"/>
        <v>0</v>
      </c>
      <c r="L268" s="378">
        <f t="shared" si="41"/>
        <v>15.934767283736495</v>
      </c>
      <c r="M268" s="114">
        <f>L268*D268*'B) D RI'!S270</f>
        <v>5921949.1090259803</v>
      </c>
    </row>
    <row r="269" spans="1:13" x14ac:dyDescent="0.25">
      <c r="A269" s="298">
        <f>'A) Base RI'!A271</f>
        <v>5862</v>
      </c>
      <c r="B269" s="32" t="str">
        <f>'A) Base RI'!B271</f>
        <v>Tartegnin</v>
      </c>
      <c r="C269" s="296">
        <f>'B) D RI'!U271</f>
        <v>12235.59571867773</v>
      </c>
      <c r="D269" s="32">
        <f>'B) D RI'!AA271</f>
        <v>246</v>
      </c>
      <c r="E269" s="202">
        <f t="shared" si="34"/>
        <v>49.738193978364755</v>
      </c>
      <c r="F269" s="371">
        <f t="shared" si="35"/>
        <v>1.1095998356240522</v>
      </c>
      <c r="G269" s="382">
        <f t="shared" si="36"/>
        <v>4.9128502990450826</v>
      </c>
      <c r="H269" s="379">
        <f t="shared" si="37"/>
        <v>0</v>
      </c>
      <c r="I269" s="382">
        <f t="shared" si="38"/>
        <v>0</v>
      </c>
      <c r="J269" s="379">
        <f t="shared" si="39"/>
        <v>0</v>
      </c>
      <c r="K269" s="374">
        <f t="shared" si="40"/>
        <v>0</v>
      </c>
      <c r="L269" s="378">
        <f t="shared" si="41"/>
        <v>0.98257005980901657</v>
      </c>
      <c r="M269" s="114">
        <f>L269*D269*'B) D RI'!S271</f>
        <v>19578.691011754465</v>
      </c>
    </row>
    <row r="270" spans="1:13" x14ac:dyDescent="0.25">
      <c r="A270" s="298">
        <f>'A) Base RI'!A272</f>
        <v>5863</v>
      </c>
      <c r="B270" s="32" t="str">
        <f>'A) Base RI'!B272</f>
        <v>Vinzel</v>
      </c>
      <c r="C270" s="296">
        <f>'B) D RI'!U272</f>
        <v>22394.635794374353</v>
      </c>
      <c r="D270" s="32">
        <f>'B) D RI'!AA272</f>
        <v>358</v>
      </c>
      <c r="E270" s="202">
        <f t="shared" si="34"/>
        <v>62.554848587637856</v>
      </c>
      <c r="F270" s="371">
        <f t="shared" si="35"/>
        <v>1.395524126600233</v>
      </c>
      <c r="G270" s="382">
        <f t="shared" si="36"/>
        <v>17.729504908318184</v>
      </c>
      <c r="H270" s="379">
        <f t="shared" si="37"/>
        <v>8.7644361724542534</v>
      </c>
      <c r="I270" s="382">
        <f t="shared" si="38"/>
        <v>0</v>
      </c>
      <c r="J270" s="379">
        <f t="shared" si="39"/>
        <v>0</v>
      </c>
      <c r="K270" s="374">
        <f t="shared" si="40"/>
        <v>0</v>
      </c>
      <c r="L270" s="378">
        <f t="shared" si="41"/>
        <v>4.4223445989090617</v>
      </c>
      <c r="M270" s="114">
        <f>L270*D270*'B) D RI'!S272</f>
        <v>106074.35754943275</v>
      </c>
    </row>
    <row r="271" spans="1:13" x14ac:dyDescent="0.25">
      <c r="A271" s="298">
        <f>'A) Base RI'!A273</f>
        <v>5871</v>
      </c>
      <c r="B271" s="32" t="str">
        <f>'A) Base RI'!B273</f>
        <v>L'Abbaye</v>
      </c>
      <c r="C271" s="296">
        <f>'B) D RI'!U273</f>
        <v>44671.831166364944</v>
      </c>
      <c r="D271" s="32">
        <f>'B) D RI'!AA273</f>
        <v>1481</v>
      </c>
      <c r="E271" s="202">
        <f t="shared" si="34"/>
        <v>30.163289106255871</v>
      </c>
      <c r="F271" s="371">
        <f t="shared" si="35"/>
        <v>0.67290703495870374</v>
      </c>
      <c r="G271" s="382">
        <f t="shared" si="36"/>
        <v>0</v>
      </c>
      <c r="H271" s="379">
        <f t="shared" si="37"/>
        <v>0</v>
      </c>
      <c r="I271" s="382">
        <f t="shared" si="38"/>
        <v>0</v>
      </c>
      <c r="J271" s="379">
        <f t="shared" si="39"/>
        <v>0</v>
      </c>
      <c r="K271" s="374">
        <f t="shared" si="40"/>
        <v>0</v>
      </c>
      <c r="L271" s="378">
        <f t="shared" si="41"/>
        <v>0</v>
      </c>
      <c r="M271" s="114">
        <f>L271*D271*'B) D RI'!S273</f>
        <v>0</v>
      </c>
    </row>
    <row r="272" spans="1:13" x14ac:dyDescent="0.25">
      <c r="A272" s="298">
        <f>'A) Base RI'!A274</f>
        <v>5872</v>
      </c>
      <c r="B272" s="32" t="str">
        <f>'A) Base RI'!B274</f>
        <v>Le Chenit</v>
      </c>
      <c r="C272" s="296">
        <f>'B) D RI'!U274</f>
        <v>169487.47890245376</v>
      </c>
      <c r="D272" s="32">
        <f>'B) D RI'!AA274</f>
        <v>4605</v>
      </c>
      <c r="E272" s="202">
        <f t="shared" si="34"/>
        <v>36.805098567308093</v>
      </c>
      <c r="F272" s="371">
        <f t="shared" si="35"/>
        <v>0.82107788912030699</v>
      </c>
      <c r="G272" s="382">
        <f t="shared" si="36"/>
        <v>0</v>
      </c>
      <c r="H272" s="379">
        <f t="shared" si="37"/>
        <v>0</v>
      </c>
      <c r="I272" s="382">
        <f t="shared" si="38"/>
        <v>0</v>
      </c>
      <c r="J272" s="379">
        <f t="shared" si="39"/>
        <v>0</v>
      </c>
      <c r="K272" s="374">
        <f t="shared" si="40"/>
        <v>0</v>
      </c>
      <c r="L272" s="378">
        <f t="shared" si="41"/>
        <v>0</v>
      </c>
      <c r="M272" s="114">
        <f>L272*D272*'B) D RI'!S274</f>
        <v>0</v>
      </c>
    </row>
    <row r="273" spans="1:13" x14ac:dyDescent="0.25">
      <c r="A273" s="298">
        <f>'A) Base RI'!A275</f>
        <v>5873</v>
      </c>
      <c r="B273" s="32" t="str">
        <f>'A) Base RI'!B275</f>
        <v>Le Lieu</v>
      </c>
      <c r="C273" s="296">
        <f>'B) D RI'!U275</f>
        <v>29965.351280448966</v>
      </c>
      <c r="D273" s="32">
        <f>'B) D RI'!AA275</f>
        <v>875</v>
      </c>
      <c r="E273" s="202">
        <f t="shared" si="34"/>
        <v>34.246115749084531</v>
      </c>
      <c r="F273" s="371">
        <f t="shared" si="35"/>
        <v>0.76399003193552972</v>
      </c>
      <c r="G273" s="382">
        <f t="shared" si="36"/>
        <v>0</v>
      </c>
      <c r="H273" s="379">
        <f t="shared" si="37"/>
        <v>0</v>
      </c>
      <c r="I273" s="382">
        <f t="shared" si="38"/>
        <v>0</v>
      </c>
      <c r="J273" s="379">
        <f t="shared" si="39"/>
        <v>0</v>
      </c>
      <c r="K273" s="374">
        <f t="shared" si="40"/>
        <v>0</v>
      </c>
      <c r="L273" s="378">
        <f t="shared" si="41"/>
        <v>0</v>
      </c>
      <c r="M273" s="114">
        <f>L273*D273*'B) D RI'!S275</f>
        <v>0</v>
      </c>
    </row>
    <row r="274" spans="1:13" x14ac:dyDescent="0.25">
      <c r="A274" s="298">
        <f>'A) Base RI'!A276</f>
        <v>5881</v>
      </c>
      <c r="B274" s="32" t="str">
        <f>'A) Base RI'!B276</f>
        <v>Blonay</v>
      </c>
      <c r="C274" s="296">
        <f>'B) D RI'!U276</f>
        <v>329876.03226063965</v>
      </c>
      <c r="D274" s="32">
        <f>'B) D RI'!AA276</f>
        <v>6175</v>
      </c>
      <c r="E274" s="202">
        <f t="shared" si="34"/>
        <v>53.421219799293873</v>
      </c>
      <c r="F274" s="371">
        <f t="shared" si="35"/>
        <v>1.1917637526991218</v>
      </c>
      <c r="G274" s="382">
        <f t="shared" si="36"/>
        <v>8.5958761199742</v>
      </c>
      <c r="H274" s="379">
        <f t="shared" si="37"/>
        <v>0</v>
      </c>
      <c r="I274" s="382">
        <f t="shared" si="38"/>
        <v>0</v>
      </c>
      <c r="J274" s="379">
        <f t="shared" si="39"/>
        <v>0</v>
      </c>
      <c r="K274" s="374">
        <f t="shared" si="40"/>
        <v>0</v>
      </c>
      <c r="L274" s="378">
        <f t="shared" si="41"/>
        <v>1.7191752239948401</v>
      </c>
      <c r="M274" s="114">
        <f>L274*D274*'B) D RI'!S276</f>
        <v>743113.49057176965</v>
      </c>
    </row>
    <row r="275" spans="1:13" x14ac:dyDescent="0.25">
      <c r="A275" s="298">
        <f>'A) Base RI'!A277</f>
        <v>5882</v>
      </c>
      <c r="B275" s="32" t="str">
        <f>'A) Base RI'!B277</f>
        <v>Chardonne</v>
      </c>
      <c r="C275" s="296">
        <f>'B) D RI'!U277</f>
        <v>160866.12406088383</v>
      </c>
      <c r="D275" s="32">
        <f>'B) D RI'!AA277</f>
        <v>2941</v>
      </c>
      <c r="E275" s="202">
        <f t="shared" si="34"/>
        <v>54.697764046543291</v>
      </c>
      <c r="F275" s="371">
        <f t="shared" si="35"/>
        <v>1.2202419336224364</v>
      </c>
      <c r="G275" s="382">
        <f t="shared" si="36"/>
        <v>9.8724203672236186</v>
      </c>
      <c r="H275" s="379">
        <f t="shared" si="37"/>
        <v>0.90735163135968833</v>
      </c>
      <c r="I275" s="382">
        <f t="shared" si="38"/>
        <v>0</v>
      </c>
      <c r="J275" s="379">
        <f t="shared" si="39"/>
        <v>0</v>
      </c>
      <c r="K275" s="374">
        <f t="shared" si="40"/>
        <v>0</v>
      </c>
      <c r="L275" s="378">
        <f t="shared" si="41"/>
        <v>2.0652192365806927</v>
      </c>
      <c r="M275" s="114">
        <f>L275*D275*'B) D RI'!S277</f>
        <v>413019.06468529959</v>
      </c>
    </row>
    <row r="276" spans="1:13" x14ac:dyDescent="0.25">
      <c r="A276" s="298">
        <f>'A) Base RI'!A278</f>
        <v>5883</v>
      </c>
      <c r="B276" s="32" t="str">
        <f>'A) Base RI'!B278</f>
        <v>Corseaux</v>
      </c>
      <c r="C276" s="296">
        <f>'B) D RI'!U278</f>
        <v>155219.69320868849</v>
      </c>
      <c r="D276" s="32">
        <f>'B) D RI'!AA278</f>
        <v>2282</v>
      </c>
      <c r="E276" s="202">
        <f t="shared" si="34"/>
        <v>68.019146892501524</v>
      </c>
      <c r="F276" s="371">
        <f t="shared" si="35"/>
        <v>1.5174261100842912</v>
      </c>
      <c r="G276" s="382">
        <f t="shared" si="36"/>
        <v>23.193803213181852</v>
      </c>
      <c r="H276" s="379">
        <f t="shared" si="37"/>
        <v>14.228734477317921</v>
      </c>
      <c r="I276" s="382">
        <f t="shared" si="38"/>
        <v>0.78113137352201534</v>
      </c>
      <c r="J276" s="379">
        <f t="shared" si="39"/>
        <v>0</v>
      </c>
      <c r="K276" s="374">
        <f t="shared" si="40"/>
        <v>0</v>
      </c>
      <c r="L276" s="378">
        <f t="shared" si="41"/>
        <v>6.1397472277203633</v>
      </c>
      <c r="M276" s="114">
        <f>L276*D276*'B) D RI'!S278</f>
        <v>966752.31898239302</v>
      </c>
    </row>
    <row r="277" spans="1:13" x14ac:dyDescent="0.25">
      <c r="A277" s="298">
        <f>'A) Base RI'!A279</f>
        <v>5884</v>
      </c>
      <c r="B277" s="32" t="str">
        <f>'A) Base RI'!B279</f>
        <v>Corsier-sur-Vevey</v>
      </c>
      <c r="C277" s="296">
        <f>'B) D RI'!U279</f>
        <v>113730.49763913798</v>
      </c>
      <c r="D277" s="32">
        <f>'B) D RI'!AA279</f>
        <v>3386</v>
      </c>
      <c r="E277" s="202">
        <f t="shared" si="34"/>
        <v>33.588451754027751</v>
      </c>
      <c r="F277" s="371">
        <f t="shared" si="35"/>
        <v>0.74931833193113695</v>
      </c>
      <c r="G277" s="382">
        <f t="shared" si="36"/>
        <v>0</v>
      </c>
      <c r="H277" s="379">
        <f t="shared" si="37"/>
        <v>0</v>
      </c>
      <c r="I277" s="382">
        <f t="shared" si="38"/>
        <v>0</v>
      </c>
      <c r="J277" s="379">
        <f t="shared" si="39"/>
        <v>0</v>
      </c>
      <c r="K277" s="374">
        <f t="shared" si="40"/>
        <v>0</v>
      </c>
      <c r="L277" s="378">
        <f t="shared" si="41"/>
        <v>0</v>
      </c>
      <c r="M277" s="114">
        <f>L277*D277*'B) D RI'!S279</f>
        <v>0</v>
      </c>
    </row>
    <row r="278" spans="1:13" x14ac:dyDescent="0.25">
      <c r="A278" s="298">
        <f>'A) Base RI'!A280</f>
        <v>5885</v>
      </c>
      <c r="B278" s="32" t="str">
        <f>'A) Base RI'!B280</f>
        <v>Jongny</v>
      </c>
      <c r="C278" s="296">
        <f>'B) D RI'!U280</f>
        <v>83488.016188395792</v>
      </c>
      <c r="D278" s="32">
        <f>'B) D RI'!AA280</f>
        <v>1536</v>
      </c>
      <c r="E278" s="202">
        <f t="shared" si="34"/>
        <v>54.354177205986844</v>
      </c>
      <c r="F278" s="371">
        <f t="shared" si="35"/>
        <v>1.2125769206553418</v>
      </c>
      <c r="G278" s="382">
        <f t="shared" si="36"/>
        <v>9.5288335266671709</v>
      </c>
      <c r="H278" s="379">
        <f t="shared" si="37"/>
        <v>0.5637647908032406</v>
      </c>
      <c r="I278" s="382">
        <f t="shared" si="38"/>
        <v>0</v>
      </c>
      <c r="J278" s="379">
        <f t="shared" si="39"/>
        <v>0</v>
      </c>
      <c r="K278" s="374">
        <f t="shared" si="40"/>
        <v>0</v>
      </c>
      <c r="L278" s="378">
        <f t="shared" si="41"/>
        <v>1.9621431844137582</v>
      </c>
      <c r="M278" s="114">
        <f>L278*D278*'B) D RI'!S280</f>
        <v>213983.48711942681</v>
      </c>
    </row>
    <row r="279" spans="1:13" x14ac:dyDescent="0.25">
      <c r="A279" s="298">
        <f>'A) Base RI'!A281</f>
        <v>5886</v>
      </c>
      <c r="B279" s="32" t="str">
        <f>'A) Base RI'!B281</f>
        <v>Montreux</v>
      </c>
      <c r="C279" s="296">
        <f>'B) D RI'!U281</f>
        <v>1097840.7322767281</v>
      </c>
      <c r="D279" s="32">
        <f>'B) D RI'!AA281</f>
        <v>26006</v>
      </c>
      <c r="E279" s="202">
        <f t="shared" si="34"/>
        <v>42.214901648724457</v>
      </c>
      <c r="F279" s="371">
        <f t="shared" si="35"/>
        <v>0.94176414911014827</v>
      </c>
      <c r="G279" s="382">
        <f t="shared" si="36"/>
        <v>0</v>
      </c>
      <c r="H279" s="379">
        <f t="shared" si="37"/>
        <v>0</v>
      </c>
      <c r="I279" s="382">
        <f t="shared" si="38"/>
        <v>0</v>
      </c>
      <c r="J279" s="379">
        <f t="shared" si="39"/>
        <v>0</v>
      </c>
      <c r="K279" s="374">
        <f t="shared" si="40"/>
        <v>0</v>
      </c>
      <c r="L279" s="378">
        <f t="shared" si="41"/>
        <v>0</v>
      </c>
      <c r="M279" s="114">
        <f>L279*D279*'B) D RI'!S281</f>
        <v>0</v>
      </c>
    </row>
    <row r="280" spans="1:13" x14ac:dyDescent="0.25">
      <c r="A280" s="298">
        <f>'A) Base RI'!A282</f>
        <v>5888</v>
      </c>
      <c r="B280" s="32" t="str">
        <f>'A) Base RI'!B282</f>
        <v>Saint-Légier-La Chiésaz</v>
      </c>
      <c r="C280" s="296">
        <f>'B) D RI'!U282</f>
        <v>314313.56949265295</v>
      </c>
      <c r="D280" s="32">
        <f>'B) D RI'!AA282</f>
        <v>5185</v>
      </c>
      <c r="E280" s="202">
        <f t="shared" si="34"/>
        <v>60.619781965796136</v>
      </c>
      <c r="F280" s="371">
        <f t="shared" si="35"/>
        <v>1.3523550962480022</v>
      </c>
      <c r="G280" s="382">
        <f t="shared" si="36"/>
        <v>15.794438286476463</v>
      </c>
      <c r="H280" s="379">
        <f t="shared" si="37"/>
        <v>6.8293695506125331</v>
      </c>
      <c r="I280" s="382">
        <f t="shared" si="38"/>
        <v>0</v>
      </c>
      <c r="J280" s="379">
        <f t="shared" si="39"/>
        <v>0</v>
      </c>
      <c r="K280" s="374">
        <f t="shared" si="40"/>
        <v>0</v>
      </c>
      <c r="L280" s="378">
        <f t="shared" si="41"/>
        <v>3.8418246123565458</v>
      </c>
      <c r="M280" s="114">
        <f>L280*D280*'B) D RI'!S282</f>
        <v>1394390.2430548084</v>
      </c>
    </row>
    <row r="281" spans="1:13" x14ac:dyDescent="0.25">
      <c r="A281" s="298">
        <f>'A) Base RI'!A283</f>
        <v>5889</v>
      </c>
      <c r="B281" s="32" t="str">
        <f>'A) Base RI'!B283</f>
        <v>La Tour-de-Peilz</v>
      </c>
      <c r="C281" s="296">
        <f>'B) D RI'!U283</f>
        <v>638439.35310298624</v>
      </c>
      <c r="D281" s="32">
        <f>'B) D RI'!AA283</f>
        <v>11871</v>
      </c>
      <c r="E281" s="202">
        <f t="shared" si="34"/>
        <v>53.781429795551027</v>
      </c>
      <c r="F281" s="371">
        <f t="shared" si="35"/>
        <v>1.1997996084604092</v>
      </c>
      <c r="G281" s="382">
        <f t="shared" si="36"/>
        <v>8.9560861162313543</v>
      </c>
      <c r="H281" s="379">
        <f t="shared" si="37"/>
        <v>0</v>
      </c>
      <c r="I281" s="382">
        <f t="shared" si="38"/>
        <v>0</v>
      </c>
      <c r="J281" s="379">
        <f t="shared" si="39"/>
        <v>0</v>
      </c>
      <c r="K281" s="374">
        <f t="shared" si="40"/>
        <v>0</v>
      </c>
      <c r="L281" s="378">
        <f t="shared" si="41"/>
        <v>1.7912172232462709</v>
      </c>
      <c r="M281" s="114">
        <f>L281*D281*'B) D RI'!S283</f>
        <v>1360866.5380580148</v>
      </c>
    </row>
    <row r="282" spans="1:13" x14ac:dyDescent="0.25">
      <c r="A282" s="298">
        <f>'A) Base RI'!A284</f>
        <v>5890</v>
      </c>
      <c r="B282" s="32" t="str">
        <f>'A) Base RI'!B284</f>
        <v>Vevey</v>
      </c>
      <c r="C282" s="296">
        <f>'B) D RI'!U284</f>
        <v>913497.60631978849</v>
      </c>
      <c r="D282" s="32">
        <f>'B) D RI'!AA284</f>
        <v>19904</v>
      </c>
      <c r="E282" s="202">
        <f t="shared" si="34"/>
        <v>45.895177166388088</v>
      </c>
      <c r="F282" s="371">
        <f t="shared" si="35"/>
        <v>1.0238667101968475</v>
      </c>
      <c r="G282" s="382">
        <f t="shared" si="36"/>
        <v>1.069833487068415</v>
      </c>
      <c r="H282" s="379">
        <f t="shared" si="37"/>
        <v>0</v>
      </c>
      <c r="I282" s="382">
        <f t="shared" si="38"/>
        <v>0</v>
      </c>
      <c r="J282" s="379">
        <f t="shared" si="39"/>
        <v>0</v>
      </c>
      <c r="K282" s="374">
        <f t="shared" si="40"/>
        <v>0</v>
      </c>
      <c r="L282" s="378">
        <f t="shared" si="41"/>
        <v>0.21396669741368302</v>
      </c>
      <c r="M282" s="114">
        <f>L282*D282*'B) D RI'!S284</f>
        <v>323668.27904446796</v>
      </c>
    </row>
    <row r="283" spans="1:13" x14ac:dyDescent="0.25">
      <c r="A283" s="298">
        <f>'A) Base RI'!A285</f>
        <v>5891</v>
      </c>
      <c r="B283" s="32" t="str">
        <f>'A) Base RI'!B285</f>
        <v>Veytaux</v>
      </c>
      <c r="C283" s="296">
        <f>'B) D RI'!U285</f>
        <v>36119.381724012419</v>
      </c>
      <c r="D283" s="32">
        <f>'B) D RI'!AA285</f>
        <v>884</v>
      </c>
      <c r="E283" s="202">
        <f t="shared" si="34"/>
        <v>40.85902909956156</v>
      </c>
      <c r="F283" s="371">
        <f t="shared" si="35"/>
        <v>0.91151624830513045</v>
      </c>
      <c r="G283" s="382">
        <f t="shared" si="36"/>
        <v>0</v>
      </c>
      <c r="H283" s="379">
        <f t="shared" si="37"/>
        <v>0</v>
      </c>
      <c r="I283" s="382">
        <f t="shared" si="38"/>
        <v>0</v>
      </c>
      <c r="J283" s="379">
        <f t="shared" si="39"/>
        <v>0</v>
      </c>
      <c r="K283" s="374">
        <f t="shared" si="40"/>
        <v>0</v>
      </c>
      <c r="L283" s="378">
        <f t="shared" si="41"/>
        <v>0</v>
      </c>
      <c r="M283" s="114">
        <f>L283*D283*'B) D RI'!S285</f>
        <v>0</v>
      </c>
    </row>
    <row r="284" spans="1:13" x14ac:dyDescent="0.25">
      <c r="A284" s="298">
        <f>'A) Base RI'!A286</f>
        <v>5902</v>
      </c>
      <c r="B284" s="32" t="str">
        <f>'A) Base RI'!B286</f>
        <v>Belmont-sur-Yverdon</v>
      </c>
      <c r="C284" s="296">
        <f>'B) D RI'!U286</f>
        <v>10311.765900330549</v>
      </c>
      <c r="D284" s="32">
        <f>'B) D RI'!AA286</f>
        <v>384</v>
      </c>
      <c r="E284" s="202">
        <f t="shared" si="34"/>
        <v>26.853557032110803</v>
      </c>
      <c r="F284" s="371">
        <f t="shared" si="35"/>
        <v>0.59907085652752701</v>
      </c>
      <c r="G284" s="382">
        <f t="shared" si="36"/>
        <v>0</v>
      </c>
      <c r="H284" s="379">
        <f t="shared" si="37"/>
        <v>0</v>
      </c>
      <c r="I284" s="382">
        <f t="shared" si="38"/>
        <v>0</v>
      </c>
      <c r="J284" s="379">
        <f t="shared" si="39"/>
        <v>0</v>
      </c>
      <c r="K284" s="374">
        <f t="shared" si="40"/>
        <v>0</v>
      </c>
      <c r="L284" s="378">
        <f t="shared" si="41"/>
        <v>0</v>
      </c>
      <c r="M284" s="114">
        <f>L284*D284*'B) D RI'!S286</f>
        <v>0</v>
      </c>
    </row>
    <row r="285" spans="1:13" x14ac:dyDescent="0.25">
      <c r="A285" s="298">
        <f>'A) Base RI'!A287</f>
        <v>5903</v>
      </c>
      <c r="B285" s="32" t="str">
        <f>'A) Base RI'!B287</f>
        <v>Bioley-Magnoux</v>
      </c>
      <c r="C285" s="296">
        <f>'B) D RI'!U287</f>
        <v>5438.478399120967</v>
      </c>
      <c r="D285" s="32">
        <f>'B) D RI'!AA287</f>
        <v>225</v>
      </c>
      <c r="E285" s="202">
        <f t="shared" si="34"/>
        <v>24.171015107204298</v>
      </c>
      <c r="F285" s="371">
        <f t="shared" si="35"/>
        <v>0.53922654291562477</v>
      </c>
      <c r="G285" s="382">
        <f t="shared" si="36"/>
        <v>0</v>
      </c>
      <c r="H285" s="379">
        <f t="shared" si="37"/>
        <v>0</v>
      </c>
      <c r="I285" s="382">
        <f t="shared" si="38"/>
        <v>0</v>
      </c>
      <c r="J285" s="379">
        <f t="shared" si="39"/>
        <v>0</v>
      </c>
      <c r="K285" s="374">
        <f t="shared" si="40"/>
        <v>0</v>
      </c>
      <c r="L285" s="378">
        <f t="shared" si="41"/>
        <v>0</v>
      </c>
      <c r="M285" s="114">
        <f>L285*D285*'B) D RI'!S287</f>
        <v>0</v>
      </c>
    </row>
    <row r="286" spans="1:13" x14ac:dyDescent="0.25">
      <c r="A286" s="298">
        <f>'A) Base RI'!A288</f>
        <v>5904</v>
      </c>
      <c r="B286" s="32" t="str">
        <f>'A) Base RI'!B288</f>
        <v>Chamblon</v>
      </c>
      <c r="C286" s="296">
        <f>'B) D RI'!U288</f>
        <v>19974.80164727481</v>
      </c>
      <c r="D286" s="32">
        <f>'B) D RI'!AA288</f>
        <v>542</v>
      </c>
      <c r="E286" s="202">
        <f t="shared" si="34"/>
        <v>36.853877577997807</v>
      </c>
      <c r="F286" s="371">
        <f t="shared" si="35"/>
        <v>0.82216609071980118</v>
      </c>
      <c r="G286" s="382">
        <f t="shared" si="36"/>
        <v>0</v>
      </c>
      <c r="H286" s="379">
        <f t="shared" si="37"/>
        <v>0</v>
      </c>
      <c r="I286" s="382">
        <f t="shared" si="38"/>
        <v>0</v>
      </c>
      <c r="J286" s="379">
        <f t="shared" si="39"/>
        <v>0</v>
      </c>
      <c r="K286" s="374">
        <f t="shared" si="40"/>
        <v>0</v>
      </c>
      <c r="L286" s="378">
        <f t="shared" si="41"/>
        <v>0</v>
      </c>
      <c r="M286" s="114">
        <f>L286*D286*'B) D RI'!S288</f>
        <v>0</v>
      </c>
    </row>
    <row r="287" spans="1:13" x14ac:dyDescent="0.25">
      <c r="A287" s="298">
        <f>'A) Base RI'!A289</f>
        <v>5905</v>
      </c>
      <c r="B287" s="32" t="str">
        <f>'A) Base RI'!B289</f>
        <v>Champvent</v>
      </c>
      <c r="C287" s="296">
        <f>'B) D RI'!U289</f>
        <v>22958.275896270283</v>
      </c>
      <c r="D287" s="32">
        <f>'B) D RI'!AA289</f>
        <v>685</v>
      </c>
      <c r="E287" s="202">
        <f t="shared" si="34"/>
        <v>33.515731235431069</v>
      </c>
      <c r="F287" s="371">
        <f t="shared" si="35"/>
        <v>0.7476960238208652</v>
      </c>
      <c r="G287" s="382">
        <f t="shared" si="36"/>
        <v>0</v>
      </c>
      <c r="H287" s="379">
        <f t="shared" si="37"/>
        <v>0</v>
      </c>
      <c r="I287" s="382">
        <f t="shared" si="38"/>
        <v>0</v>
      </c>
      <c r="J287" s="379">
        <f t="shared" si="39"/>
        <v>0</v>
      </c>
      <c r="K287" s="374">
        <f t="shared" si="40"/>
        <v>0</v>
      </c>
      <c r="L287" s="378">
        <f t="shared" si="41"/>
        <v>0</v>
      </c>
      <c r="M287" s="114">
        <f>L287*D287*'B) D RI'!S289</f>
        <v>0</v>
      </c>
    </row>
    <row r="288" spans="1:13" x14ac:dyDescent="0.25">
      <c r="A288" s="298">
        <f>'A) Base RI'!A290</f>
        <v>5907</v>
      </c>
      <c r="B288" s="32" t="str">
        <f>'A) Base RI'!B290</f>
        <v>Chavannes-le-Chêne</v>
      </c>
      <c r="C288" s="296">
        <f>'B) D RI'!U290</f>
        <v>8069.3635983781451</v>
      </c>
      <c r="D288" s="32">
        <f>'B) D RI'!AA290</f>
        <v>308</v>
      </c>
      <c r="E288" s="202">
        <f t="shared" si="34"/>
        <v>26.199232462266703</v>
      </c>
      <c r="F288" s="371">
        <f t="shared" si="35"/>
        <v>0.58447365512010141</v>
      </c>
      <c r="G288" s="382">
        <f t="shared" si="36"/>
        <v>0</v>
      </c>
      <c r="H288" s="379">
        <f t="shared" si="37"/>
        <v>0</v>
      </c>
      <c r="I288" s="382">
        <f t="shared" si="38"/>
        <v>0</v>
      </c>
      <c r="J288" s="379">
        <f t="shared" si="39"/>
        <v>0</v>
      </c>
      <c r="K288" s="374">
        <f t="shared" si="40"/>
        <v>0</v>
      </c>
      <c r="L288" s="378">
        <f t="shared" si="41"/>
        <v>0</v>
      </c>
      <c r="M288" s="114">
        <f>L288*D288*'B) D RI'!S290</f>
        <v>0</v>
      </c>
    </row>
    <row r="289" spans="1:13" x14ac:dyDescent="0.25">
      <c r="A289" s="298">
        <f>'A) Base RI'!A291</f>
        <v>5908</v>
      </c>
      <c r="B289" s="32" t="str">
        <f>'A) Base RI'!B291</f>
        <v>Chêne-Pâquier</v>
      </c>
      <c r="C289" s="296">
        <f>'B) D RI'!U291</f>
        <v>3150.4766446398044</v>
      </c>
      <c r="D289" s="32">
        <f>'B) D RI'!AA291</f>
        <v>141</v>
      </c>
      <c r="E289" s="202">
        <f t="shared" si="34"/>
        <v>22.343805990353221</v>
      </c>
      <c r="F289" s="371">
        <f t="shared" si="35"/>
        <v>0.49846368496805554</v>
      </c>
      <c r="G289" s="382">
        <f t="shared" si="36"/>
        <v>0</v>
      </c>
      <c r="H289" s="379">
        <f t="shared" si="37"/>
        <v>0</v>
      </c>
      <c r="I289" s="382">
        <f t="shared" si="38"/>
        <v>0</v>
      </c>
      <c r="J289" s="379">
        <f t="shared" si="39"/>
        <v>0</v>
      </c>
      <c r="K289" s="374">
        <f t="shared" si="40"/>
        <v>0</v>
      </c>
      <c r="L289" s="378">
        <f t="shared" si="41"/>
        <v>0</v>
      </c>
      <c r="M289" s="114">
        <f>L289*D289*'B) D RI'!S291</f>
        <v>0</v>
      </c>
    </row>
    <row r="290" spans="1:13" x14ac:dyDescent="0.25">
      <c r="A290" s="298">
        <f>'A) Base RI'!A292</f>
        <v>5909</v>
      </c>
      <c r="B290" s="32" t="str">
        <f>'A) Base RI'!B292</f>
        <v>Cheseaux-Noréaz</v>
      </c>
      <c r="C290" s="296">
        <f>'B) D RI'!U292</f>
        <v>32363.863960310864</v>
      </c>
      <c r="D290" s="32">
        <f>'B) D RI'!AA292</f>
        <v>721</v>
      </c>
      <c r="E290" s="202">
        <f t="shared" si="34"/>
        <v>44.887467351332681</v>
      </c>
      <c r="F290" s="371">
        <f t="shared" si="35"/>
        <v>1.001385905091045</v>
      </c>
      <c r="G290" s="382">
        <f t="shared" si="36"/>
        <v>6.2123672013008502E-2</v>
      </c>
      <c r="H290" s="379">
        <f t="shared" si="37"/>
        <v>0</v>
      </c>
      <c r="I290" s="382">
        <f t="shared" si="38"/>
        <v>0</v>
      </c>
      <c r="J290" s="379">
        <f t="shared" si="39"/>
        <v>0</v>
      </c>
      <c r="K290" s="374">
        <f t="shared" si="40"/>
        <v>0</v>
      </c>
      <c r="L290" s="378">
        <f t="shared" si="41"/>
        <v>1.2424734402601702E-2</v>
      </c>
      <c r="M290" s="114">
        <f>L290*D290*'B) D RI'!S292</f>
        <v>627.07634529930783</v>
      </c>
    </row>
    <row r="291" spans="1:13" x14ac:dyDescent="0.25">
      <c r="A291" s="298">
        <f>'A) Base RI'!A293</f>
        <v>5910</v>
      </c>
      <c r="B291" s="32" t="str">
        <f>'A) Base RI'!B293</f>
        <v>Cronay</v>
      </c>
      <c r="C291" s="296">
        <f>'B) D RI'!U293</f>
        <v>9609.1535349412279</v>
      </c>
      <c r="D291" s="32">
        <f>'B) D RI'!AA293</f>
        <v>385</v>
      </c>
      <c r="E291" s="202">
        <f t="shared" si="34"/>
        <v>24.958840350496697</v>
      </c>
      <c r="F291" s="371">
        <f t="shared" si="35"/>
        <v>0.55680198525753954</v>
      </c>
      <c r="G291" s="382">
        <f t="shared" si="36"/>
        <v>0</v>
      </c>
      <c r="H291" s="379">
        <f t="shared" si="37"/>
        <v>0</v>
      </c>
      <c r="I291" s="382">
        <f t="shared" si="38"/>
        <v>0</v>
      </c>
      <c r="J291" s="379">
        <f t="shared" si="39"/>
        <v>0</v>
      </c>
      <c r="K291" s="374">
        <f t="shared" si="40"/>
        <v>0</v>
      </c>
      <c r="L291" s="378">
        <f t="shared" si="41"/>
        <v>0</v>
      </c>
      <c r="M291" s="114">
        <f>L291*D291*'B) D RI'!S293</f>
        <v>0</v>
      </c>
    </row>
    <row r="292" spans="1:13" x14ac:dyDescent="0.25">
      <c r="A292" s="298">
        <f>'A) Base RI'!A294</f>
        <v>5911</v>
      </c>
      <c r="B292" s="32" t="str">
        <f>'A) Base RI'!B294</f>
        <v>Cuarny</v>
      </c>
      <c r="C292" s="296">
        <f>'B) D RI'!U294</f>
        <v>6836.3467697278311</v>
      </c>
      <c r="D292" s="32">
        <f>'B) D RI'!AA294</f>
        <v>243</v>
      </c>
      <c r="E292" s="202">
        <f t="shared" si="34"/>
        <v>28.133114278715354</v>
      </c>
      <c r="F292" s="371">
        <f t="shared" si="35"/>
        <v>0.62761625387592201</v>
      </c>
      <c r="G292" s="382">
        <f t="shared" si="36"/>
        <v>0</v>
      </c>
      <c r="H292" s="379">
        <f t="shared" si="37"/>
        <v>0</v>
      </c>
      <c r="I292" s="382">
        <f t="shared" si="38"/>
        <v>0</v>
      </c>
      <c r="J292" s="379">
        <f t="shared" si="39"/>
        <v>0</v>
      </c>
      <c r="K292" s="374">
        <f t="shared" si="40"/>
        <v>0</v>
      </c>
      <c r="L292" s="378">
        <f t="shared" si="41"/>
        <v>0</v>
      </c>
      <c r="M292" s="114">
        <f>L292*D292*'B) D RI'!S294</f>
        <v>0</v>
      </c>
    </row>
    <row r="293" spans="1:13" x14ac:dyDescent="0.25">
      <c r="A293" s="298">
        <f>'A) Base RI'!A295</f>
        <v>5912</v>
      </c>
      <c r="B293" s="32" t="str">
        <f>'A) Base RI'!B295</f>
        <v>Démoret</v>
      </c>
      <c r="C293" s="296">
        <f>'B) D RI'!U295</f>
        <v>3133.4473385194956</v>
      </c>
      <c r="D293" s="32">
        <f>'B) D RI'!AA295</f>
        <v>141</v>
      </c>
      <c r="E293" s="202">
        <f t="shared" si="34"/>
        <v>22.223030769641813</v>
      </c>
      <c r="F293" s="371">
        <f t="shared" si="35"/>
        <v>0.49576933371945309</v>
      </c>
      <c r="G293" s="382">
        <f t="shared" si="36"/>
        <v>0</v>
      </c>
      <c r="H293" s="379">
        <f t="shared" si="37"/>
        <v>0</v>
      </c>
      <c r="I293" s="382">
        <f t="shared" si="38"/>
        <v>0</v>
      </c>
      <c r="J293" s="379">
        <f t="shared" si="39"/>
        <v>0</v>
      </c>
      <c r="K293" s="374">
        <f t="shared" si="40"/>
        <v>0</v>
      </c>
      <c r="L293" s="378">
        <f t="shared" si="41"/>
        <v>0</v>
      </c>
      <c r="M293" s="114">
        <f>L293*D293*'B) D RI'!S295</f>
        <v>0</v>
      </c>
    </row>
    <row r="294" spans="1:13" x14ac:dyDescent="0.25">
      <c r="A294" s="298">
        <f>'A) Base RI'!A296</f>
        <v>5913</v>
      </c>
      <c r="B294" s="32" t="str">
        <f>'A) Base RI'!B296</f>
        <v>Donneloye</v>
      </c>
      <c r="C294" s="296">
        <f>'B) D RI'!U296</f>
        <v>20110.628715820858</v>
      </c>
      <c r="D294" s="32">
        <f>'B) D RI'!AA296</f>
        <v>809</v>
      </c>
      <c r="E294" s="202">
        <f t="shared" si="34"/>
        <v>24.858626348357056</v>
      </c>
      <c r="F294" s="371">
        <f t="shared" si="35"/>
        <v>0.55456633029287117</v>
      </c>
      <c r="G294" s="382">
        <f t="shared" si="36"/>
        <v>0</v>
      </c>
      <c r="H294" s="379">
        <f t="shared" si="37"/>
        <v>0</v>
      </c>
      <c r="I294" s="382">
        <f t="shared" si="38"/>
        <v>0</v>
      </c>
      <c r="J294" s="379">
        <f t="shared" si="39"/>
        <v>0</v>
      </c>
      <c r="K294" s="374">
        <f t="shared" si="40"/>
        <v>0</v>
      </c>
      <c r="L294" s="378">
        <f t="shared" si="41"/>
        <v>0</v>
      </c>
      <c r="M294" s="114">
        <f>L294*D294*'B) D RI'!S296</f>
        <v>0</v>
      </c>
    </row>
    <row r="295" spans="1:13" x14ac:dyDescent="0.25">
      <c r="A295" s="298">
        <f>'A) Base RI'!A297</f>
        <v>5914</v>
      </c>
      <c r="B295" s="32" t="str">
        <f>'A) Base RI'!B297</f>
        <v>Ependes</v>
      </c>
      <c r="C295" s="296">
        <f>'B) D RI'!U297</f>
        <v>9482.8279280120751</v>
      </c>
      <c r="D295" s="32">
        <f>'B) D RI'!AA297</f>
        <v>360</v>
      </c>
      <c r="E295" s="202">
        <f t="shared" si="34"/>
        <v>26.341188688922429</v>
      </c>
      <c r="F295" s="371">
        <f t="shared" si="35"/>
        <v>0.58764052937033096</v>
      </c>
      <c r="G295" s="382">
        <f t="shared" si="36"/>
        <v>0</v>
      </c>
      <c r="H295" s="379">
        <f t="shared" si="37"/>
        <v>0</v>
      </c>
      <c r="I295" s="382">
        <f t="shared" si="38"/>
        <v>0</v>
      </c>
      <c r="J295" s="379">
        <f t="shared" si="39"/>
        <v>0</v>
      </c>
      <c r="K295" s="374">
        <f t="shared" si="40"/>
        <v>0</v>
      </c>
      <c r="L295" s="378">
        <f t="shared" si="41"/>
        <v>0</v>
      </c>
      <c r="M295" s="114">
        <f>L295*D295*'B) D RI'!S297</f>
        <v>0</v>
      </c>
    </row>
    <row r="296" spans="1:13" x14ac:dyDescent="0.25">
      <c r="A296" s="298">
        <f>'A) Base RI'!A298</f>
        <v>5919</v>
      </c>
      <c r="B296" s="32" t="str">
        <f>'A) Base RI'!B298</f>
        <v>Mathod</v>
      </c>
      <c r="C296" s="296">
        <f>'B) D RI'!U298</f>
        <v>17110.918111251427</v>
      </c>
      <c r="D296" s="32">
        <f>'B) D RI'!AA298</f>
        <v>611</v>
      </c>
      <c r="E296" s="202">
        <f t="shared" si="34"/>
        <v>28.004775959494971</v>
      </c>
      <c r="F296" s="371">
        <f t="shared" si="35"/>
        <v>0.62475317891238102</v>
      </c>
      <c r="G296" s="382">
        <f t="shared" si="36"/>
        <v>0</v>
      </c>
      <c r="H296" s="379">
        <f t="shared" si="37"/>
        <v>0</v>
      </c>
      <c r="I296" s="382">
        <f t="shared" si="38"/>
        <v>0</v>
      </c>
      <c r="J296" s="379">
        <f t="shared" si="39"/>
        <v>0</v>
      </c>
      <c r="K296" s="374">
        <f t="shared" si="40"/>
        <v>0</v>
      </c>
      <c r="L296" s="378">
        <f t="shared" si="41"/>
        <v>0</v>
      </c>
      <c r="M296" s="114">
        <f>L296*D296*'B) D RI'!S298</f>
        <v>0</v>
      </c>
    </row>
    <row r="297" spans="1:13" x14ac:dyDescent="0.25">
      <c r="A297" s="298">
        <f>'A) Base RI'!A299</f>
        <v>5921</v>
      </c>
      <c r="B297" s="32" t="str">
        <f>'A) Base RI'!B299</f>
        <v>Molondin</v>
      </c>
      <c r="C297" s="296">
        <f>'B) D RI'!U299</f>
        <v>5222.6425850785827</v>
      </c>
      <c r="D297" s="32">
        <f>'B) D RI'!AA299</f>
        <v>235</v>
      </c>
      <c r="E297" s="202">
        <f t="shared" si="34"/>
        <v>22.224011000334393</v>
      </c>
      <c r="F297" s="371">
        <f t="shared" si="35"/>
        <v>0.49579120149808281</v>
      </c>
      <c r="G297" s="382">
        <f t="shared" si="36"/>
        <v>0</v>
      </c>
      <c r="H297" s="379">
        <f t="shared" si="37"/>
        <v>0</v>
      </c>
      <c r="I297" s="382">
        <f t="shared" si="38"/>
        <v>0</v>
      </c>
      <c r="J297" s="379">
        <f t="shared" si="39"/>
        <v>0</v>
      </c>
      <c r="K297" s="374">
        <f t="shared" si="40"/>
        <v>0</v>
      </c>
      <c r="L297" s="378">
        <f t="shared" si="41"/>
        <v>0</v>
      </c>
      <c r="M297" s="114">
        <f>L297*D297*'B) D RI'!S299</f>
        <v>0</v>
      </c>
    </row>
    <row r="298" spans="1:13" x14ac:dyDescent="0.25">
      <c r="A298" s="298">
        <f>'A) Base RI'!A300</f>
        <v>5922</v>
      </c>
      <c r="B298" s="32" t="str">
        <f>'A) Base RI'!B300</f>
        <v>Montagny-près-Yverdon</v>
      </c>
      <c r="C298" s="296">
        <f>'B) D RI'!U300</f>
        <v>35584.669450199006</v>
      </c>
      <c r="D298" s="32">
        <f>'B) D RI'!AA300</f>
        <v>738</v>
      </c>
      <c r="E298" s="202">
        <f t="shared" si="34"/>
        <v>48.217709282112473</v>
      </c>
      <c r="F298" s="371">
        <f t="shared" si="35"/>
        <v>1.0756796339825472</v>
      </c>
      <c r="G298" s="382">
        <f t="shared" si="36"/>
        <v>3.3923656027928004</v>
      </c>
      <c r="H298" s="379">
        <f t="shared" si="37"/>
        <v>0</v>
      </c>
      <c r="I298" s="382">
        <f t="shared" si="38"/>
        <v>0</v>
      </c>
      <c r="J298" s="379">
        <f t="shared" si="39"/>
        <v>0</v>
      </c>
      <c r="K298" s="374">
        <f t="shared" si="40"/>
        <v>0</v>
      </c>
      <c r="L298" s="378">
        <f t="shared" si="41"/>
        <v>0.67847312055856013</v>
      </c>
      <c r="M298" s="114">
        <f>L298*D298*'B) D RI'!S300</f>
        <v>32546.35559319413</v>
      </c>
    </row>
    <row r="299" spans="1:13" x14ac:dyDescent="0.25">
      <c r="A299" s="298">
        <f>'A) Base RI'!A301</f>
        <v>5923</v>
      </c>
      <c r="B299" s="32" t="str">
        <f>'A) Base RI'!B301</f>
        <v>Oppens</v>
      </c>
      <c r="C299" s="296">
        <f>'B) D RI'!U301</f>
        <v>5170.8107520197709</v>
      </c>
      <c r="D299" s="32">
        <f>'B) D RI'!AA301</f>
        <v>196</v>
      </c>
      <c r="E299" s="202">
        <f t="shared" si="34"/>
        <v>26.381687510304953</v>
      </c>
      <c r="F299" s="371">
        <f t="shared" si="35"/>
        <v>0.58854400981372146</v>
      </c>
      <c r="G299" s="382">
        <f t="shared" si="36"/>
        <v>0</v>
      </c>
      <c r="H299" s="379">
        <f t="shared" si="37"/>
        <v>0</v>
      </c>
      <c r="I299" s="382">
        <f t="shared" si="38"/>
        <v>0</v>
      </c>
      <c r="J299" s="379">
        <f t="shared" si="39"/>
        <v>0</v>
      </c>
      <c r="K299" s="374">
        <f t="shared" si="40"/>
        <v>0</v>
      </c>
      <c r="L299" s="378">
        <f t="shared" si="41"/>
        <v>0</v>
      </c>
      <c r="M299" s="114">
        <f>L299*D299*'B) D RI'!S301</f>
        <v>0</v>
      </c>
    </row>
    <row r="300" spans="1:13" x14ac:dyDescent="0.25">
      <c r="A300" s="298">
        <f>'A) Base RI'!A302</f>
        <v>5924</v>
      </c>
      <c r="B300" s="32" t="str">
        <f>'A) Base RI'!B302</f>
        <v>Orges</v>
      </c>
      <c r="C300" s="296">
        <f>'B) D RI'!U302</f>
        <v>10275.510319946678</v>
      </c>
      <c r="D300" s="32">
        <f>'B) D RI'!AA302</f>
        <v>332</v>
      </c>
      <c r="E300" s="202">
        <f t="shared" si="34"/>
        <v>30.950332288996016</v>
      </c>
      <c r="F300" s="371">
        <f t="shared" si="35"/>
        <v>0.69046503046166396</v>
      </c>
      <c r="G300" s="382">
        <f t="shared" si="36"/>
        <v>0</v>
      </c>
      <c r="H300" s="379">
        <f t="shared" si="37"/>
        <v>0</v>
      </c>
      <c r="I300" s="382">
        <f t="shared" si="38"/>
        <v>0</v>
      </c>
      <c r="J300" s="379">
        <f t="shared" si="39"/>
        <v>0</v>
      </c>
      <c r="K300" s="374">
        <f t="shared" si="40"/>
        <v>0</v>
      </c>
      <c r="L300" s="378">
        <f t="shared" si="41"/>
        <v>0</v>
      </c>
      <c r="M300" s="114">
        <f>L300*D300*'B) D RI'!S302</f>
        <v>0</v>
      </c>
    </row>
    <row r="301" spans="1:13" x14ac:dyDescent="0.25">
      <c r="A301" s="298">
        <f>'A) Base RI'!A303</f>
        <v>5925</v>
      </c>
      <c r="B301" s="32" t="str">
        <f>'A) Base RI'!B303</f>
        <v>Orzens</v>
      </c>
      <c r="C301" s="296">
        <f>'B) D RI'!U303</f>
        <v>5564.160782501971</v>
      </c>
      <c r="D301" s="32">
        <f>'B) D RI'!AA303</f>
        <v>196</v>
      </c>
      <c r="E301" s="202">
        <f t="shared" si="34"/>
        <v>28.388575420928422</v>
      </c>
      <c r="F301" s="371">
        <f t="shared" si="35"/>
        <v>0.63331528753064725</v>
      </c>
      <c r="G301" s="382">
        <f t="shared" si="36"/>
        <v>0</v>
      </c>
      <c r="H301" s="379">
        <f t="shared" si="37"/>
        <v>0</v>
      </c>
      <c r="I301" s="382">
        <f t="shared" si="38"/>
        <v>0</v>
      </c>
      <c r="J301" s="379">
        <f t="shared" si="39"/>
        <v>0</v>
      </c>
      <c r="K301" s="374">
        <f t="shared" si="40"/>
        <v>0</v>
      </c>
      <c r="L301" s="378">
        <f t="shared" si="41"/>
        <v>0</v>
      </c>
      <c r="M301" s="114">
        <f>L301*D301*'B) D RI'!S303</f>
        <v>0</v>
      </c>
    </row>
    <row r="302" spans="1:13" x14ac:dyDescent="0.25">
      <c r="A302" s="298">
        <f>'A) Base RI'!A304</f>
        <v>5926</v>
      </c>
      <c r="B302" s="32" t="str">
        <f>'A) Base RI'!B304</f>
        <v>Pomy</v>
      </c>
      <c r="C302" s="296">
        <f>'B) D RI'!U304</f>
        <v>26594.76814227111</v>
      </c>
      <c r="D302" s="32">
        <f>'B) D RI'!AA304</f>
        <v>780</v>
      </c>
      <c r="E302" s="202">
        <f t="shared" si="34"/>
        <v>34.095856592655267</v>
      </c>
      <c r="F302" s="371">
        <f t="shared" si="35"/>
        <v>0.76063792921649165</v>
      </c>
      <c r="G302" s="382">
        <f t="shared" si="36"/>
        <v>0</v>
      </c>
      <c r="H302" s="379">
        <f t="shared" si="37"/>
        <v>0</v>
      </c>
      <c r="I302" s="382">
        <f t="shared" si="38"/>
        <v>0</v>
      </c>
      <c r="J302" s="379">
        <f t="shared" si="39"/>
        <v>0</v>
      </c>
      <c r="K302" s="374">
        <f t="shared" si="40"/>
        <v>0</v>
      </c>
      <c r="L302" s="378">
        <f t="shared" si="41"/>
        <v>0</v>
      </c>
      <c r="M302" s="114">
        <f>L302*D302*'B) D RI'!S304</f>
        <v>0</v>
      </c>
    </row>
    <row r="303" spans="1:13" x14ac:dyDescent="0.25">
      <c r="A303" s="298">
        <f>'A) Base RI'!A305</f>
        <v>5928</v>
      </c>
      <c r="B303" s="32" t="str">
        <f>'A) Base RI'!B305</f>
        <v>Rovray</v>
      </c>
      <c r="C303" s="296">
        <f>'B) D RI'!U305</f>
        <v>4332.6487869809371</v>
      </c>
      <c r="D303" s="32">
        <f>'B) D RI'!AA305</f>
        <v>180</v>
      </c>
      <c r="E303" s="202">
        <f t="shared" si="34"/>
        <v>24.070271038782984</v>
      </c>
      <c r="F303" s="371">
        <f t="shared" si="35"/>
        <v>0.53697906280388175</v>
      </c>
      <c r="G303" s="382">
        <f t="shared" si="36"/>
        <v>0</v>
      </c>
      <c r="H303" s="379">
        <f t="shared" si="37"/>
        <v>0</v>
      </c>
      <c r="I303" s="382">
        <f t="shared" si="38"/>
        <v>0</v>
      </c>
      <c r="J303" s="379">
        <f t="shared" si="39"/>
        <v>0</v>
      </c>
      <c r="K303" s="374">
        <f t="shared" si="40"/>
        <v>0</v>
      </c>
      <c r="L303" s="378">
        <f t="shared" si="41"/>
        <v>0</v>
      </c>
      <c r="M303" s="114">
        <f>L303*D303*'B) D RI'!S305</f>
        <v>0</v>
      </c>
    </row>
    <row r="304" spans="1:13" x14ac:dyDescent="0.25">
      <c r="A304" s="298">
        <f>'A) Base RI'!A306</f>
        <v>5929</v>
      </c>
      <c r="B304" s="32" t="str">
        <f>'A) Base RI'!B306</f>
        <v>Suchy</v>
      </c>
      <c r="C304" s="296">
        <f>'B) D RI'!U306</f>
        <v>17123.573212033476</v>
      </c>
      <c r="D304" s="32">
        <f>'B) D RI'!AA306</f>
        <v>599</v>
      </c>
      <c r="E304" s="202">
        <f t="shared" si="34"/>
        <v>28.58693357601582</v>
      </c>
      <c r="F304" s="371">
        <f t="shared" si="35"/>
        <v>0.63774042159111211</v>
      </c>
      <c r="G304" s="382">
        <f t="shared" si="36"/>
        <v>0</v>
      </c>
      <c r="H304" s="379">
        <f t="shared" si="37"/>
        <v>0</v>
      </c>
      <c r="I304" s="382">
        <f t="shared" si="38"/>
        <v>0</v>
      </c>
      <c r="J304" s="379">
        <f t="shared" si="39"/>
        <v>0</v>
      </c>
      <c r="K304" s="374">
        <f t="shared" si="40"/>
        <v>0</v>
      </c>
      <c r="L304" s="378">
        <f t="shared" si="41"/>
        <v>0</v>
      </c>
      <c r="M304" s="114">
        <f>L304*D304*'B) D RI'!S306</f>
        <v>0</v>
      </c>
    </row>
    <row r="305" spans="1:13" x14ac:dyDescent="0.25">
      <c r="A305" s="298">
        <f>'A) Base RI'!A307</f>
        <v>5930</v>
      </c>
      <c r="B305" s="32" t="str">
        <f>'A) Base RI'!B307</f>
        <v>Suscévaz</v>
      </c>
      <c r="C305" s="296">
        <f>'B) D RI'!U307</f>
        <v>5845.0713540916349</v>
      </c>
      <c r="D305" s="32">
        <f>'B) D RI'!AA307</f>
        <v>213</v>
      </c>
      <c r="E305" s="202">
        <f t="shared" si="34"/>
        <v>27.441649549725987</v>
      </c>
      <c r="F305" s="371">
        <f t="shared" si="35"/>
        <v>0.61219049977716711</v>
      </c>
      <c r="G305" s="382">
        <f t="shared" si="36"/>
        <v>0</v>
      </c>
      <c r="H305" s="379">
        <f t="shared" si="37"/>
        <v>0</v>
      </c>
      <c r="I305" s="382">
        <f t="shared" si="38"/>
        <v>0</v>
      </c>
      <c r="J305" s="379">
        <f t="shared" si="39"/>
        <v>0</v>
      </c>
      <c r="K305" s="374">
        <f t="shared" si="40"/>
        <v>0</v>
      </c>
      <c r="L305" s="378">
        <f t="shared" si="41"/>
        <v>0</v>
      </c>
      <c r="M305" s="114">
        <f>L305*D305*'B) D RI'!S307</f>
        <v>0</v>
      </c>
    </row>
    <row r="306" spans="1:13" x14ac:dyDescent="0.25">
      <c r="A306" s="298">
        <f>'A) Base RI'!A308</f>
        <v>5931</v>
      </c>
      <c r="B306" s="32" t="str">
        <f>'A) Base RI'!B308</f>
        <v>Treycovagnes</v>
      </c>
      <c r="C306" s="296">
        <f>'B) D RI'!U308</f>
        <v>12973.113986974873</v>
      </c>
      <c r="D306" s="32">
        <f>'B) D RI'!AA308</f>
        <v>480</v>
      </c>
      <c r="E306" s="202">
        <f t="shared" si="34"/>
        <v>27.027320806197654</v>
      </c>
      <c r="F306" s="371">
        <f t="shared" si="35"/>
        <v>0.60294731925651246</v>
      </c>
      <c r="G306" s="382">
        <f t="shared" si="36"/>
        <v>0</v>
      </c>
      <c r="H306" s="379">
        <f t="shared" si="37"/>
        <v>0</v>
      </c>
      <c r="I306" s="382">
        <f t="shared" si="38"/>
        <v>0</v>
      </c>
      <c r="J306" s="379">
        <f t="shared" si="39"/>
        <v>0</v>
      </c>
      <c r="K306" s="374">
        <f t="shared" si="40"/>
        <v>0</v>
      </c>
      <c r="L306" s="378">
        <f t="shared" si="41"/>
        <v>0</v>
      </c>
      <c r="M306" s="114">
        <f>L306*D306*'B) D RI'!S308</f>
        <v>0</v>
      </c>
    </row>
    <row r="307" spans="1:13" x14ac:dyDescent="0.25">
      <c r="A307" s="298">
        <f>'A) Base RI'!A309</f>
        <v>5932</v>
      </c>
      <c r="B307" s="32" t="str">
        <f>'A) Base RI'!B309</f>
        <v>Ursins</v>
      </c>
      <c r="C307" s="296">
        <f>'B) D RI'!U309</f>
        <v>6686.217062317166</v>
      </c>
      <c r="D307" s="32">
        <f>'B) D RI'!AA309</f>
        <v>230</v>
      </c>
      <c r="E307" s="202">
        <f t="shared" si="34"/>
        <v>29.070508966596375</v>
      </c>
      <c r="F307" s="371">
        <f t="shared" si="35"/>
        <v>0.64852841228762637</v>
      </c>
      <c r="G307" s="382">
        <f t="shared" si="36"/>
        <v>0</v>
      </c>
      <c r="H307" s="379">
        <f t="shared" si="37"/>
        <v>0</v>
      </c>
      <c r="I307" s="382">
        <f t="shared" si="38"/>
        <v>0</v>
      </c>
      <c r="J307" s="379">
        <f t="shared" si="39"/>
        <v>0</v>
      </c>
      <c r="K307" s="374">
        <f t="shared" si="40"/>
        <v>0</v>
      </c>
      <c r="L307" s="378">
        <f t="shared" si="41"/>
        <v>0</v>
      </c>
      <c r="M307" s="114">
        <f>L307*D307*'B) D RI'!S309</f>
        <v>0</v>
      </c>
    </row>
    <row r="308" spans="1:13" x14ac:dyDescent="0.25">
      <c r="A308" s="298">
        <f>'A) Base RI'!A310</f>
        <v>5933</v>
      </c>
      <c r="B308" s="32" t="str">
        <f>'A) Base RI'!B310</f>
        <v>Valeyres-sous-Montagny</v>
      </c>
      <c r="C308" s="296">
        <f>'B) D RI'!U310</f>
        <v>22631.763146204292</v>
      </c>
      <c r="D308" s="32">
        <f>'B) D RI'!AA310</f>
        <v>708</v>
      </c>
      <c r="E308" s="202">
        <f t="shared" si="34"/>
        <v>31.965767155655779</v>
      </c>
      <c r="F308" s="371">
        <f t="shared" si="35"/>
        <v>0.71311817226296692</v>
      </c>
      <c r="G308" s="382">
        <f t="shared" si="36"/>
        <v>0</v>
      </c>
      <c r="H308" s="379">
        <f t="shared" si="37"/>
        <v>0</v>
      </c>
      <c r="I308" s="382">
        <f t="shared" si="38"/>
        <v>0</v>
      </c>
      <c r="J308" s="379">
        <f t="shared" si="39"/>
        <v>0</v>
      </c>
      <c r="K308" s="374">
        <f t="shared" si="40"/>
        <v>0</v>
      </c>
      <c r="L308" s="378">
        <f t="shared" si="41"/>
        <v>0</v>
      </c>
      <c r="M308" s="114">
        <f>L308*D308*'B) D RI'!S310</f>
        <v>0</v>
      </c>
    </row>
    <row r="309" spans="1:13" x14ac:dyDescent="0.25">
      <c r="A309" s="298">
        <f>'A) Base RI'!A311</f>
        <v>5934</v>
      </c>
      <c r="B309" s="32" t="str">
        <f>'A) Base RI'!B311</f>
        <v>Valeyres-sous-Ursins</v>
      </c>
      <c r="C309" s="296">
        <f>'B) D RI'!U311</f>
        <v>7641.8509852223033</v>
      </c>
      <c r="D309" s="32">
        <f>'B) D RI'!AA311</f>
        <v>232</v>
      </c>
      <c r="E309" s="202">
        <f t="shared" si="34"/>
        <v>32.939012867337517</v>
      </c>
      <c r="F309" s="371">
        <f t="shared" si="35"/>
        <v>0.73483012429270111</v>
      </c>
      <c r="G309" s="382">
        <f t="shared" si="36"/>
        <v>0</v>
      </c>
      <c r="H309" s="379">
        <f t="shared" si="37"/>
        <v>0</v>
      </c>
      <c r="I309" s="382">
        <f t="shared" si="38"/>
        <v>0</v>
      </c>
      <c r="J309" s="379">
        <f t="shared" si="39"/>
        <v>0</v>
      </c>
      <c r="K309" s="374">
        <f t="shared" si="40"/>
        <v>0</v>
      </c>
      <c r="L309" s="378">
        <f t="shared" si="41"/>
        <v>0</v>
      </c>
      <c r="M309" s="114">
        <f>L309*D309*'B) D RI'!S311</f>
        <v>0</v>
      </c>
    </row>
    <row r="310" spans="1:13" x14ac:dyDescent="0.25">
      <c r="A310" s="298">
        <f>'A) Base RI'!A312</f>
        <v>5935</v>
      </c>
      <c r="B310" s="32" t="str">
        <f>'A) Base RI'!B312</f>
        <v>Villars-Epeney</v>
      </c>
      <c r="C310" s="296">
        <f>'B) D RI'!U312</f>
        <v>5591.3819786059366</v>
      </c>
      <c r="D310" s="32">
        <f>'B) D RI'!AA312</f>
        <v>100</v>
      </c>
      <c r="E310" s="202">
        <f t="shared" si="34"/>
        <v>55.913819786059364</v>
      </c>
      <c r="F310" s="371">
        <f t="shared" si="35"/>
        <v>1.2473706880211919</v>
      </c>
      <c r="G310" s="382">
        <f t="shared" si="36"/>
        <v>11.088476106739691</v>
      </c>
      <c r="H310" s="379">
        <f t="shared" si="37"/>
        <v>2.1234073708757606</v>
      </c>
      <c r="I310" s="382">
        <f t="shared" si="38"/>
        <v>0</v>
      </c>
      <c r="J310" s="379">
        <f t="shared" si="39"/>
        <v>0</v>
      </c>
      <c r="K310" s="374">
        <f t="shared" si="40"/>
        <v>0</v>
      </c>
      <c r="L310" s="378">
        <f t="shared" si="41"/>
        <v>2.4300359584355142</v>
      </c>
      <c r="M310" s="114">
        <f>L310*D310*'B) D RI'!S312</f>
        <v>14580.215750613084</v>
      </c>
    </row>
    <row r="311" spans="1:13" x14ac:dyDescent="0.25">
      <c r="A311" s="298">
        <f>'A) Base RI'!A313</f>
        <v>5937</v>
      </c>
      <c r="B311" s="32" t="str">
        <f>'A) Base RI'!B313</f>
        <v>Vugelles-La Mothe</v>
      </c>
      <c r="C311" s="296">
        <f>'B) D RI'!U313</f>
        <v>2402.7405651963004</v>
      </c>
      <c r="D311" s="32">
        <f>'B) D RI'!AA313</f>
        <v>132</v>
      </c>
      <c r="E311" s="202">
        <f t="shared" si="34"/>
        <v>18.202580039365913</v>
      </c>
      <c r="F311" s="371">
        <f t="shared" si="35"/>
        <v>0.40607786901952381</v>
      </c>
      <c r="G311" s="382">
        <f t="shared" si="36"/>
        <v>0</v>
      </c>
      <c r="H311" s="379">
        <f t="shared" si="37"/>
        <v>0</v>
      </c>
      <c r="I311" s="382">
        <f t="shared" si="38"/>
        <v>0</v>
      </c>
      <c r="J311" s="379">
        <f t="shared" si="39"/>
        <v>0</v>
      </c>
      <c r="K311" s="374">
        <f t="shared" si="40"/>
        <v>0</v>
      </c>
      <c r="L311" s="378">
        <f t="shared" si="41"/>
        <v>0</v>
      </c>
      <c r="M311" s="114">
        <f>L311*D311*'B) D RI'!S313</f>
        <v>0</v>
      </c>
    </row>
    <row r="312" spans="1:13" x14ac:dyDescent="0.25">
      <c r="A312" s="298">
        <f>'A) Base RI'!A314</f>
        <v>5938</v>
      </c>
      <c r="B312" s="32" t="str">
        <f>'A) Base RI'!B314</f>
        <v>Yverdon-les-Bains</v>
      </c>
      <c r="C312" s="296">
        <f>'B) D RI'!U314</f>
        <v>748845.35601358349</v>
      </c>
      <c r="D312" s="32">
        <f>'B) D RI'!AA314</f>
        <v>30211</v>
      </c>
      <c r="E312" s="202">
        <f t="shared" si="34"/>
        <v>24.787175400138477</v>
      </c>
      <c r="F312" s="371">
        <f t="shared" si="35"/>
        <v>0.55297234478481261</v>
      </c>
      <c r="G312" s="382">
        <f t="shared" si="36"/>
        <v>0</v>
      </c>
      <c r="H312" s="379">
        <f t="shared" si="37"/>
        <v>0</v>
      </c>
      <c r="I312" s="382">
        <f t="shared" si="38"/>
        <v>0</v>
      </c>
      <c r="J312" s="379">
        <f t="shared" si="39"/>
        <v>0</v>
      </c>
      <c r="K312" s="374">
        <f t="shared" si="40"/>
        <v>0</v>
      </c>
      <c r="L312" s="378">
        <f t="shared" si="41"/>
        <v>0</v>
      </c>
      <c r="M312" s="114">
        <f>L312*D312*'B) D RI'!S314</f>
        <v>0</v>
      </c>
    </row>
    <row r="313" spans="1:13" x14ac:dyDescent="0.25">
      <c r="A313" s="298">
        <f>'A) Base RI'!A315</f>
        <v>5939</v>
      </c>
      <c r="B313" s="32" t="str">
        <f>'A) Base RI'!B315</f>
        <v>Yvonand</v>
      </c>
      <c r="C313" s="296">
        <f>'B) D RI'!U315</f>
        <v>91997.775281850787</v>
      </c>
      <c r="D313" s="32">
        <f>'B) D RI'!AA315</f>
        <v>3426</v>
      </c>
      <c r="E313" s="202">
        <f t="shared" si="34"/>
        <v>26.852824075262927</v>
      </c>
      <c r="F313" s="371">
        <f t="shared" si="35"/>
        <v>0.59905450513370118</v>
      </c>
      <c r="G313" s="383">
        <f t="shared" si="36"/>
        <v>0</v>
      </c>
      <c r="H313" s="379">
        <f t="shared" si="37"/>
        <v>0</v>
      </c>
      <c r="I313" s="383">
        <f t="shared" si="38"/>
        <v>0</v>
      </c>
      <c r="J313" s="379">
        <f t="shared" si="39"/>
        <v>0</v>
      </c>
      <c r="K313" s="375">
        <f t="shared" si="40"/>
        <v>0</v>
      </c>
      <c r="L313" s="384">
        <f t="shared" si="41"/>
        <v>0</v>
      </c>
      <c r="M313" s="114">
        <f>L313*D313*'B) D RI'!S315</f>
        <v>0</v>
      </c>
    </row>
    <row r="314" spans="1:13" x14ac:dyDescent="0.25">
      <c r="A314" s="7"/>
      <c r="B314" s="119">
        <f>COUNTA(B5:B313)</f>
        <v>309</v>
      </c>
      <c r="C314" s="297">
        <f>SUM(C5:C313)</f>
        <v>35867536.64913179</v>
      </c>
      <c r="D314" s="275">
        <f>SUM(D5:D313)</f>
        <v>800162</v>
      </c>
      <c r="E314" s="59">
        <f>C314/D314</f>
        <v>44.825343679319673</v>
      </c>
      <c r="F314" s="60">
        <v>1</v>
      </c>
      <c r="G314" s="30"/>
      <c r="H314" s="30"/>
      <c r="I314" s="30"/>
      <c r="J314" s="30"/>
      <c r="K314" s="30"/>
      <c r="L314" s="377"/>
      <c r="M314" s="37">
        <f>SUM(M5:M313)</f>
        <v>119800409.62351978</v>
      </c>
    </row>
    <row r="315" spans="1:13" x14ac:dyDescent="0.25">
      <c r="M315" s="13"/>
    </row>
    <row r="317" spans="1:13" x14ac:dyDescent="0.25">
      <c r="F317" s="15"/>
    </row>
    <row r="318" spans="1:13" x14ac:dyDescent="0.25">
      <c r="F318" s="15"/>
    </row>
    <row r="319" spans="1:13" x14ac:dyDescent="0.25">
      <c r="F319" s="15"/>
      <c r="G319" s="17"/>
      <c r="H319" s="17"/>
    </row>
    <row r="320" spans="1:13" x14ac:dyDescent="0.25">
      <c r="E320" s="28"/>
    </row>
  </sheetData>
  <mergeCells count="6">
    <mergeCell ref="A3:A4"/>
    <mergeCell ref="B3:B4"/>
    <mergeCell ref="F3:F4"/>
    <mergeCell ref="C3:E3"/>
    <mergeCell ref="M3:M4"/>
    <mergeCell ref="L3:L4"/>
  </mergeCells>
  <phoneticPr fontId="19"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00B050"/>
  </sheetPr>
  <dimension ref="A1:AG332"/>
  <sheetViews>
    <sheetView workbookViewId="0"/>
  </sheetViews>
  <sheetFormatPr baseColWidth="10" defaultColWidth="10.75" defaultRowHeight="15" x14ac:dyDescent="0.25"/>
  <cols>
    <col min="1" max="1" width="7.25" style="13" customWidth="1"/>
    <col min="2" max="2" width="18" style="13" customWidth="1"/>
    <col min="3" max="3" width="13.625" style="13" customWidth="1"/>
    <col min="4" max="4" width="12.75" style="13" customWidth="1"/>
    <col min="5" max="5" width="10.75" style="13" bestFit="1" customWidth="1"/>
    <col min="6" max="6" width="15.125" style="13" customWidth="1"/>
    <col min="7" max="7" width="12.125" style="13" customWidth="1"/>
    <col min="8" max="8" width="9.25" style="13" customWidth="1"/>
    <col min="9" max="10" width="12.125" style="13" customWidth="1"/>
    <col min="11" max="11" width="9.25" style="13" customWidth="1"/>
    <col min="12" max="12" width="13" style="13" bestFit="1" customWidth="1"/>
    <col min="13" max="13" width="12.125" style="13" customWidth="1"/>
    <col min="14" max="14" width="14" style="13" customWidth="1"/>
    <col min="15" max="20" width="12.125" style="13" customWidth="1"/>
    <col min="21" max="23" width="8.125" style="13" customWidth="1"/>
    <col min="24" max="31" width="11" style="13" customWidth="1"/>
    <col min="32" max="32" width="9.25" style="13" customWidth="1"/>
    <col min="33" max="33" width="11" style="13" customWidth="1"/>
    <col min="34" max="16384" width="10.75" style="13"/>
  </cols>
  <sheetData>
    <row r="1" spans="1:33" s="43" customFormat="1" ht="20.25" customHeight="1" x14ac:dyDescent="0.25">
      <c r="A1" s="51" t="s">
        <v>93</v>
      </c>
      <c r="B1" s="42"/>
      <c r="C1" s="68"/>
      <c r="D1" s="68"/>
      <c r="E1" s="68"/>
      <c r="F1" s="68"/>
      <c r="G1" s="68"/>
      <c r="H1" s="68"/>
      <c r="I1" s="68"/>
      <c r="J1" s="68"/>
      <c r="K1" s="13"/>
      <c r="L1" s="13"/>
      <c r="M1" s="68"/>
      <c r="N1" s="13"/>
      <c r="O1" s="13"/>
      <c r="P1" s="13"/>
      <c r="Q1" s="13"/>
      <c r="R1" s="13"/>
      <c r="S1" s="13"/>
      <c r="T1" s="13"/>
      <c r="U1" s="13"/>
      <c r="V1" s="13"/>
      <c r="W1" s="13"/>
      <c r="X1" s="13"/>
      <c r="Y1" s="13"/>
      <c r="Z1" s="13"/>
      <c r="AA1" s="13"/>
      <c r="AB1" s="13"/>
      <c r="AC1" s="13"/>
      <c r="AD1" s="13"/>
      <c r="AE1" s="13"/>
      <c r="AF1" s="13"/>
      <c r="AG1" s="13"/>
    </row>
    <row r="2" spans="1:33" s="53" customFormat="1" x14ac:dyDescent="0.25">
      <c r="A2" s="27"/>
      <c r="D2" s="13"/>
      <c r="E2" s="13"/>
      <c r="F2" s="13"/>
      <c r="G2" s="13"/>
      <c r="K2" s="13"/>
      <c r="L2" s="13"/>
      <c r="N2" s="13"/>
      <c r="O2" s="13"/>
      <c r="P2" s="13"/>
      <c r="Q2" s="13"/>
      <c r="R2" s="13"/>
      <c r="S2" s="13"/>
      <c r="T2" s="13"/>
      <c r="U2" s="13"/>
      <c r="V2" s="13"/>
      <c r="W2" s="13"/>
      <c r="X2" s="13"/>
      <c r="Y2" s="13"/>
      <c r="Z2" s="13"/>
      <c r="AA2" s="13"/>
      <c r="AB2" s="13"/>
      <c r="AC2" s="13"/>
      <c r="AD2" s="13"/>
      <c r="AE2" s="13"/>
      <c r="AF2" s="13"/>
      <c r="AG2" s="13"/>
    </row>
    <row r="3" spans="1:33" s="53" customFormat="1" x14ac:dyDescent="0.25">
      <c r="A3" s="512" t="s">
        <v>92</v>
      </c>
      <c r="B3" s="513"/>
      <c r="C3" s="514"/>
      <c r="D3" s="61" t="s">
        <v>549</v>
      </c>
      <c r="E3" s="64" t="s">
        <v>549</v>
      </c>
      <c r="F3" s="13"/>
      <c r="G3" s="13"/>
      <c r="K3" s="13"/>
      <c r="L3" s="13"/>
      <c r="N3" s="13"/>
      <c r="O3" s="13"/>
      <c r="P3" s="13"/>
      <c r="Q3" s="13"/>
      <c r="R3" s="13"/>
      <c r="S3" s="13"/>
      <c r="T3" s="13"/>
      <c r="U3" s="13"/>
      <c r="V3" s="13"/>
      <c r="W3" s="13"/>
      <c r="X3" s="13"/>
      <c r="Y3" s="13"/>
      <c r="Z3" s="13"/>
      <c r="AA3" s="13"/>
      <c r="AB3" s="13"/>
      <c r="AC3" s="13"/>
      <c r="AD3" s="13"/>
      <c r="AE3" s="13"/>
      <c r="AF3" s="13"/>
      <c r="AG3" s="13"/>
    </row>
    <row r="4" spans="1:33" s="53" customFormat="1" x14ac:dyDescent="0.25">
      <c r="A4" s="79" t="s">
        <v>407</v>
      </c>
      <c r="B4" s="80"/>
      <c r="C4" s="89">
        <f>+Paramètres!B58</f>
        <v>824863600</v>
      </c>
      <c r="D4" s="87">
        <f>C4/$E$4</f>
        <v>22.997497934388161</v>
      </c>
      <c r="E4" s="92">
        <f>+'D) Ecrêtage'!C314</f>
        <v>35867536.64913179</v>
      </c>
      <c r="F4" s="13"/>
      <c r="G4" s="13"/>
      <c r="K4" s="13"/>
      <c r="L4" s="376"/>
      <c r="N4" s="13"/>
      <c r="O4" s="13"/>
      <c r="P4" s="13"/>
      <c r="Q4" s="13"/>
      <c r="R4" s="13"/>
      <c r="S4" s="13"/>
      <c r="T4" s="13"/>
      <c r="U4" s="13"/>
      <c r="V4" s="13"/>
      <c r="W4" s="13"/>
      <c r="X4" s="13"/>
      <c r="Y4" s="13"/>
      <c r="Z4" s="13"/>
      <c r="AA4" s="13"/>
      <c r="AB4" s="13"/>
      <c r="AC4" s="13"/>
      <c r="AD4" s="13"/>
      <c r="AE4" s="13"/>
      <c r="AF4" s="13"/>
      <c r="AG4" s="13"/>
    </row>
    <row r="5" spans="1:33" s="53" customFormat="1" x14ac:dyDescent="0.25">
      <c r="A5" s="81" t="s">
        <v>376</v>
      </c>
      <c r="B5" s="82"/>
      <c r="C5" s="9">
        <f>-'C) Prél. conj.'!H314</f>
        <v>-152573910.87499997</v>
      </c>
      <c r="D5" s="33">
        <f>C5/$E$4</f>
        <v>-4.253816267549368</v>
      </c>
      <c r="E5" s="72"/>
      <c r="F5" s="13"/>
      <c r="G5" s="13"/>
      <c r="K5" s="13"/>
      <c r="L5" s="13"/>
      <c r="N5" s="13"/>
      <c r="O5" s="13"/>
      <c r="P5" s="13"/>
      <c r="Q5" s="13"/>
      <c r="R5" s="13"/>
      <c r="S5" s="13"/>
      <c r="T5" s="13"/>
      <c r="U5" s="13"/>
      <c r="V5" s="13"/>
      <c r="W5" s="13"/>
      <c r="X5" s="13"/>
      <c r="Y5" s="13"/>
      <c r="Z5" s="13"/>
      <c r="AA5" s="13"/>
      <c r="AB5" s="13"/>
      <c r="AC5" s="13"/>
      <c r="AD5" s="13"/>
      <c r="AE5" s="13"/>
      <c r="AF5" s="13"/>
      <c r="AG5" s="13"/>
    </row>
    <row r="6" spans="1:33" s="53" customFormat="1" x14ac:dyDescent="0.25">
      <c r="A6" s="83" t="s">
        <v>377</v>
      </c>
      <c r="B6" s="84"/>
      <c r="C6" s="90">
        <f>-'D) Ecrêtage'!M314</f>
        <v>-119800409.62351978</v>
      </c>
      <c r="D6" s="33">
        <f>C6/$E$4</f>
        <v>-3.34007910260042</v>
      </c>
      <c r="E6" s="72"/>
      <c r="F6" s="13"/>
      <c r="G6" s="13"/>
      <c r="K6" s="13"/>
      <c r="L6" s="13"/>
      <c r="N6" s="13"/>
      <c r="O6" s="13"/>
      <c r="P6" s="13"/>
      <c r="Q6" s="13"/>
      <c r="R6" s="13"/>
      <c r="S6" s="13"/>
      <c r="T6" s="13"/>
      <c r="U6" s="13"/>
      <c r="V6" s="13"/>
      <c r="W6" s="13"/>
      <c r="X6" s="13"/>
      <c r="Y6" s="13"/>
      <c r="Z6" s="13"/>
      <c r="AA6" s="13"/>
      <c r="AB6" s="13"/>
      <c r="AC6" s="13"/>
      <c r="AD6" s="13"/>
      <c r="AE6" s="13"/>
      <c r="AF6" s="13"/>
      <c r="AG6" s="13"/>
    </row>
    <row r="7" spans="1:33" s="53" customFormat="1" x14ac:dyDescent="0.25">
      <c r="A7" s="75" t="s">
        <v>290</v>
      </c>
      <c r="B7" s="77"/>
      <c r="C7" s="91">
        <f>C4+C6+C5</f>
        <v>552489279.50148022</v>
      </c>
      <c r="D7" s="19">
        <f>C7/$E$4</f>
        <v>15.403602564238373</v>
      </c>
      <c r="E7" s="72"/>
      <c r="F7" s="13"/>
      <c r="G7" s="13"/>
      <c r="K7" s="13"/>
      <c r="L7" s="13"/>
      <c r="N7" s="13"/>
      <c r="O7" s="13"/>
      <c r="P7" s="13"/>
      <c r="Q7" s="13"/>
      <c r="R7" s="13"/>
      <c r="S7" s="13"/>
      <c r="T7" s="13"/>
      <c r="U7" s="13"/>
      <c r="V7" s="13"/>
      <c r="W7" s="13"/>
      <c r="X7" s="13"/>
      <c r="Y7" s="13"/>
      <c r="Z7" s="13"/>
      <c r="AA7" s="13"/>
      <c r="AB7" s="13"/>
      <c r="AC7" s="13"/>
      <c r="AD7" s="13"/>
      <c r="AE7" s="13"/>
      <c r="AF7" s="13"/>
      <c r="AG7" s="13"/>
    </row>
    <row r="8" spans="1:33" s="53" customFormat="1" x14ac:dyDescent="0.25">
      <c r="A8" s="27"/>
      <c r="D8" s="13"/>
      <c r="E8" s="13"/>
      <c r="F8" s="13"/>
      <c r="G8" s="13"/>
      <c r="K8" s="13"/>
      <c r="L8" s="13"/>
      <c r="N8" s="13"/>
      <c r="O8" s="13"/>
      <c r="P8" s="13"/>
      <c r="Q8" s="13"/>
      <c r="R8" s="13"/>
      <c r="S8" s="13"/>
      <c r="T8" s="13"/>
      <c r="U8" s="13"/>
      <c r="V8" s="13"/>
      <c r="W8" s="13"/>
      <c r="X8" s="13"/>
      <c r="Y8" s="13"/>
      <c r="Z8" s="13"/>
      <c r="AA8" s="13"/>
      <c r="AB8" s="13"/>
      <c r="AC8" s="13"/>
      <c r="AD8" s="13"/>
      <c r="AE8" s="13"/>
      <c r="AF8" s="13"/>
      <c r="AG8" s="13"/>
    </row>
    <row r="9" spans="1:33" ht="38.25" customHeight="1" x14ac:dyDescent="0.25">
      <c r="A9" s="501" t="s">
        <v>46</v>
      </c>
      <c r="B9" s="501" t="s">
        <v>96</v>
      </c>
      <c r="C9" s="501" t="s">
        <v>304</v>
      </c>
      <c r="D9" s="501" t="s">
        <v>436</v>
      </c>
      <c r="E9" s="517" t="s">
        <v>474</v>
      </c>
      <c r="F9" s="288" t="s">
        <v>548</v>
      </c>
      <c r="G9" s="515" t="s">
        <v>406</v>
      </c>
    </row>
    <row r="10" spans="1:33" x14ac:dyDescent="0.25">
      <c r="A10" s="503"/>
      <c r="B10" s="503"/>
      <c r="C10" s="503"/>
      <c r="D10" s="503"/>
      <c r="E10" s="518"/>
      <c r="F10" s="302">
        <f>D7</f>
        <v>15.403602564238373</v>
      </c>
      <c r="G10" s="516"/>
    </row>
    <row r="11" spans="1:33" x14ac:dyDescent="0.25">
      <c r="A11" s="49">
        <f>'A) Base RI'!A7</f>
        <v>5401</v>
      </c>
      <c r="B11" s="294" t="str">
        <f>'A) Base RI'!B7</f>
        <v>Aigle</v>
      </c>
      <c r="C11" s="10">
        <f>'A) Base RI'!V7</f>
        <v>10134</v>
      </c>
      <c r="D11" s="14">
        <f>'C) Prél. conj.'!H5</f>
        <v>1217884.71</v>
      </c>
      <c r="E11" s="10">
        <f>'D) Ecrêtage'!M5</f>
        <v>0</v>
      </c>
      <c r="F11" s="14">
        <f>$F$10*'D) Ecrêtage'!C5</f>
        <v>4081909.4929398634</v>
      </c>
      <c r="G11" s="55">
        <f>D11+F11+E11</f>
        <v>5299794.2029398633</v>
      </c>
      <c r="I11" s="36"/>
      <c r="J11" s="423"/>
    </row>
    <row r="12" spans="1:33" x14ac:dyDescent="0.25">
      <c r="A12" s="49">
        <f>'A) Base RI'!A8</f>
        <v>5402</v>
      </c>
      <c r="B12" s="294" t="str">
        <f>'A) Base RI'!B8</f>
        <v>Bex</v>
      </c>
      <c r="C12" s="10">
        <f>'A) Base RI'!V8</f>
        <v>7757</v>
      </c>
      <c r="D12" s="437">
        <f>'C) Prél. conj.'!H6</f>
        <v>502470.80499999999</v>
      </c>
      <c r="E12" s="10">
        <f>'D) Ecrêtage'!M6</f>
        <v>0</v>
      </c>
      <c r="F12" s="437">
        <f>$F$10*'D) Ecrêtage'!C6</f>
        <v>2581277.3065815787</v>
      </c>
      <c r="G12" s="55">
        <f t="shared" ref="G12:G75" si="0">D12+F12+E12</f>
        <v>3083748.1115815789</v>
      </c>
      <c r="I12" s="36"/>
      <c r="J12" s="423"/>
    </row>
    <row r="13" spans="1:33" x14ac:dyDescent="0.25">
      <c r="A13" s="49">
        <f>'A) Base RI'!A9</f>
        <v>5403</v>
      </c>
      <c r="B13" s="294" t="str">
        <f>'A) Base RI'!B9</f>
        <v>Chessel</v>
      </c>
      <c r="C13" s="10">
        <f>'A) Base RI'!V9</f>
        <v>426</v>
      </c>
      <c r="D13" s="437">
        <f>'C) Prél. conj.'!H7</f>
        <v>32157.1</v>
      </c>
      <c r="E13" s="10">
        <f>'D) Ecrêtage'!M7</f>
        <v>0</v>
      </c>
      <c r="F13" s="437">
        <f>$F$10*'D) Ecrêtage'!C7</f>
        <v>155340.03347614282</v>
      </c>
      <c r="G13" s="55">
        <f t="shared" si="0"/>
        <v>187497.13347614283</v>
      </c>
      <c r="I13" s="36"/>
      <c r="J13" s="423"/>
    </row>
    <row r="14" spans="1:33" x14ac:dyDescent="0.25">
      <c r="A14" s="49">
        <f>'A) Base RI'!A10</f>
        <v>5404</v>
      </c>
      <c r="B14" s="294" t="str">
        <f>'A) Base RI'!B10</f>
        <v>Corbeyrier</v>
      </c>
      <c r="C14" s="10">
        <f>'A) Base RI'!V10</f>
        <v>438</v>
      </c>
      <c r="D14" s="437">
        <f>'C) Prél. conj.'!H8</f>
        <v>36040.345000000001</v>
      </c>
      <c r="E14" s="10">
        <f>'D) Ecrêtage'!M8</f>
        <v>0</v>
      </c>
      <c r="F14" s="437">
        <f>$F$10*'D) Ecrêtage'!C8</f>
        <v>183088.07626620529</v>
      </c>
      <c r="G14" s="55">
        <f t="shared" si="0"/>
        <v>219128.42126620529</v>
      </c>
      <c r="I14" s="36"/>
      <c r="J14" s="423"/>
    </row>
    <row r="15" spans="1:33" x14ac:dyDescent="0.25">
      <c r="A15" s="49">
        <f>'A) Base RI'!A11</f>
        <v>5405</v>
      </c>
      <c r="B15" s="294" t="str">
        <f>'A) Base RI'!B11</f>
        <v>Gryon</v>
      </c>
      <c r="C15" s="10">
        <f>'A) Base RI'!V11</f>
        <v>1332</v>
      </c>
      <c r="D15" s="437">
        <f>'C) Prél. conj.'!H9</f>
        <v>788113.67500000005</v>
      </c>
      <c r="E15" s="10">
        <f>'D) Ecrêtage'!M9</f>
        <v>110049.60834122676</v>
      </c>
      <c r="F15" s="437">
        <f>$F$10*'D) Ecrêtage'!C9</f>
        <v>1032719.1046996142</v>
      </c>
      <c r="G15" s="55">
        <f t="shared" si="0"/>
        <v>1930882.3880408411</v>
      </c>
      <c r="I15" s="36"/>
      <c r="J15" s="423"/>
    </row>
    <row r="16" spans="1:33" x14ac:dyDescent="0.25">
      <c r="A16" s="49">
        <f>'A) Base RI'!A12</f>
        <v>5406</v>
      </c>
      <c r="B16" s="294" t="str">
        <f>'A) Base RI'!B12</f>
        <v>Lavey-Morcles</v>
      </c>
      <c r="C16" s="10">
        <f>'A) Base RI'!V12</f>
        <v>946</v>
      </c>
      <c r="D16" s="437">
        <f>'C) Prél. conj.'!H10</f>
        <v>25194.359999999997</v>
      </c>
      <c r="E16" s="10">
        <f>'D) Ecrêtage'!M10</f>
        <v>0</v>
      </c>
      <c r="F16" s="437">
        <f>$F$10*'D) Ecrêtage'!C10</f>
        <v>326285.75507554022</v>
      </c>
      <c r="G16" s="55">
        <f t="shared" si="0"/>
        <v>351480.1150755402</v>
      </c>
      <c r="I16" s="36"/>
      <c r="J16" s="423"/>
    </row>
    <row r="17" spans="1:10" x14ac:dyDescent="0.25">
      <c r="A17" s="49">
        <f>'A) Base RI'!A13</f>
        <v>5407</v>
      </c>
      <c r="B17" s="294" t="str">
        <f>'A) Base RI'!B13</f>
        <v>Leysin</v>
      </c>
      <c r="C17" s="10">
        <f>'A) Base RI'!V13</f>
        <v>3939</v>
      </c>
      <c r="D17" s="437">
        <f>'C) Prél. conj.'!H11</f>
        <v>223301.875</v>
      </c>
      <c r="E17" s="10">
        <f>'D) Ecrêtage'!M11</f>
        <v>0</v>
      </c>
      <c r="F17" s="437">
        <f>$F$10*'D) Ecrêtage'!C11</f>
        <v>1352437.116082134</v>
      </c>
      <c r="G17" s="55">
        <f t="shared" si="0"/>
        <v>1575738.991082134</v>
      </c>
      <c r="I17" s="36"/>
      <c r="J17" s="423"/>
    </row>
    <row r="18" spans="1:10" x14ac:dyDescent="0.25">
      <c r="A18" s="49">
        <f>'A) Base RI'!A14</f>
        <v>5408</v>
      </c>
      <c r="B18" s="294" t="str">
        <f>'A) Base RI'!B14</f>
        <v>Noville</v>
      </c>
      <c r="C18" s="10">
        <f>'A) Base RI'!V14</f>
        <v>1113</v>
      </c>
      <c r="D18" s="437">
        <f>'C) Prél. conj.'!H12</f>
        <v>260696.55499999999</v>
      </c>
      <c r="E18" s="10">
        <f>'D) Ecrêtage'!M12</f>
        <v>0</v>
      </c>
      <c r="F18" s="437">
        <f>$F$10*'D) Ecrêtage'!C12</f>
        <v>531194.61147171876</v>
      </c>
      <c r="G18" s="55">
        <f t="shared" si="0"/>
        <v>791891.16647171881</v>
      </c>
    </row>
    <row r="19" spans="1:10" x14ac:dyDescent="0.25">
      <c r="A19" s="49">
        <f>'A) Base RI'!A15</f>
        <v>5409</v>
      </c>
      <c r="B19" s="294" t="str">
        <f>'A) Base RI'!B15</f>
        <v>Ollon</v>
      </c>
      <c r="C19" s="10">
        <f>'A) Base RI'!V15</f>
        <v>7461</v>
      </c>
      <c r="D19" s="437">
        <f>'C) Prél. conj.'!H13</f>
        <v>2072939.7549999999</v>
      </c>
      <c r="E19" s="10">
        <f>'D) Ecrêtage'!M13</f>
        <v>405252.97999837471</v>
      </c>
      <c r="F19" s="437">
        <f>$F$10*'D) Ecrêtage'!C13</f>
        <v>5610606.6950159818</v>
      </c>
      <c r="G19" s="55">
        <f t="shared" si="0"/>
        <v>8088799.430014356</v>
      </c>
    </row>
    <row r="20" spans="1:10" x14ac:dyDescent="0.25">
      <c r="A20" s="49">
        <f>'A) Base RI'!A16</f>
        <v>5410</v>
      </c>
      <c r="B20" s="294" t="str">
        <f>'A) Base RI'!B16</f>
        <v>Ormont-Dessous</v>
      </c>
      <c r="C20" s="10">
        <f>'A) Base RI'!V16</f>
        <v>1121</v>
      </c>
      <c r="D20" s="437">
        <f>'C) Prél. conj.'!H14</f>
        <v>161367.57500000001</v>
      </c>
      <c r="E20" s="10">
        <f>'D) Ecrêtage'!M14</f>
        <v>0</v>
      </c>
      <c r="F20" s="437">
        <f>$F$10*'D) Ecrêtage'!C14</f>
        <v>665495.82392391667</v>
      </c>
      <c r="G20" s="55">
        <f t="shared" si="0"/>
        <v>826863.39892391674</v>
      </c>
    </row>
    <row r="21" spans="1:10" x14ac:dyDescent="0.25">
      <c r="A21" s="49">
        <f>'A) Base RI'!A17</f>
        <v>5411</v>
      </c>
      <c r="B21" s="294" t="str">
        <f>'A) Base RI'!B17</f>
        <v>Ormont-Dessus</v>
      </c>
      <c r="C21" s="10">
        <f>'A) Base RI'!V17</f>
        <v>1446</v>
      </c>
      <c r="D21" s="437">
        <f>'C) Prél. conj.'!H15</f>
        <v>371849.86</v>
      </c>
      <c r="E21" s="10">
        <f>'D) Ecrêtage'!M15</f>
        <v>118458.94095415284</v>
      </c>
      <c r="F21" s="437">
        <f>$F$10*'D) Ecrêtage'!C15</f>
        <v>1118467.8794838428</v>
      </c>
      <c r="G21" s="55">
        <f t="shared" si="0"/>
        <v>1608776.6804379956</v>
      </c>
    </row>
    <row r="22" spans="1:10" x14ac:dyDescent="0.25">
      <c r="A22" s="49">
        <f>'A) Base RI'!A18</f>
        <v>5412</v>
      </c>
      <c r="B22" s="294" t="str">
        <f>'A) Base RI'!B18</f>
        <v>Rennaz</v>
      </c>
      <c r="C22" s="10">
        <f>'A) Base RI'!V18</f>
        <v>826</v>
      </c>
      <c r="D22" s="437">
        <f>'C) Prél. conj.'!H16</f>
        <v>439674.90500000003</v>
      </c>
      <c r="E22" s="10">
        <f>'D) Ecrêtage'!M16</f>
        <v>0</v>
      </c>
      <c r="F22" s="437">
        <f>$F$10*'D) Ecrêtage'!C16</f>
        <v>407674.17624645785</v>
      </c>
      <c r="G22" s="55">
        <f t="shared" si="0"/>
        <v>847349.08124645788</v>
      </c>
    </row>
    <row r="23" spans="1:10" x14ac:dyDescent="0.25">
      <c r="A23" s="49">
        <f>'A) Base RI'!A19</f>
        <v>5413</v>
      </c>
      <c r="B23" s="294" t="str">
        <f>'A) Base RI'!B19</f>
        <v>Roche</v>
      </c>
      <c r="C23" s="10">
        <f>'A) Base RI'!V19</f>
        <v>1775</v>
      </c>
      <c r="D23" s="437">
        <f>'C) Prél. conj.'!H17</f>
        <v>249307.29</v>
      </c>
      <c r="E23" s="10">
        <f>'D) Ecrêtage'!M17</f>
        <v>0</v>
      </c>
      <c r="F23" s="437">
        <f>$F$10*'D) Ecrêtage'!C17</f>
        <v>585188.79965298658</v>
      </c>
      <c r="G23" s="55">
        <f t="shared" si="0"/>
        <v>834496.08965298661</v>
      </c>
    </row>
    <row r="24" spans="1:10" x14ac:dyDescent="0.25">
      <c r="A24" s="49">
        <f>'A) Base RI'!A20</f>
        <v>5414</v>
      </c>
      <c r="B24" s="294" t="str">
        <f>'A) Base RI'!B20</f>
        <v>Villeneuve</v>
      </c>
      <c r="C24" s="10">
        <f>'A) Base RI'!V20</f>
        <v>5771</v>
      </c>
      <c r="D24" s="437">
        <f>'C) Prél. conj.'!H18</f>
        <v>1249781.855</v>
      </c>
      <c r="E24" s="10">
        <f>'D) Ecrêtage'!M18</f>
        <v>0</v>
      </c>
      <c r="F24" s="437">
        <f>$F$10*'D) Ecrêtage'!C18</f>
        <v>2549995.0574750192</v>
      </c>
      <c r="G24" s="55">
        <f t="shared" si="0"/>
        <v>3799776.9124750192</v>
      </c>
    </row>
    <row r="25" spans="1:10" x14ac:dyDescent="0.25">
      <c r="A25" s="49">
        <f>'A) Base RI'!A21</f>
        <v>5415</v>
      </c>
      <c r="B25" s="294" t="str">
        <f>'A) Base RI'!B21</f>
        <v>Yvorne</v>
      </c>
      <c r="C25" s="10">
        <f>'A) Base RI'!V21</f>
        <v>1066</v>
      </c>
      <c r="D25" s="437">
        <f>'C) Prél. conj.'!H19</f>
        <v>81124.275000000009</v>
      </c>
      <c r="E25" s="10">
        <f>'D) Ecrêtage'!M19</f>
        <v>0</v>
      </c>
      <c r="F25" s="437">
        <f>$F$10*'D) Ecrêtage'!C19</f>
        <v>513934.07692077447</v>
      </c>
      <c r="G25" s="55">
        <f t="shared" si="0"/>
        <v>595058.35192077444</v>
      </c>
    </row>
    <row r="26" spans="1:10" x14ac:dyDescent="0.25">
      <c r="A26" s="49">
        <f>'A) Base RI'!A22</f>
        <v>5421</v>
      </c>
      <c r="B26" s="294" t="str">
        <f>'A) Base RI'!B22</f>
        <v>Apples</v>
      </c>
      <c r="C26" s="10">
        <f>'A) Base RI'!V22</f>
        <v>1469</v>
      </c>
      <c r="D26" s="437">
        <f>'C) Prél. conj.'!H20</f>
        <v>99667.87</v>
      </c>
      <c r="E26" s="10">
        <f>'D) Ecrêtage'!M20</f>
        <v>17128.190012177343</v>
      </c>
      <c r="F26" s="437">
        <f>$F$10*'D) Ecrêtage'!C20</f>
        <v>1031660.6636178575</v>
      </c>
      <c r="G26" s="55">
        <f t="shared" si="0"/>
        <v>1148456.7236300348</v>
      </c>
    </row>
    <row r="27" spans="1:10" x14ac:dyDescent="0.25">
      <c r="A27" s="49">
        <f>'A) Base RI'!A23</f>
        <v>5422</v>
      </c>
      <c r="B27" s="294" t="str">
        <f>'A) Base RI'!B23</f>
        <v>Aubonne</v>
      </c>
      <c r="C27" s="10">
        <f>'A) Base RI'!V23</f>
        <v>3242</v>
      </c>
      <c r="D27" s="437">
        <f>'C) Prél. conj.'!H21</f>
        <v>1443039.905</v>
      </c>
      <c r="E27" s="10">
        <f>'D) Ecrêtage'!M21</f>
        <v>1490864.485548144</v>
      </c>
      <c r="F27" s="437">
        <f>$F$10*'D) Ecrêtage'!C21</f>
        <v>3474538.5241319002</v>
      </c>
      <c r="G27" s="55">
        <f t="shared" si="0"/>
        <v>6408442.9146800442</v>
      </c>
    </row>
    <row r="28" spans="1:10" x14ac:dyDescent="0.25">
      <c r="A28" s="49">
        <f>'A) Base RI'!A24</f>
        <v>5423</v>
      </c>
      <c r="B28" s="294" t="str">
        <f>'A) Base RI'!B24</f>
        <v>Ballens</v>
      </c>
      <c r="C28" s="10">
        <f>'A) Base RI'!V24</f>
        <v>536</v>
      </c>
      <c r="D28" s="437">
        <f>'C) Prél. conj.'!H22</f>
        <v>23185.055</v>
      </c>
      <c r="E28" s="10">
        <f>'D) Ecrêtage'!M22</f>
        <v>0</v>
      </c>
      <c r="F28" s="437">
        <f>$F$10*'D) Ecrêtage'!C22</f>
        <v>208670.05297404435</v>
      </c>
      <c r="G28" s="55">
        <f t="shared" si="0"/>
        <v>231855.10797404434</v>
      </c>
    </row>
    <row r="29" spans="1:10" x14ac:dyDescent="0.25">
      <c r="A29" s="49">
        <f>'A) Base RI'!A25</f>
        <v>5424</v>
      </c>
      <c r="B29" s="294" t="str">
        <f>'A) Base RI'!B25</f>
        <v>Berolle</v>
      </c>
      <c r="C29" s="10">
        <f>'A) Base RI'!V25</f>
        <v>307</v>
      </c>
      <c r="D29" s="437">
        <f>'C) Prél. conj.'!H23</f>
        <v>4276.1750000000002</v>
      </c>
      <c r="E29" s="10">
        <f>'D) Ecrêtage'!M23</f>
        <v>0</v>
      </c>
      <c r="F29" s="437">
        <f>$F$10*'D) Ecrêtage'!C23</f>
        <v>143370.46477097849</v>
      </c>
      <c r="G29" s="55">
        <f t="shared" si="0"/>
        <v>147646.63977097848</v>
      </c>
    </row>
    <row r="30" spans="1:10" x14ac:dyDescent="0.25">
      <c r="A30" s="49">
        <f>'A) Base RI'!A26</f>
        <v>5425</v>
      </c>
      <c r="B30" s="294" t="str">
        <f>'A) Base RI'!B26</f>
        <v>Bière</v>
      </c>
      <c r="C30" s="10">
        <f>'A) Base RI'!V26</f>
        <v>1595</v>
      </c>
      <c r="D30" s="437">
        <f>'C) Prél. conj.'!H24</f>
        <v>94011.57</v>
      </c>
      <c r="E30" s="10">
        <f>'D) Ecrêtage'!M24</f>
        <v>0</v>
      </c>
      <c r="F30" s="437">
        <f>$F$10*'D) Ecrêtage'!C24</f>
        <v>593143.07015473233</v>
      </c>
      <c r="G30" s="55">
        <f t="shared" si="0"/>
        <v>687154.64015473239</v>
      </c>
    </row>
    <row r="31" spans="1:10" x14ac:dyDescent="0.25">
      <c r="A31" s="49">
        <f>'A) Base RI'!A27</f>
        <v>5426</v>
      </c>
      <c r="B31" s="294" t="str">
        <f>'A) Base RI'!B27</f>
        <v>Bougy-Villars</v>
      </c>
      <c r="C31" s="10">
        <f>'A) Base RI'!V27</f>
        <v>490</v>
      </c>
      <c r="D31" s="437">
        <f>'C) Prél. conj.'!H25</f>
        <v>1143394.2399999998</v>
      </c>
      <c r="E31" s="10">
        <f>'D) Ecrêtage'!M25</f>
        <v>700400.79625611659</v>
      </c>
      <c r="F31" s="437">
        <f>$F$10*'D) Ecrêtage'!C25</f>
        <v>780293.93669060874</v>
      </c>
      <c r="G31" s="55">
        <f t="shared" si="0"/>
        <v>2624088.9729467249</v>
      </c>
    </row>
    <row r="32" spans="1:10" x14ac:dyDescent="0.25">
      <c r="A32" s="49">
        <f>'A) Base RI'!A28</f>
        <v>5427</v>
      </c>
      <c r="B32" s="294" t="str">
        <f>'A) Base RI'!B28</f>
        <v>Féchy</v>
      </c>
      <c r="C32" s="10">
        <f>'A) Base RI'!V28</f>
        <v>860</v>
      </c>
      <c r="D32" s="437">
        <f>'C) Prél. conj.'!H26</f>
        <v>215690.83</v>
      </c>
      <c r="E32" s="10">
        <f>'D) Ecrêtage'!M26</f>
        <v>703728.05832897534</v>
      </c>
      <c r="F32" s="437">
        <f>$F$10*'D) Ecrêtage'!C26</f>
        <v>1121157.1748555149</v>
      </c>
      <c r="G32" s="55">
        <f t="shared" si="0"/>
        <v>2040576.0631844904</v>
      </c>
    </row>
    <row r="33" spans="1:7" x14ac:dyDescent="0.25">
      <c r="A33" s="49">
        <f>'A) Base RI'!A29</f>
        <v>5428</v>
      </c>
      <c r="B33" s="294" t="str">
        <f>'A) Base RI'!B29</f>
        <v>Gimel</v>
      </c>
      <c r="C33" s="10">
        <f>'A) Base RI'!V29</f>
        <v>2186</v>
      </c>
      <c r="D33" s="437">
        <f>'C) Prél. conj.'!H27</f>
        <v>420757.32500000001</v>
      </c>
      <c r="E33" s="10">
        <f>'D) Ecrêtage'!M27</f>
        <v>0</v>
      </c>
      <c r="F33" s="437">
        <f>$F$10*'D) Ecrêtage'!C27</f>
        <v>907428.30931855773</v>
      </c>
      <c r="G33" s="55">
        <f t="shared" si="0"/>
        <v>1328185.6343185578</v>
      </c>
    </row>
    <row r="34" spans="1:7" x14ac:dyDescent="0.25">
      <c r="A34" s="49">
        <f>'A) Base RI'!A30</f>
        <v>5429</v>
      </c>
      <c r="B34" s="294" t="str">
        <f>'A) Base RI'!B30</f>
        <v>Longirod</v>
      </c>
      <c r="C34" s="10">
        <f>'A) Base RI'!V30</f>
        <v>478</v>
      </c>
      <c r="D34" s="437">
        <f>'C) Prél. conj.'!H28</f>
        <v>36392.699999999997</v>
      </c>
      <c r="E34" s="10">
        <f>'D) Ecrêtage'!M28</f>
        <v>0</v>
      </c>
      <c r="F34" s="437">
        <f>$F$10*'D) Ecrêtage'!C28</f>
        <v>212058.07326805481</v>
      </c>
      <c r="G34" s="55">
        <f t="shared" si="0"/>
        <v>248450.77326805482</v>
      </c>
    </row>
    <row r="35" spans="1:7" x14ac:dyDescent="0.25">
      <c r="A35" s="49">
        <f>'A) Base RI'!A31</f>
        <v>5430</v>
      </c>
      <c r="B35" s="294" t="str">
        <f>'A) Base RI'!B31</f>
        <v>Marchissy</v>
      </c>
      <c r="C35" s="10">
        <f>'A) Base RI'!V31</f>
        <v>463</v>
      </c>
      <c r="D35" s="437">
        <f>'C) Prél. conj.'!H29</f>
        <v>36826.965000000004</v>
      </c>
      <c r="E35" s="10">
        <f>'D) Ecrêtage'!M29</f>
        <v>0</v>
      </c>
      <c r="F35" s="437">
        <f>$F$10*'D) Ecrêtage'!C29</f>
        <v>210812.87393369537</v>
      </c>
      <c r="G35" s="55">
        <f t="shared" si="0"/>
        <v>247639.83893369537</v>
      </c>
    </row>
    <row r="36" spans="1:7" x14ac:dyDescent="0.25">
      <c r="A36" s="49">
        <f>'A) Base RI'!A32</f>
        <v>5431</v>
      </c>
      <c r="B36" s="294" t="str">
        <f>'A) Base RI'!B32</f>
        <v>Mollens</v>
      </c>
      <c r="C36" s="10">
        <f>'A) Base RI'!V32</f>
        <v>283</v>
      </c>
      <c r="D36" s="437">
        <f>'C) Prél. conj.'!H30</f>
        <v>47617.51</v>
      </c>
      <c r="E36" s="10">
        <f>'D) Ecrêtage'!M30</f>
        <v>0</v>
      </c>
      <c r="F36" s="437">
        <f>$F$10*'D) Ecrêtage'!C30</f>
        <v>132949.10410347994</v>
      </c>
      <c r="G36" s="55">
        <f t="shared" si="0"/>
        <v>180566.61410347995</v>
      </c>
    </row>
    <row r="37" spans="1:7" x14ac:dyDescent="0.25">
      <c r="A37" s="49">
        <f>'A) Base RI'!A33</f>
        <v>5432</v>
      </c>
      <c r="B37" s="294" t="str">
        <f>'A) Base RI'!B33</f>
        <v>Montherod</v>
      </c>
      <c r="C37" s="10">
        <f>'A) Base RI'!V33</f>
        <v>536</v>
      </c>
      <c r="D37" s="437">
        <f>'C) Prél. conj.'!H31</f>
        <v>27611.535000000003</v>
      </c>
      <c r="E37" s="10">
        <f>'D) Ecrêtage'!M31</f>
        <v>0</v>
      </c>
      <c r="F37" s="437">
        <f>$F$10*'D) Ecrêtage'!C31</f>
        <v>279109.95322180772</v>
      </c>
      <c r="G37" s="55">
        <f t="shared" si="0"/>
        <v>306721.48822180775</v>
      </c>
    </row>
    <row r="38" spans="1:7" x14ac:dyDescent="0.25">
      <c r="A38" s="49">
        <f>'A) Base RI'!A34</f>
        <v>5434</v>
      </c>
      <c r="B38" s="294" t="str">
        <f>'A) Base RI'!B34</f>
        <v>Saint-George</v>
      </c>
      <c r="C38" s="10">
        <f>'A) Base RI'!V34</f>
        <v>1031</v>
      </c>
      <c r="D38" s="437">
        <f>'C) Prél. conj.'!H32</f>
        <v>173869.01</v>
      </c>
      <c r="E38" s="10">
        <f>'D) Ecrêtage'!M32</f>
        <v>0</v>
      </c>
      <c r="F38" s="437">
        <f>$F$10*'D) Ecrêtage'!C32</f>
        <v>564910.81355164805</v>
      </c>
      <c r="G38" s="55">
        <f t="shared" si="0"/>
        <v>738779.82355164806</v>
      </c>
    </row>
    <row r="39" spans="1:7" x14ac:dyDescent="0.25">
      <c r="A39" s="49">
        <f>'A) Base RI'!A35</f>
        <v>5435</v>
      </c>
      <c r="B39" s="294" t="str">
        <f>'A) Base RI'!B35</f>
        <v>Saint-Livres</v>
      </c>
      <c r="C39" s="10">
        <f>'A) Base RI'!V35</f>
        <v>690</v>
      </c>
      <c r="D39" s="437">
        <f>'C) Prél. conj.'!H33</f>
        <v>44312.79</v>
      </c>
      <c r="E39" s="10">
        <f>'D) Ecrêtage'!M33</f>
        <v>0</v>
      </c>
      <c r="F39" s="437">
        <f>$F$10*'D) Ecrêtage'!C33</f>
        <v>371755.43574521778</v>
      </c>
      <c r="G39" s="55">
        <f t="shared" si="0"/>
        <v>416068.22574521776</v>
      </c>
    </row>
    <row r="40" spans="1:7" x14ac:dyDescent="0.25">
      <c r="A40" s="49">
        <f>'A) Base RI'!A36</f>
        <v>5436</v>
      </c>
      <c r="B40" s="294" t="str">
        <f>'A) Base RI'!B36</f>
        <v>Saint-Oyens</v>
      </c>
      <c r="C40" s="10">
        <f>'A) Base RI'!V36</f>
        <v>448</v>
      </c>
      <c r="D40" s="437">
        <f>'C) Prél. conj.'!H34</f>
        <v>57237.425000000003</v>
      </c>
      <c r="E40" s="10">
        <f>'D) Ecrêtage'!M34</f>
        <v>0</v>
      </c>
      <c r="F40" s="437">
        <f>$F$10*'D) Ecrêtage'!C34</f>
        <v>232306.6183368341</v>
      </c>
      <c r="G40" s="55">
        <f t="shared" si="0"/>
        <v>289544.04333683412</v>
      </c>
    </row>
    <row r="41" spans="1:7" x14ac:dyDescent="0.25">
      <c r="A41" s="49">
        <f>'A) Base RI'!A37</f>
        <v>5437</v>
      </c>
      <c r="B41" s="294" t="str">
        <f>'A) Base RI'!B37</f>
        <v>Saubraz</v>
      </c>
      <c r="C41" s="10">
        <f>'A) Base RI'!V37</f>
        <v>418</v>
      </c>
      <c r="D41" s="437">
        <f>'C) Prél. conj.'!H35</f>
        <v>40961.974999999999</v>
      </c>
      <c r="E41" s="10">
        <f>'D) Ecrêtage'!M35</f>
        <v>0</v>
      </c>
      <c r="F41" s="437">
        <f>$F$10*'D) Ecrêtage'!C35</f>
        <v>175101.05972469211</v>
      </c>
      <c r="G41" s="55">
        <f t="shared" si="0"/>
        <v>216063.03472469212</v>
      </c>
    </row>
    <row r="42" spans="1:7" x14ac:dyDescent="0.25">
      <c r="A42" s="49">
        <f>'A) Base RI'!A38</f>
        <v>5451</v>
      </c>
      <c r="B42" s="294" t="str">
        <f>'A) Base RI'!B38</f>
        <v>Avenches</v>
      </c>
      <c r="C42" s="10">
        <f>'A) Base RI'!V38</f>
        <v>4282</v>
      </c>
      <c r="D42" s="437">
        <f>'C) Prél. conj.'!H36</f>
        <v>692067.99</v>
      </c>
      <c r="E42" s="10">
        <f>'D) Ecrêtage'!M36</f>
        <v>0</v>
      </c>
      <c r="F42" s="437">
        <f>$F$10*'D) Ecrêtage'!C36</f>
        <v>1994305.3026102418</v>
      </c>
      <c r="G42" s="55">
        <f t="shared" si="0"/>
        <v>2686373.292610242</v>
      </c>
    </row>
    <row r="43" spans="1:7" x14ac:dyDescent="0.25">
      <c r="A43" s="49">
        <f>'A) Base RI'!A39</f>
        <v>5456</v>
      </c>
      <c r="B43" s="294" t="str">
        <f>'A) Base RI'!B39</f>
        <v>Cudrefin</v>
      </c>
      <c r="C43" s="10">
        <f>'A) Base RI'!V39</f>
        <v>1633</v>
      </c>
      <c r="D43" s="437">
        <f>'C) Prél. conj.'!H37</f>
        <v>257551.66999999998</v>
      </c>
      <c r="E43" s="10">
        <f>'D) Ecrêtage'!M37</f>
        <v>0</v>
      </c>
      <c r="F43" s="437">
        <f>$F$10*'D) Ecrêtage'!C37</f>
        <v>889949.45297706453</v>
      </c>
      <c r="G43" s="55">
        <f t="shared" si="0"/>
        <v>1147501.1229770645</v>
      </c>
    </row>
    <row r="44" spans="1:7" x14ac:dyDescent="0.25">
      <c r="A44" s="49">
        <f>'A) Base RI'!A40</f>
        <v>5458</v>
      </c>
      <c r="B44" s="294" t="str">
        <f>'A) Base RI'!B40</f>
        <v>Faoug</v>
      </c>
      <c r="C44" s="10">
        <f>'A) Base RI'!V40</f>
        <v>904</v>
      </c>
      <c r="D44" s="437">
        <f>'C) Prél. conj.'!H38</f>
        <v>125137.625</v>
      </c>
      <c r="E44" s="10">
        <f>'D) Ecrêtage'!M38</f>
        <v>0</v>
      </c>
      <c r="F44" s="437">
        <f>$F$10*'D) Ecrêtage'!C38</f>
        <v>462524.56626517198</v>
      </c>
      <c r="G44" s="55">
        <f t="shared" si="0"/>
        <v>587662.19126517198</v>
      </c>
    </row>
    <row r="45" spans="1:7" x14ac:dyDescent="0.25">
      <c r="A45" s="49">
        <f>'A) Base RI'!A41</f>
        <v>5464</v>
      </c>
      <c r="B45" s="294" t="str">
        <f>'A) Base RI'!B41</f>
        <v>Vully-les-Lacs</v>
      </c>
      <c r="C45" s="10">
        <f>'A) Base RI'!V41</f>
        <v>3163</v>
      </c>
      <c r="D45" s="437">
        <f>'C) Prél. conj.'!H39</f>
        <v>389870.125</v>
      </c>
      <c r="E45" s="10">
        <f>'D) Ecrêtage'!M39</f>
        <v>0</v>
      </c>
      <c r="F45" s="437">
        <f>$F$10*'D) Ecrêtage'!C39</f>
        <v>1597312.4143773981</v>
      </c>
      <c r="G45" s="55">
        <f t="shared" si="0"/>
        <v>1987182.5393773981</v>
      </c>
    </row>
    <row r="46" spans="1:7" x14ac:dyDescent="0.25">
      <c r="A46" s="49">
        <f>'A) Base RI'!A42</f>
        <v>5471</v>
      </c>
      <c r="B46" s="294" t="str">
        <f>'A) Base RI'!B42</f>
        <v>Bettens</v>
      </c>
      <c r="C46" s="10">
        <f>'A) Base RI'!V42</f>
        <v>592</v>
      </c>
      <c r="D46" s="437">
        <f>'C) Prél. conj.'!H40</f>
        <v>36460.654999999999</v>
      </c>
      <c r="E46" s="10">
        <f>'D) Ecrêtage'!M40</f>
        <v>0</v>
      </c>
      <c r="F46" s="437">
        <f>$F$10*'D) Ecrêtage'!C40</f>
        <v>281220.40015451738</v>
      </c>
      <c r="G46" s="55">
        <f t="shared" si="0"/>
        <v>317681.05515451741</v>
      </c>
    </row>
    <row r="47" spans="1:7" x14ac:dyDescent="0.25">
      <c r="A47" s="49">
        <f>'A) Base RI'!A43</f>
        <v>5472</v>
      </c>
      <c r="B47" s="294" t="str">
        <f>'A) Base RI'!B43</f>
        <v>Bournens</v>
      </c>
      <c r="C47" s="10">
        <f>'A) Base RI'!V43</f>
        <v>404</v>
      </c>
      <c r="D47" s="437">
        <f>'C) Prél. conj.'!H41</f>
        <v>20908.574999999997</v>
      </c>
      <c r="E47" s="10">
        <f>'D) Ecrêtage'!M41</f>
        <v>0</v>
      </c>
      <c r="F47" s="437">
        <f>$F$10*'D) Ecrêtage'!C41</f>
        <v>253328.53427311528</v>
      </c>
      <c r="G47" s="55">
        <f t="shared" si="0"/>
        <v>274237.10927311529</v>
      </c>
    </row>
    <row r="48" spans="1:7" x14ac:dyDescent="0.25">
      <c r="A48" s="49">
        <f>'A) Base RI'!A44</f>
        <v>5473</v>
      </c>
      <c r="B48" s="294" t="str">
        <f>'A) Base RI'!B44</f>
        <v>Boussens</v>
      </c>
      <c r="C48" s="10">
        <f>'A) Base RI'!V44</f>
        <v>968</v>
      </c>
      <c r="D48" s="437">
        <f>'C) Prél. conj.'!H42</f>
        <v>40351.425000000003</v>
      </c>
      <c r="E48" s="10">
        <f>'D) Ecrêtage'!M42</f>
        <v>0</v>
      </c>
      <c r="F48" s="437">
        <f>$F$10*'D) Ecrêtage'!C42</f>
        <v>550921.43008283852</v>
      </c>
      <c r="G48" s="55">
        <f t="shared" si="0"/>
        <v>591272.85508283856</v>
      </c>
    </row>
    <row r="49" spans="1:7" x14ac:dyDescent="0.25">
      <c r="A49" s="49">
        <f>'A) Base RI'!A45</f>
        <v>5474</v>
      </c>
      <c r="B49" s="294" t="str">
        <f>'A) Base RI'!B45</f>
        <v>La Chaux (Cossonay)</v>
      </c>
      <c r="C49" s="10">
        <f>'A) Base RI'!V45</f>
        <v>410</v>
      </c>
      <c r="D49" s="437">
        <f>'C) Prél. conj.'!H43</f>
        <v>-1928.7849999999996</v>
      </c>
      <c r="E49" s="10">
        <f>'D) Ecrêtage'!M43</f>
        <v>0</v>
      </c>
      <c r="F49" s="437">
        <f>$F$10*'D) Ecrêtage'!C43</f>
        <v>199819.9174604757</v>
      </c>
      <c r="G49" s="55">
        <f t="shared" si="0"/>
        <v>197891.1324604757</v>
      </c>
    </row>
    <row r="50" spans="1:7" x14ac:dyDescent="0.25">
      <c r="A50" s="49">
        <f>'A) Base RI'!A46</f>
        <v>5475</v>
      </c>
      <c r="B50" s="294" t="str">
        <f>'A) Base RI'!B46</f>
        <v>Chavannes-le-Veyron</v>
      </c>
      <c r="C50" s="10">
        <f>'A) Base RI'!V46</f>
        <v>142</v>
      </c>
      <c r="D50" s="437">
        <f>'C) Prél. conj.'!H44</f>
        <v>32321.55</v>
      </c>
      <c r="E50" s="10">
        <f>'D) Ecrêtage'!M44</f>
        <v>0</v>
      </c>
      <c r="F50" s="437">
        <f>$F$10*'D) Ecrêtage'!C44</f>
        <v>75510.861971405582</v>
      </c>
      <c r="G50" s="55">
        <f t="shared" si="0"/>
        <v>107832.41197140559</v>
      </c>
    </row>
    <row r="51" spans="1:7" x14ac:dyDescent="0.25">
      <c r="A51" s="49">
        <f>'A) Base RI'!A47</f>
        <v>5476</v>
      </c>
      <c r="B51" s="294" t="str">
        <f>'A) Base RI'!B47</f>
        <v>Chevilly</v>
      </c>
      <c r="C51" s="10">
        <f>'A) Base RI'!V47</f>
        <v>314</v>
      </c>
      <c r="D51" s="437">
        <f>'C) Prél. conj.'!H45</f>
        <v>-166.09999999999991</v>
      </c>
      <c r="E51" s="10">
        <f>'D) Ecrêtage'!M45</f>
        <v>0</v>
      </c>
      <c r="F51" s="437">
        <f>$F$10*'D) Ecrêtage'!C45</f>
        <v>164618.77528276722</v>
      </c>
      <c r="G51" s="55">
        <f t="shared" si="0"/>
        <v>164452.67528276722</v>
      </c>
    </row>
    <row r="52" spans="1:7" x14ac:dyDescent="0.25">
      <c r="A52" s="49">
        <f>'A) Base RI'!A48</f>
        <v>5477</v>
      </c>
      <c r="B52" s="294" t="str">
        <f>'A) Base RI'!B48</f>
        <v>Cossonay</v>
      </c>
      <c r="C52" s="10">
        <f>'A) Base RI'!V48</f>
        <v>3871</v>
      </c>
      <c r="D52" s="437">
        <f>'C) Prél. conj.'!H46</f>
        <v>409761.85</v>
      </c>
      <c r="E52" s="10">
        <f>'D) Ecrêtage'!M46</f>
        <v>0</v>
      </c>
      <c r="F52" s="437">
        <f>$F$10*'D) Ecrêtage'!C46</f>
        <v>1996120.9243256478</v>
      </c>
      <c r="G52" s="55">
        <f t="shared" si="0"/>
        <v>2405882.7743256479</v>
      </c>
    </row>
    <row r="53" spans="1:7" x14ac:dyDescent="0.25">
      <c r="A53" s="49">
        <f>'A) Base RI'!A49</f>
        <v>5478</v>
      </c>
      <c r="B53" s="294" t="str">
        <f>'A) Base RI'!B49</f>
        <v>Cottens</v>
      </c>
      <c r="C53" s="10">
        <f>'A) Base RI'!V49</f>
        <v>486</v>
      </c>
      <c r="D53" s="437">
        <f>'C) Prél. conj.'!H47</f>
        <v>23234.7</v>
      </c>
      <c r="E53" s="10">
        <f>'D) Ecrêtage'!M47</f>
        <v>0</v>
      </c>
      <c r="F53" s="437">
        <f>$F$10*'D) Ecrêtage'!C47</f>
        <v>218865.32385479854</v>
      </c>
      <c r="G53" s="55">
        <f t="shared" si="0"/>
        <v>242100.02385479855</v>
      </c>
    </row>
    <row r="54" spans="1:7" x14ac:dyDescent="0.25">
      <c r="A54" s="49">
        <f>'A) Base RI'!A50</f>
        <v>5479</v>
      </c>
      <c r="B54" s="294" t="str">
        <f>'A) Base RI'!B50</f>
        <v>Cuarnens</v>
      </c>
      <c r="C54" s="10">
        <f>'A) Base RI'!V50</f>
        <v>479</v>
      </c>
      <c r="D54" s="437">
        <f>'C) Prél. conj.'!H48</f>
        <v>43112.19</v>
      </c>
      <c r="E54" s="10">
        <f>'D) Ecrêtage'!M48</f>
        <v>0</v>
      </c>
      <c r="F54" s="437">
        <f>$F$10*'D) Ecrêtage'!C48</f>
        <v>252946.0819030345</v>
      </c>
      <c r="G54" s="55">
        <f t="shared" si="0"/>
        <v>296058.27190303453</v>
      </c>
    </row>
    <row r="55" spans="1:7" x14ac:dyDescent="0.25">
      <c r="A55" s="49">
        <f>'A) Base RI'!A51</f>
        <v>5480</v>
      </c>
      <c r="B55" s="294" t="str">
        <f>'A) Base RI'!B51</f>
        <v>Daillens</v>
      </c>
      <c r="C55" s="10">
        <f>'A) Base RI'!V51</f>
        <v>1027</v>
      </c>
      <c r="D55" s="437">
        <f>'C) Prél. conj.'!H49</f>
        <v>177077.68</v>
      </c>
      <c r="E55" s="10">
        <f>'D) Ecrêtage'!M49</f>
        <v>0</v>
      </c>
      <c r="F55" s="437">
        <f>$F$10*'D) Ecrêtage'!C49</f>
        <v>635603.86067441502</v>
      </c>
      <c r="G55" s="55">
        <f t="shared" si="0"/>
        <v>812681.54067441495</v>
      </c>
    </row>
    <row r="56" spans="1:7" x14ac:dyDescent="0.25">
      <c r="A56" s="49">
        <f>'A) Base RI'!A52</f>
        <v>5481</v>
      </c>
      <c r="B56" s="294" t="str">
        <f>'A) Base RI'!B52</f>
        <v>Dizy</v>
      </c>
      <c r="C56" s="10">
        <f>'A) Base RI'!V52</f>
        <v>223</v>
      </c>
      <c r="D56" s="437">
        <f>'C) Prél. conj.'!H50</f>
        <v>16822.849999999999</v>
      </c>
      <c r="E56" s="10">
        <f>'D) Ecrêtage'!M50</f>
        <v>14156.754409917621</v>
      </c>
      <c r="F56" s="437">
        <f>$F$10*'D) Ecrêtage'!C50</f>
        <v>167776.79013294406</v>
      </c>
      <c r="G56" s="55">
        <f t="shared" si="0"/>
        <v>198756.3945428617</v>
      </c>
    </row>
    <row r="57" spans="1:7" x14ac:dyDescent="0.25">
      <c r="A57" s="49">
        <f>'A) Base RI'!A53</f>
        <v>5482</v>
      </c>
      <c r="B57" s="294" t="str">
        <f>'A) Base RI'!B53</f>
        <v>Eclépens</v>
      </c>
      <c r="C57" s="10">
        <f>'A) Base RI'!V53</f>
        <v>1211</v>
      </c>
      <c r="D57" s="437">
        <f>'C) Prél. conj.'!H51</f>
        <v>132922.85999999999</v>
      </c>
      <c r="E57" s="10">
        <f>'D) Ecrêtage'!M51</f>
        <v>0</v>
      </c>
      <c r="F57" s="437">
        <f>$F$10*'D) Ecrêtage'!C51</f>
        <v>720785.85383490985</v>
      </c>
      <c r="G57" s="55">
        <f t="shared" si="0"/>
        <v>853708.71383490984</v>
      </c>
    </row>
    <row r="58" spans="1:7" x14ac:dyDescent="0.25">
      <c r="A58" s="49">
        <f>'A) Base RI'!A54</f>
        <v>5483</v>
      </c>
      <c r="B58" s="294" t="str">
        <f>'A) Base RI'!B54</f>
        <v>Ferreyres</v>
      </c>
      <c r="C58" s="10">
        <f>'A) Base RI'!V54</f>
        <v>310</v>
      </c>
      <c r="D58" s="437">
        <f>'C) Prél. conj.'!H52</f>
        <v>22615.625</v>
      </c>
      <c r="E58" s="10">
        <f>'D) Ecrêtage'!M52</f>
        <v>0</v>
      </c>
      <c r="F58" s="437">
        <f>$F$10*'D) Ecrêtage'!C52</f>
        <v>136782.99965329398</v>
      </c>
      <c r="G58" s="55">
        <f t="shared" si="0"/>
        <v>159398.62465329398</v>
      </c>
    </row>
    <row r="59" spans="1:7" x14ac:dyDescent="0.25">
      <c r="A59" s="49">
        <f>'A) Base RI'!A55</f>
        <v>5484</v>
      </c>
      <c r="B59" s="294" t="str">
        <f>'A) Base RI'!B55</f>
        <v>Gollion</v>
      </c>
      <c r="C59" s="10">
        <f>'A) Base RI'!V55</f>
        <v>939</v>
      </c>
      <c r="D59" s="437">
        <f>'C) Prél. conj.'!H53</f>
        <v>144100.935</v>
      </c>
      <c r="E59" s="10">
        <f>'D) Ecrêtage'!M53</f>
        <v>0</v>
      </c>
      <c r="F59" s="437">
        <f>$F$10*'D) Ecrêtage'!C53</f>
        <v>489746.27977983002</v>
      </c>
      <c r="G59" s="55">
        <f t="shared" si="0"/>
        <v>633847.21477983007</v>
      </c>
    </row>
    <row r="60" spans="1:7" x14ac:dyDescent="0.25">
      <c r="A60" s="49">
        <f>'A) Base RI'!A56</f>
        <v>5485</v>
      </c>
      <c r="B60" s="294" t="str">
        <f>'A) Base RI'!B56</f>
        <v>Grancy</v>
      </c>
      <c r="C60" s="10">
        <f>'A) Base RI'!V56</f>
        <v>398</v>
      </c>
      <c r="D60" s="437">
        <f>'C) Prél. conj.'!H54</f>
        <v>16214.764999999999</v>
      </c>
      <c r="E60" s="10">
        <f>'D) Ecrêtage'!M54</f>
        <v>9974.1251456686168</v>
      </c>
      <c r="F60" s="437">
        <f>$F$10*'D) Ecrêtage'!C54</f>
        <v>285781.87224110321</v>
      </c>
      <c r="G60" s="55">
        <f t="shared" si="0"/>
        <v>311970.76238677185</v>
      </c>
    </row>
    <row r="61" spans="1:7" x14ac:dyDescent="0.25">
      <c r="A61" s="49">
        <f>'A) Base RI'!A57</f>
        <v>5486</v>
      </c>
      <c r="B61" s="294" t="str">
        <f>'A) Base RI'!B57</f>
        <v>L'Isle</v>
      </c>
      <c r="C61" s="10">
        <f>'A) Base RI'!V57</f>
        <v>1005</v>
      </c>
      <c r="D61" s="437">
        <f>'C) Prél. conj.'!H55</f>
        <v>91397.74</v>
      </c>
      <c r="E61" s="10">
        <f>'D) Ecrêtage'!M55</f>
        <v>0</v>
      </c>
      <c r="F61" s="437">
        <f>$F$10*'D) Ecrêtage'!C55</f>
        <v>470525.08658102999</v>
      </c>
      <c r="G61" s="55">
        <f t="shared" si="0"/>
        <v>561922.82658103004</v>
      </c>
    </row>
    <row r="62" spans="1:7" x14ac:dyDescent="0.25">
      <c r="A62" s="49">
        <f>'A) Base RI'!A58</f>
        <v>5487</v>
      </c>
      <c r="B62" s="294" t="str">
        <f>'A) Base RI'!B58</f>
        <v>Lussery-Villars</v>
      </c>
      <c r="C62" s="10">
        <f>'A) Base RI'!V58</f>
        <v>462</v>
      </c>
      <c r="D62" s="437">
        <f>'C) Prél. conj.'!H56</f>
        <v>9931.2000000000007</v>
      </c>
      <c r="E62" s="10">
        <f>'D) Ecrêtage'!M56</f>
        <v>0</v>
      </c>
      <c r="F62" s="437">
        <f>$F$10*'D) Ecrêtage'!C56</f>
        <v>225127.16864109895</v>
      </c>
      <c r="G62" s="55">
        <f t="shared" si="0"/>
        <v>235058.36864109896</v>
      </c>
    </row>
    <row r="63" spans="1:7" x14ac:dyDescent="0.25">
      <c r="A63" s="49">
        <f>'A) Base RI'!A59</f>
        <v>5488</v>
      </c>
      <c r="B63" s="294" t="str">
        <f>'A) Base RI'!B59</f>
        <v>Mauraz</v>
      </c>
      <c r="C63" s="10">
        <f>'A) Base RI'!V59</f>
        <v>59</v>
      </c>
      <c r="D63" s="437">
        <f>'C) Prél. conj.'!H57</f>
        <v>6305.35</v>
      </c>
      <c r="E63" s="10">
        <f>'D) Ecrêtage'!M57</f>
        <v>0</v>
      </c>
      <c r="F63" s="437">
        <f>$F$10*'D) Ecrêtage'!C57</f>
        <v>29385.325439220855</v>
      </c>
      <c r="G63" s="55">
        <f t="shared" si="0"/>
        <v>35690.675439220853</v>
      </c>
    </row>
    <row r="64" spans="1:7" x14ac:dyDescent="0.25">
      <c r="A64" s="49">
        <f>'A) Base RI'!A60</f>
        <v>5489</v>
      </c>
      <c r="B64" s="294" t="str">
        <f>'A) Base RI'!B60</f>
        <v>Mex</v>
      </c>
      <c r="C64" s="10">
        <f>'A) Base RI'!V60</f>
        <v>725</v>
      </c>
      <c r="D64" s="437">
        <f>'C) Prél. conj.'!H58</f>
        <v>89417.195000000007</v>
      </c>
      <c r="E64" s="10">
        <f>'D) Ecrêtage'!M58</f>
        <v>509098.30471037287</v>
      </c>
      <c r="F64" s="437">
        <f>$F$10*'D) Ecrêtage'!C58</f>
        <v>909586.95610424678</v>
      </c>
      <c r="G64" s="55">
        <f t="shared" si="0"/>
        <v>1508102.4558146195</v>
      </c>
    </row>
    <row r="65" spans="1:7" x14ac:dyDescent="0.25">
      <c r="A65" s="49">
        <f>'A) Base RI'!A61</f>
        <v>5490</v>
      </c>
      <c r="B65" s="294" t="str">
        <f>'A) Base RI'!B61</f>
        <v>Moiry</v>
      </c>
      <c r="C65" s="10">
        <f>'A) Base RI'!V61</f>
        <v>310</v>
      </c>
      <c r="D65" s="437">
        <f>'C) Prél. conj.'!H59</f>
        <v>16070.25</v>
      </c>
      <c r="E65" s="10">
        <f>'D) Ecrêtage'!M59</f>
        <v>0</v>
      </c>
      <c r="F65" s="437">
        <f>$F$10*'D) Ecrêtage'!C59</f>
        <v>143843.08332129999</v>
      </c>
      <c r="G65" s="55">
        <f t="shared" si="0"/>
        <v>159913.33332129999</v>
      </c>
    </row>
    <row r="66" spans="1:7" x14ac:dyDescent="0.25">
      <c r="A66" s="49">
        <f>'A) Base RI'!A62</f>
        <v>5491</v>
      </c>
      <c r="B66" s="294" t="str">
        <f>'A) Base RI'!B62</f>
        <v>Mont-la-Ville</v>
      </c>
      <c r="C66" s="10">
        <f>'A) Base RI'!V62</f>
        <v>466</v>
      </c>
      <c r="D66" s="437">
        <f>'C) Prél. conj.'!H60</f>
        <v>45895.275000000001</v>
      </c>
      <c r="E66" s="10">
        <f>'D) Ecrêtage'!M60</f>
        <v>0</v>
      </c>
      <c r="F66" s="437">
        <f>$F$10*'D) Ecrêtage'!C60</f>
        <v>190113.56374144886</v>
      </c>
      <c r="G66" s="55">
        <f t="shared" si="0"/>
        <v>236008.83874144885</v>
      </c>
    </row>
    <row r="67" spans="1:7" x14ac:dyDescent="0.25">
      <c r="A67" s="49">
        <f>'A) Base RI'!A63</f>
        <v>5492</v>
      </c>
      <c r="B67" s="294" t="str">
        <f>'A) Base RI'!B63</f>
        <v>Montricher</v>
      </c>
      <c r="C67" s="10">
        <f>'A) Base RI'!V63</f>
        <v>940</v>
      </c>
      <c r="D67" s="437">
        <f>'C) Prél. conj.'!H61</f>
        <v>316490.36</v>
      </c>
      <c r="E67" s="10">
        <f>'D) Ecrêtage'!M61</f>
        <v>6422719.044499482</v>
      </c>
      <c r="F67" s="437">
        <f>$F$10*'D) Ecrêtage'!C61</f>
        <v>3625667.4555180785</v>
      </c>
      <c r="G67" s="55">
        <f t="shared" si="0"/>
        <v>10364876.86001756</v>
      </c>
    </row>
    <row r="68" spans="1:7" x14ac:dyDescent="0.25">
      <c r="A68" s="49">
        <f>'A) Base RI'!A64</f>
        <v>5493</v>
      </c>
      <c r="B68" s="294" t="str">
        <f>'A) Base RI'!B64</f>
        <v>Orny</v>
      </c>
      <c r="C68" s="10">
        <f>'A) Base RI'!V64</f>
        <v>368</v>
      </c>
      <c r="D68" s="437">
        <f>'C) Prél. conj.'!H62</f>
        <v>54103.764999999999</v>
      </c>
      <c r="E68" s="10">
        <f>'D) Ecrêtage'!M62</f>
        <v>0</v>
      </c>
      <c r="F68" s="437">
        <f>$F$10*'D) Ecrêtage'!C62</f>
        <v>165473.32697749184</v>
      </c>
      <c r="G68" s="55">
        <f t="shared" si="0"/>
        <v>219577.09197749186</v>
      </c>
    </row>
    <row r="69" spans="1:7" x14ac:dyDescent="0.25">
      <c r="A69" s="49">
        <f>'A) Base RI'!A65</f>
        <v>5494</v>
      </c>
      <c r="B69" s="294" t="str">
        <f>'A) Base RI'!B65</f>
        <v>Pampigny</v>
      </c>
      <c r="C69" s="10">
        <f>'A) Base RI'!V65</f>
        <v>1113</v>
      </c>
      <c r="D69" s="437">
        <f>'C) Prél. conj.'!H63</f>
        <v>152848.345</v>
      </c>
      <c r="E69" s="10">
        <f>'D) Ecrêtage'!M63</f>
        <v>0</v>
      </c>
      <c r="F69" s="437">
        <f>$F$10*'D) Ecrêtage'!C63</f>
        <v>577077.55249131378</v>
      </c>
      <c r="G69" s="55">
        <f t="shared" si="0"/>
        <v>729925.89749131375</v>
      </c>
    </row>
    <row r="70" spans="1:7" x14ac:dyDescent="0.25">
      <c r="A70" s="49">
        <f>'A) Base RI'!A66</f>
        <v>5495</v>
      </c>
      <c r="B70" s="294" t="str">
        <f>'A) Base RI'!B66</f>
        <v>Penthalaz</v>
      </c>
      <c r="C70" s="10">
        <f>'A) Base RI'!V66</f>
        <v>3283</v>
      </c>
      <c r="D70" s="437">
        <f>'C) Prél. conj.'!H64</f>
        <v>248393.63</v>
      </c>
      <c r="E70" s="10">
        <f>'D) Ecrêtage'!M64</f>
        <v>0</v>
      </c>
      <c r="F70" s="437">
        <f>$F$10*'D) Ecrêtage'!C64</f>
        <v>1409450.5978006499</v>
      </c>
      <c r="G70" s="55">
        <f t="shared" si="0"/>
        <v>1657844.2278006501</v>
      </c>
    </row>
    <row r="71" spans="1:7" x14ac:dyDescent="0.25">
      <c r="A71" s="49">
        <f>'A) Base RI'!A67</f>
        <v>5496</v>
      </c>
      <c r="B71" s="294" t="str">
        <f>'A) Base RI'!B67</f>
        <v>Penthaz</v>
      </c>
      <c r="C71" s="10">
        <f>'A) Base RI'!V67</f>
        <v>1747</v>
      </c>
      <c r="D71" s="437">
        <f>'C) Prél. conj.'!H65</f>
        <v>253498.69000000003</v>
      </c>
      <c r="E71" s="10">
        <f>'D) Ecrêtage'!M65</f>
        <v>0</v>
      </c>
      <c r="F71" s="437">
        <f>$F$10*'D) Ecrêtage'!C65</f>
        <v>873922.68230921903</v>
      </c>
      <c r="G71" s="55">
        <f t="shared" si="0"/>
        <v>1127421.3723092191</v>
      </c>
    </row>
    <row r="72" spans="1:7" x14ac:dyDescent="0.25">
      <c r="A72" s="49">
        <f>'A) Base RI'!A68</f>
        <v>5497</v>
      </c>
      <c r="B72" s="294" t="str">
        <f>'A) Base RI'!B68</f>
        <v>Pompaples</v>
      </c>
      <c r="C72" s="10">
        <f>'A) Base RI'!V68</f>
        <v>847</v>
      </c>
      <c r="D72" s="437">
        <f>'C) Prél. conj.'!H66</f>
        <v>136070.55499999999</v>
      </c>
      <c r="E72" s="10">
        <f>'D) Ecrêtage'!M66</f>
        <v>0</v>
      </c>
      <c r="F72" s="437">
        <f>$F$10*'D) Ecrêtage'!C66</f>
        <v>341364.47422676568</v>
      </c>
      <c r="G72" s="55">
        <f t="shared" si="0"/>
        <v>477435.02922676568</v>
      </c>
    </row>
    <row r="73" spans="1:7" x14ac:dyDescent="0.25">
      <c r="A73" s="49">
        <f>'A) Base RI'!A69</f>
        <v>5498</v>
      </c>
      <c r="B73" s="294" t="str">
        <f>'A) Base RI'!B69</f>
        <v>La Sarraz</v>
      </c>
      <c r="C73" s="10">
        <f>'A) Base RI'!V69</f>
        <v>2596</v>
      </c>
      <c r="D73" s="437">
        <f>'C) Prél. conj.'!H67</f>
        <v>194954.62</v>
      </c>
      <c r="E73" s="10">
        <f>'D) Ecrêtage'!M67</f>
        <v>0</v>
      </c>
      <c r="F73" s="437">
        <f>$F$10*'D) Ecrêtage'!C67</f>
        <v>1192014.4997281248</v>
      </c>
      <c r="G73" s="55">
        <f t="shared" si="0"/>
        <v>1386969.1197281247</v>
      </c>
    </row>
    <row r="74" spans="1:7" x14ac:dyDescent="0.25">
      <c r="A74" s="49">
        <f>'A) Base RI'!A70</f>
        <v>5499</v>
      </c>
      <c r="B74" s="294" t="str">
        <f>'A) Base RI'!B70</f>
        <v>Senarclens</v>
      </c>
      <c r="C74" s="10">
        <f>'A) Base RI'!V70</f>
        <v>488</v>
      </c>
      <c r="D74" s="437">
        <f>'C) Prél. conj.'!H68</f>
        <v>46244.724999999999</v>
      </c>
      <c r="E74" s="10">
        <f>'D) Ecrêtage'!M68</f>
        <v>24196.723675076231</v>
      </c>
      <c r="F74" s="437">
        <f>$F$10*'D) Ecrêtage'!C68</f>
        <v>364155.82769862813</v>
      </c>
      <c r="G74" s="55">
        <f t="shared" si="0"/>
        <v>434597.27637370431</v>
      </c>
    </row>
    <row r="75" spans="1:7" x14ac:dyDescent="0.25">
      <c r="A75" s="49">
        <f>'A) Base RI'!A71</f>
        <v>5500</v>
      </c>
      <c r="B75" s="294" t="str">
        <f>'A) Base RI'!B71</f>
        <v>Sévery</v>
      </c>
      <c r="C75" s="10">
        <f>'A) Base RI'!V71</f>
        <v>225</v>
      </c>
      <c r="D75" s="437">
        <f>'C) Prél. conj.'!H69</f>
        <v>32102.18</v>
      </c>
      <c r="E75" s="10">
        <f>'D) Ecrêtage'!M69</f>
        <v>0</v>
      </c>
      <c r="F75" s="437">
        <f>$F$10*'D) Ecrêtage'!C69</f>
        <v>97065.859630064428</v>
      </c>
      <c r="G75" s="55">
        <f t="shared" si="0"/>
        <v>129168.03963006442</v>
      </c>
    </row>
    <row r="76" spans="1:7" x14ac:dyDescent="0.25">
      <c r="A76" s="49">
        <f>'A) Base RI'!A72</f>
        <v>5501</v>
      </c>
      <c r="B76" s="294" t="str">
        <f>'A) Base RI'!B72</f>
        <v>Sullens</v>
      </c>
      <c r="C76" s="10">
        <f>'A) Base RI'!V72</f>
        <v>1036</v>
      </c>
      <c r="D76" s="437">
        <f>'C) Prél. conj.'!H70</f>
        <v>89687.784999999989</v>
      </c>
      <c r="E76" s="10">
        <f>'D) Ecrêtage'!M70</f>
        <v>0</v>
      </c>
      <c r="F76" s="437">
        <f>$F$10*'D) Ecrêtage'!C70</f>
        <v>577849.11404047627</v>
      </c>
      <c r="G76" s="55">
        <f t="shared" ref="G76:G139" si="1">D76+F76+E76</f>
        <v>667536.8990404763</v>
      </c>
    </row>
    <row r="77" spans="1:7" x14ac:dyDescent="0.25">
      <c r="A77" s="49">
        <f>'A) Base RI'!A73</f>
        <v>5503</v>
      </c>
      <c r="B77" s="294" t="str">
        <f>'A) Base RI'!B73</f>
        <v>Vufflens-la-Ville</v>
      </c>
      <c r="C77" s="10">
        <f>'A) Base RI'!V73</f>
        <v>1298</v>
      </c>
      <c r="D77" s="437">
        <f>'C) Prél. conj.'!H71</f>
        <v>401001.27500000002</v>
      </c>
      <c r="E77" s="10">
        <f>'D) Ecrêtage'!M71</f>
        <v>190284.51447276416</v>
      </c>
      <c r="F77" s="437">
        <f>$F$10*'D) Ecrêtage'!C71</f>
        <v>1101805.4241325792</v>
      </c>
      <c r="G77" s="55">
        <f t="shared" si="1"/>
        <v>1693091.2136053436</v>
      </c>
    </row>
    <row r="78" spans="1:7" x14ac:dyDescent="0.25">
      <c r="A78" s="49">
        <f>'A) Base RI'!A74</f>
        <v>5511</v>
      </c>
      <c r="B78" s="294" t="str">
        <f>'A) Base RI'!B74</f>
        <v>Assens</v>
      </c>
      <c r="C78" s="10">
        <f>'A) Base RI'!V74</f>
        <v>1077</v>
      </c>
      <c r="D78" s="437">
        <f>'C) Prél. conj.'!H72</f>
        <v>65750.075000000012</v>
      </c>
      <c r="E78" s="10">
        <f>'D) Ecrêtage'!M72</f>
        <v>0</v>
      </c>
      <c r="F78" s="437">
        <f>$F$10*'D) Ecrêtage'!C72</f>
        <v>661195.89271905494</v>
      </c>
      <c r="G78" s="55">
        <f t="shared" si="1"/>
        <v>726945.96771905501</v>
      </c>
    </row>
    <row r="79" spans="1:7" x14ac:dyDescent="0.25">
      <c r="A79" s="49">
        <f>'A) Base RI'!A75</f>
        <v>5512</v>
      </c>
      <c r="B79" s="294" t="str">
        <f>'A) Base RI'!B75</f>
        <v>Bercher</v>
      </c>
      <c r="C79" s="10">
        <f>'A) Base RI'!V75</f>
        <v>1239</v>
      </c>
      <c r="D79" s="437">
        <f>'C) Prél. conj.'!H73</f>
        <v>112581.72</v>
      </c>
      <c r="E79" s="10">
        <f>'D) Ecrêtage'!M73</f>
        <v>0</v>
      </c>
      <c r="F79" s="437">
        <f>$F$10*'D) Ecrêtage'!C73</f>
        <v>570613.09102110646</v>
      </c>
      <c r="G79" s="55">
        <f t="shared" si="1"/>
        <v>683194.81102110643</v>
      </c>
    </row>
    <row r="80" spans="1:7" x14ac:dyDescent="0.25">
      <c r="A80" s="49">
        <f>'A) Base RI'!A76</f>
        <v>5513</v>
      </c>
      <c r="B80" s="294" t="str">
        <f>'A) Base RI'!B76</f>
        <v>Bioley-Orjulaz</v>
      </c>
      <c r="C80" s="10">
        <f>'A) Base RI'!V76</f>
        <v>516</v>
      </c>
      <c r="D80" s="437">
        <f>'C) Prél. conj.'!H74</f>
        <v>81773.39</v>
      </c>
      <c r="E80" s="10">
        <f>'D) Ecrêtage'!M74</f>
        <v>0</v>
      </c>
      <c r="F80" s="437">
        <f>$F$10*'D) Ecrêtage'!C74</f>
        <v>326278.03560669516</v>
      </c>
      <c r="G80" s="55">
        <f t="shared" si="1"/>
        <v>408051.42560669518</v>
      </c>
    </row>
    <row r="81" spans="1:7" x14ac:dyDescent="0.25">
      <c r="A81" s="49">
        <f>'A) Base RI'!A77</f>
        <v>5514</v>
      </c>
      <c r="B81" s="294" t="str">
        <f>'A) Base RI'!B77</f>
        <v>Bottens</v>
      </c>
      <c r="C81" s="10">
        <f>'A) Base RI'!V77</f>
        <v>1298</v>
      </c>
      <c r="D81" s="437">
        <f>'C) Prél. conj.'!H75</f>
        <v>54667.92</v>
      </c>
      <c r="E81" s="10">
        <f>'D) Ecrêtage'!M75</f>
        <v>0</v>
      </c>
      <c r="F81" s="437">
        <f>$F$10*'D) Ecrêtage'!C75</f>
        <v>687593.59551222785</v>
      </c>
      <c r="G81" s="55">
        <f t="shared" si="1"/>
        <v>742261.5155122279</v>
      </c>
    </row>
    <row r="82" spans="1:7" x14ac:dyDescent="0.25">
      <c r="A82" s="49">
        <f>'A) Base RI'!A78</f>
        <v>5515</v>
      </c>
      <c r="B82" s="294" t="str">
        <f>'A) Base RI'!B78</f>
        <v>Bretigny-sur-Morrens</v>
      </c>
      <c r="C82" s="10">
        <f>'A) Base RI'!V78</f>
        <v>843</v>
      </c>
      <c r="D82" s="437">
        <f>'C) Prél. conj.'!H76</f>
        <v>104022.24</v>
      </c>
      <c r="E82" s="10">
        <f>'D) Ecrêtage'!M76</f>
        <v>0</v>
      </c>
      <c r="F82" s="437">
        <f>$F$10*'D) Ecrêtage'!C76</f>
        <v>444103.71354644949</v>
      </c>
      <c r="G82" s="55">
        <f t="shared" si="1"/>
        <v>548125.95354644954</v>
      </c>
    </row>
    <row r="83" spans="1:7" x14ac:dyDescent="0.25">
      <c r="A83" s="49">
        <f>'A) Base RI'!A79</f>
        <v>5516</v>
      </c>
      <c r="B83" s="294" t="str">
        <f>'A) Base RI'!B79</f>
        <v>Cugy</v>
      </c>
      <c r="C83" s="10">
        <f>'A) Base RI'!V79</f>
        <v>2742</v>
      </c>
      <c r="D83" s="437">
        <f>'C) Prél. conj.'!H77</f>
        <v>249236.27500000002</v>
      </c>
      <c r="E83" s="10">
        <f>'D) Ecrêtage'!M77</f>
        <v>0</v>
      </c>
      <c r="F83" s="437">
        <f>$F$10*'D) Ecrêtage'!C77</f>
        <v>1713548.5915650057</v>
      </c>
      <c r="G83" s="55">
        <f t="shared" si="1"/>
        <v>1962784.8665650059</v>
      </c>
    </row>
    <row r="84" spans="1:7" x14ac:dyDescent="0.25">
      <c r="A84" s="49">
        <f>'A) Base RI'!A80</f>
        <v>5518</v>
      </c>
      <c r="B84" s="294" t="str">
        <f>'A) Base RI'!B80</f>
        <v>Echallens</v>
      </c>
      <c r="C84" s="10">
        <f>'A) Base RI'!V80</f>
        <v>5742</v>
      </c>
      <c r="D84" s="437">
        <f>'C) Prél. conj.'!H78</f>
        <v>320215.64999999997</v>
      </c>
      <c r="E84" s="10">
        <f>'D) Ecrêtage'!M78</f>
        <v>0</v>
      </c>
      <c r="F84" s="437">
        <f>$F$10*'D) Ecrêtage'!C78</f>
        <v>2787427.8630777155</v>
      </c>
      <c r="G84" s="55">
        <f t="shared" si="1"/>
        <v>3107643.5130777154</v>
      </c>
    </row>
    <row r="85" spans="1:7" x14ac:dyDescent="0.25">
      <c r="A85" s="49">
        <f>'A) Base RI'!A81</f>
        <v>5520</v>
      </c>
      <c r="B85" s="294" t="str">
        <f>'A) Base RI'!B81</f>
        <v>Essertines-sur-Yverdon</v>
      </c>
      <c r="C85" s="10">
        <f>'A) Base RI'!V81</f>
        <v>1024</v>
      </c>
      <c r="D85" s="437">
        <f>'C) Prél. conj.'!H79</f>
        <v>111903.62999999999</v>
      </c>
      <c r="E85" s="10">
        <f>'D) Ecrêtage'!M79</f>
        <v>0</v>
      </c>
      <c r="F85" s="437">
        <f>$F$10*'D) Ecrêtage'!C79</f>
        <v>489725.92658600048</v>
      </c>
      <c r="G85" s="55">
        <f t="shared" si="1"/>
        <v>601629.55658600049</v>
      </c>
    </row>
    <row r="86" spans="1:7" x14ac:dyDescent="0.25">
      <c r="A86" s="49">
        <f>'A) Base RI'!A82</f>
        <v>5521</v>
      </c>
      <c r="B86" s="294" t="str">
        <f>'A) Base RI'!B82</f>
        <v>Etagnières</v>
      </c>
      <c r="C86" s="10">
        <f>'A) Base RI'!V82</f>
        <v>1118</v>
      </c>
      <c r="D86" s="437">
        <f>'C) Prél. conj.'!H80</f>
        <v>95780.755000000005</v>
      </c>
      <c r="E86" s="10">
        <f>'D) Ecrêtage'!M80</f>
        <v>0</v>
      </c>
      <c r="F86" s="437">
        <f>$F$10*'D) Ecrêtage'!C80</f>
        <v>644847.98797765956</v>
      </c>
      <c r="G86" s="55">
        <f t="shared" si="1"/>
        <v>740628.74297765957</v>
      </c>
    </row>
    <row r="87" spans="1:7" x14ac:dyDescent="0.25">
      <c r="A87" s="49">
        <f>'A) Base RI'!A83</f>
        <v>5522</v>
      </c>
      <c r="B87" s="294" t="str">
        <f>'A) Base RI'!B83</f>
        <v>Fey</v>
      </c>
      <c r="C87" s="10">
        <f>'A) Base RI'!V83</f>
        <v>734</v>
      </c>
      <c r="D87" s="437">
        <f>'C) Prél. conj.'!H81</f>
        <v>61010.780000000006</v>
      </c>
      <c r="E87" s="10">
        <f>'D) Ecrêtage'!M81</f>
        <v>0</v>
      </c>
      <c r="F87" s="437">
        <f>$F$10*'D) Ecrêtage'!C81</f>
        <v>331648.4754196913</v>
      </c>
      <c r="G87" s="55">
        <f t="shared" si="1"/>
        <v>392659.25541969133</v>
      </c>
    </row>
    <row r="88" spans="1:7" x14ac:dyDescent="0.25">
      <c r="A88" s="49">
        <f>'A) Base RI'!A84</f>
        <v>5523</v>
      </c>
      <c r="B88" s="294" t="str">
        <f>'A) Base RI'!B84</f>
        <v>Froideville</v>
      </c>
      <c r="C88" s="10">
        <f>'A) Base RI'!V84</f>
        <v>2576</v>
      </c>
      <c r="D88" s="437">
        <f>'C) Prél. conj.'!H82</f>
        <v>160565.32</v>
      </c>
      <c r="E88" s="10">
        <f>'D) Ecrêtage'!M82</f>
        <v>0</v>
      </c>
      <c r="F88" s="437">
        <f>$F$10*'D) Ecrêtage'!C82</f>
        <v>1277477.3462744998</v>
      </c>
      <c r="G88" s="55">
        <f t="shared" si="1"/>
        <v>1438042.6662744998</v>
      </c>
    </row>
    <row r="89" spans="1:7" x14ac:dyDescent="0.25">
      <c r="A89" s="49">
        <f>'A) Base RI'!A85</f>
        <v>5527</v>
      </c>
      <c r="B89" s="294" t="str">
        <f>'A) Base RI'!B85</f>
        <v>Morrens</v>
      </c>
      <c r="C89" s="10">
        <f>'A) Base RI'!V85</f>
        <v>1077</v>
      </c>
      <c r="D89" s="437">
        <f>'C) Prél. conj.'!H83</f>
        <v>134907.035</v>
      </c>
      <c r="E89" s="10">
        <f>'D) Ecrêtage'!M83</f>
        <v>0</v>
      </c>
      <c r="F89" s="437">
        <f>$F$10*'D) Ecrêtage'!C83</f>
        <v>582969.48518887407</v>
      </c>
      <c r="G89" s="55">
        <f t="shared" si="1"/>
        <v>717876.5201888741</v>
      </c>
    </row>
    <row r="90" spans="1:7" x14ac:dyDescent="0.25">
      <c r="A90" s="49">
        <f>'A) Base RI'!A86</f>
        <v>5529</v>
      </c>
      <c r="B90" s="294" t="str">
        <f>'A) Base RI'!B86</f>
        <v>Oulens-sous-Echallens</v>
      </c>
      <c r="C90" s="10">
        <f>'A) Base RI'!V86</f>
        <v>611</v>
      </c>
      <c r="D90" s="437">
        <f>'C) Prél. conj.'!H84</f>
        <v>30443.455000000002</v>
      </c>
      <c r="E90" s="10">
        <f>'D) Ecrêtage'!M84</f>
        <v>0</v>
      </c>
      <c r="F90" s="437">
        <f>$F$10*'D) Ecrêtage'!C84</f>
        <v>327059.83532905782</v>
      </c>
      <c r="G90" s="55">
        <f t="shared" si="1"/>
        <v>357503.29032905784</v>
      </c>
    </row>
    <row r="91" spans="1:7" x14ac:dyDescent="0.25">
      <c r="A91" s="49">
        <f>'A) Base RI'!A87</f>
        <v>5530</v>
      </c>
      <c r="B91" s="294" t="str">
        <f>'A) Base RI'!B87</f>
        <v>Pailly</v>
      </c>
      <c r="C91" s="10">
        <f>'A) Base RI'!V87</f>
        <v>561</v>
      </c>
      <c r="D91" s="437">
        <f>'C) Prél. conj.'!H85</f>
        <v>94029.12000000001</v>
      </c>
      <c r="E91" s="10">
        <f>'D) Ecrêtage'!M85</f>
        <v>0</v>
      </c>
      <c r="F91" s="437">
        <f>$F$10*'D) Ecrêtage'!C85</f>
        <v>259132.28058655444</v>
      </c>
      <c r="G91" s="55">
        <f t="shared" si="1"/>
        <v>353161.40058655443</v>
      </c>
    </row>
    <row r="92" spans="1:7" x14ac:dyDescent="0.25">
      <c r="A92" s="49">
        <f>'A) Base RI'!A88</f>
        <v>5531</v>
      </c>
      <c r="B92" s="294" t="str">
        <f>'A) Base RI'!B88</f>
        <v>Penthéréaz</v>
      </c>
      <c r="C92" s="10">
        <f>'A) Base RI'!V88</f>
        <v>421</v>
      </c>
      <c r="D92" s="437">
        <f>'C) Prél. conj.'!H86</f>
        <v>32660.11</v>
      </c>
      <c r="E92" s="10">
        <f>'D) Ecrêtage'!M86</f>
        <v>0</v>
      </c>
      <c r="F92" s="437">
        <f>$F$10*'D) Ecrêtage'!C86</f>
        <v>230891.14688373634</v>
      </c>
      <c r="G92" s="55">
        <f t="shared" si="1"/>
        <v>263551.25688373635</v>
      </c>
    </row>
    <row r="93" spans="1:7" x14ac:dyDescent="0.25">
      <c r="A93" s="49">
        <f>'A) Base RI'!A89</f>
        <v>5533</v>
      </c>
      <c r="B93" s="294" t="str">
        <f>'A) Base RI'!B89</f>
        <v>Poliez-Pittet</v>
      </c>
      <c r="C93" s="10">
        <f>'A) Base RI'!V89</f>
        <v>846</v>
      </c>
      <c r="D93" s="437">
        <f>'C) Prél. conj.'!H87</f>
        <v>34762.275000000001</v>
      </c>
      <c r="E93" s="10">
        <f>'D) Ecrêtage'!M87</f>
        <v>0</v>
      </c>
      <c r="F93" s="437">
        <f>$F$10*'D) Ecrêtage'!C87</f>
        <v>389338.73156971479</v>
      </c>
      <c r="G93" s="55">
        <f t="shared" si="1"/>
        <v>424101.00656971481</v>
      </c>
    </row>
    <row r="94" spans="1:7" x14ac:dyDescent="0.25">
      <c r="A94" s="49">
        <f>'A) Base RI'!A90</f>
        <v>5534</v>
      </c>
      <c r="B94" s="294" t="str">
        <f>'A) Base RI'!B90</f>
        <v>Rueyres</v>
      </c>
      <c r="C94" s="10">
        <f>'A) Base RI'!V90</f>
        <v>255</v>
      </c>
      <c r="D94" s="437">
        <f>'C) Prél. conj.'!H88</f>
        <v>12470.32</v>
      </c>
      <c r="E94" s="10">
        <f>'D) Ecrêtage'!M88</f>
        <v>0</v>
      </c>
      <c r="F94" s="437">
        <f>$F$10*'D) Ecrêtage'!C88</f>
        <v>128052.18384773712</v>
      </c>
      <c r="G94" s="55">
        <f t="shared" si="1"/>
        <v>140522.50384773713</v>
      </c>
    </row>
    <row r="95" spans="1:7" x14ac:dyDescent="0.25">
      <c r="A95" s="49">
        <f>'A) Base RI'!A91</f>
        <v>5535</v>
      </c>
      <c r="B95" s="294" t="str">
        <f>'A) Base RI'!B91</f>
        <v>Saint-Barthélemy</v>
      </c>
      <c r="C95" s="10">
        <f>'A) Base RI'!V91</f>
        <v>778</v>
      </c>
      <c r="D95" s="437">
        <f>'C) Prél. conj.'!H89</f>
        <v>87010.054999999993</v>
      </c>
      <c r="E95" s="10">
        <f>'D) Ecrêtage'!M89</f>
        <v>0</v>
      </c>
      <c r="F95" s="437">
        <f>$F$10*'D) Ecrêtage'!C89</f>
        <v>335835.94841937523</v>
      </c>
      <c r="G95" s="55">
        <f t="shared" si="1"/>
        <v>422846.00341937522</v>
      </c>
    </row>
    <row r="96" spans="1:7" x14ac:dyDescent="0.25">
      <c r="A96" s="49">
        <f>'A) Base RI'!A92</f>
        <v>5537</v>
      </c>
      <c r="B96" s="294" t="str">
        <f>'A) Base RI'!B92</f>
        <v>Villars-le-Terroir</v>
      </c>
      <c r="C96" s="10">
        <f>'A) Base RI'!V92</f>
        <v>1213</v>
      </c>
      <c r="D96" s="437">
        <f>'C) Prél. conj.'!H90</f>
        <v>60133.725000000006</v>
      </c>
      <c r="E96" s="10">
        <f>'D) Ecrêtage'!M90</f>
        <v>0</v>
      </c>
      <c r="F96" s="437">
        <f>$F$10*'D) Ecrêtage'!C90</f>
        <v>574743.87236156559</v>
      </c>
      <c r="G96" s="55">
        <f t="shared" si="1"/>
        <v>634877.59736156557</v>
      </c>
    </row>
    <row r="97" spans="1:7" x14ac:dyDescent="0.25">
      <c r="A97" s="49">
        <f>'A) Base RI'!A93</f>
        <v>5539</v>
      </c>
      <c r="B97" s="294" t="str">
        <f>'A) Base RI'!B93</f>
        <v>Vuarrens</v>
      </c>
      <c r="C97" s="10">
        <f>'A) Base RI'!V93</f>
        <v>1001</v>
      </c>
      <c r="D97" s="437">
        <f>'C) Prél. conj.'!H91</f>
        <v>85568</v>
      </c>
      <c r="E97" s="10">
        <f>'D) Ecrêtage'!M91</f>
        <v>0</v>
      </c>
      <c r="F97" s="437">
        <f>$F$10*'D) Ecrêtage'!C91</f>
        <v>444599.6931315203</v>
      </c>
      <c r="G97" s="55">
        <f t="shared" si="1"/>
        <v>530167.6931315203</v>
      </c>
    </row>
    <row r="98" spans="1:7" x14ac:dyDescent="0.25">
      <c r="A98" s="49">
        <f>'A) Base RI'!A94</f>
        <v>5540</v>
      </c>
      <c r="B98" s="294" t="str">
        <f>'A) Base RI'!B94</f>
        <v>Montilliez</v>
      </c>
      <c r="C98" s="10">
        <f>'A) Base RI'!V94</f>
        <v>1781</v>
      </c>
      <c r="D98" s="437">
        <f>'C) Prél. conj.'!H92</f>
        <v>100112.52</v>
      </c>
      <c r="E98" s="10">
        <f>'D) Ecrêtage'!M92</f>
        <v>0</v>
      </c>
      <c r="F98" s="437">
        <f>$F$10*'D) Ecrêtage'!C92</f>
        <v>910225.68542421644</v>
      </c>
      <c r="G98" s="55">
        <f t="shared" si="1"/>
        <v>1010338.2054242165</v>
      </c>
    </row>
    <row r="99" spans="1:7" x14ac:dyDescent="0.25">
      <c r="A99" s="49">
        <f>'A) Base RI'!A95</f>
        <v>5541</v>
      </c>
      <c r="B99" s="294" t="str">
        <f>'A) Base RI'!B95</f>
        <v>Goumoëns</v>
      </c>
      <c r="C99" s="10">
        <f>'A) Base RI'!V95</f>
        <v>1119</v>
      </c>
      <c r="D99" s="437">
        <f>'C) Prél. conj.'!H93</f>
        <v>67141.859999999986</v>
      </c>
      <c r="E99" s="10">
        <f>'D) Ecrêtage'!M93</f>
        <v>0</v>
      </c>
      <c r="F99" s="437">
        <f>$F$10*'D) Ecrêtage'!C93</f>
        <v>542683.81535833853</v>
      </c>
      <c r="G99" s="55">
        <f t="shared" si="1"/>
        <v>609825.67535833851</v>
      </c>
    </row>
    <row r="100" spans="1:7" x14ac:dyDescent="0.25">
      <c r="A100" s="49">
        <f>'A) Base RI'!A96</f>
        <v>5551</v>
      </c>
      <c r="B100" s="294" t="str">
        <f>'A) Base RI'!B96</f>
        <v>Bonvillars</v>
      </c>
      <c r="C100" s="10">
        <f>'A) Base RI'!V96</f>
        <v>505</v>
      </c>
      <c r="D100" s="437">
        <f>'C) Prél. conj.'!H94</f>
        <v>42975.219999999994</v>
      </c>
      <c r="E100" s="10">
        <f>'D) Ecrêtage'!M94</f>
        <v>0</v>
      </c>
      <c r="F100" s="437">
        <f>$F$10*'D) Ecrêtage'!C94</f>
        <v>329872.84914909292</v>
      </c>
      <c r="G100" s="55">
        <f t="shared" si="1"/>
        <v>372848.06914909289</v>
      </c>
    </row>
    <row r="101" spans="1:7" x14ac:dyDescent="0.25">
      <c r="A101" s="49">
        <f>'A) Base RI'!A97</f>
        <v>5552</v>
      </c>
      <c r="B101" s="294" t="str">
        <f>'A) Base RI'!B97</f>
        <v>Bullet</v>
      </c>
      <c r="C101" s="10">
        <f>'A) Base RI'!V97</f>
        <v>655</v>
      </c>
      <c r="D101" s="437">
        <f>'C) Prél. conj.'!H95</f>
        <v>50112.91</v>
      </c>
      <c r="E101" s="10">
        <f>'D) Ecrêtage'!M95</f>
        <v>0</v>
      </c>
      <c r="F101" s="437">
        <f>$F$10*'D) Ecrêtage'!C95</f>
        <v>273138.03462396114</v>
      </c>
      <c r="G101" s="55">
        <f t="shared" si="1"/>
        <v>323250.94462396111</v>
      </c>
    </row>
    <row r="102" spans="1:7" x14ac:dyDescent="0.25">
      <c r="A102" s="49">
        <f>'A) Base RI'!A98</f>
        <v>5553</v>
      </c>
      <c r="B102" s="294" t="str">
        <f>'A) Base RI'!B98</f>
        <v>Champagne</v>
      </c>
      <c r="C102" s="10">
        <f>'A) Base RI'!V98</f>
        <v>1034</v>
      </c>
      <c r="D102" s="437">
        <f>'C) Prél. conj.'!H96</f>
        <v>131206.18000000002</v>
      </c>
      <c r="E102" s="10">
        <f>'D) Ecrêtage'!M96</f>
        <v>0</v>
      </c>
      <c r="F102" s="437">
        <f>$F$10*'D) Ecrêtage'!C96</f>
        <v>586615.75809368922</v>
      </c>
      <c r="G102" s="55">
        <f t="shared" si="1"/>
        <v>717821.93809368927</v>
      </c>
    </row>
    <row r="103" spans="1:7" x14ac:dyDescent="0.25">
      <c r="A103" s="49">
        <f>'A) Base RI'!A99</f>
        <v>5554</v>
      </c>
      <c r="B103" s="294" t="str">
        <f>'A) Base RI'!B99</f>
        <v>Concise</v>
      </c>
      <c r="C103" s="10">
        <f>'A) Base RI'!V99</f>
        <v>995</v>
      </c>
      <c r="D103" s="437">
        <f>'C) Prél. conj.'!H97</f>
        <v>141006.10499999998</v>
      </c>
      <c r="E103" s="10">
        <f>'D) Ecrêtage'!M97</f>
        <v>0</v>
      </c>
      <c r="F103" s="437">
        <f>$F$10*'D) Ecrêtage'!C97</f>
        <v>458368.07451420237</v>
      </c>
      <c r="G103" s="55">
        <f t="shared" si="1"/>
        <v>599374.17951420229</v>
      </c>
    </row>
    <row r="104" spans="1:7" x14ac:dyDescent="0.25">
      <c r="A104" s="49">
        <f>'A) Base RI'!A100</f>
        <v>5555</v>
      </c>
      <c r="B104" s="294" t="str">
        <f>'A) Base RI'!B100</f>
        <v>Corcelles-près-Concise</v>
      </c>
      <c r="C104" s="10">
        <f>'A) Base RI'!V100</f>
        <v>401</v>
      </c>
      <c r="D104" s="437">
        <f>'C) Prél. conj.'!H98</f>
        <v>46421.18</v>
      </c>
      <c r="E104" s="10">
        <f>'D) Ecrêtage'!M98</f>
        <v>0</v>
      </c>
      <c r="F104" s="437">
        <f>$F$10*'D) Ecrêtage'!C98</f>
        <v>200651.47525673363</v>
      </c>
      <c r="G104" s="55">
        <f t="shared" si="1"/>
        <v>247072.65525673362</v>
      </c>
    </row>
    <row r="105" spans="1:7" x14ac:dyDescent="0.25">
      <c r="A105" s="49">
        <f>'A) Base RI'!A101</f>
        <v>5556</v>
      </c>
      <c r="B105" s="294" t="str">
        <f>'A) Base RI'!B101</f>
        <v>Fiez</v>
      </c>
      <c r="C105" s="10">
        <f>'A) Base RI'!V101</f>
        <v>447</v>
      </c>
      <c r="D105" s="437">
        <f>'C) Prél. conj.'!H99</f>
        <v>48146</v>
      </c>
      <c r="E105" s="10">
        <f>'D) Ecrêtage'!M99</f>
        <v>0</v>
      </c>
      <c r="F105" s="437">
        <f>$F$10*'D) Ecrêtage'!C99</f>
        <v>195340.56023046665</v>
      </c>
      <c r="G105" s="55">
        <f t="shared" si="1"/>
        <v>243486.56023046665</v>
      </c>
    </row>
    <row r="106" spans="1:7" x14ac:dyDescent="0.25">
      <c r="A106" s="49">
        <f>'A) Base RI'!A102</f>
        <v>5557</v>
      </c>
      <c r="B106" s="294" t="str">
        <f>'A) Base RI'!B102</f>
        <v>Fontaines-sur-Grandson</v>
      </c>
      <c r="C106" s="10">
        <f>'A) Base RI'!V102</f>
        <v>218</v>
      </c>
      <c r="D106" s="437">
        <f>'C) Prél. conj.'!H100</f>
        <v>21429.674999999999</v>
      </c>
      <c r="E106" s="10">
        <f>'D) Ecrêtage'!M100</f>
        <v>0</v>
      </c>
      <c r="F106" s="437">
        <f>$F$10*'D) Ecrêtage'!C100</f>
        <v>84211.196802163264</v>
      </c>
      <c r="G106" s="55">
        <f t="shared" si="1"/>
        <v>105640.87180216327</v>
      </c>
    </row>
    <row r="107" spans="1:7" x14ac:dyDescent="0.25">
      <c r="A107" s="49">
        <f>'A) Base RI'!A103</f>
        <v>5559</v>
      </c>
      <c r="B107" s="294" t="str">
        <f>'A) Base RI'!B103</f>
        <v>Giez</v>
      </c>
      <c r="C107" s="10">
        <f>'A) Base RI'!V103</f>
        <v>412</v>
      </c>
      <c r="D107" s="437">
        <f>'C) Prél. conj.'!H101</f>
        <v>116142.875</v>
      </c>
      <c r="E107" s="10">
        <f>'D) Ecrêtage'!M101</f>
        <v>9350.6107183359127</v>
      </c>
      <c r="F107" s="437">
        <f>$F$10*'D) Ecrêtage'!C101</f>
        <v>295385.97070382582</v>
      </c>
      <c r="G107" s="55">
        <f t="shared" si="1"/>
        <v>420879.45642216172</v>
      </c>
    </row>
    <row r="108" spans="1:7" x14ac:dyDescent="0.25">
      <c r="A108" s="49">
        <f>'A) Base RI'!A104</f>
        <v>5560</v>
      </c>
      <c r="B108" s="294" t="str">
        <f>'A) Base RI'!B104</f>
        <v>Grandevent</v>
      </c>
      <c r="C108" s="10">
        <f>'A) Base RI'!V104</f>
        <v>238</v>
      </c>
      <c r="D108" s="437">
        <f>'C) Prél. conj.'!H102</f>
        <v>21676.475000000002</v>
      </c>
      <c r="E108" s="10">
        <f>'D) Ecrêtage'!M102</f>
        <v>0</v>
      </c>
      <c r="F108" s="437">
        <f>$F$10*'D) Ecrêtage'!C102</f>
        <v>114534.28479641111</v>
      </c>
      <c r="G108" s="55">
        <f t="shared" si="1"/>
        <v>136210.75979641112</v>
      </c>
    </row>
    <row r="109" spans="1:7" x14ac:dyDescent="0.25">
      <c r="A109" s="49">
        <f>'A) Base RI'!A105</f>
        <v>5561</v>
      </c>
      <c r="B109" s="294" t="str">
        <f>'A) Base RI'!B105</f>
        <v>Grandson</v>
      </c>
      <c r="C109" s="10">
        <f>'A) Base RI'!V105</f>
        <v>3360</v>
      </c>
      <c r="D109" s="437">
        <f>'C) Prél. conj.'!H103</f>
        <v>484250.85499999998</v>
      </c>
      <c r="E109" s="10">
        <f>'D) Ecrêtage'!M103</f>
        <v>0</v>
      </c>
      <c r="F109" s="437">
        <f>$F$10*'D) Ecrêtage'!C103</f>
        <v>1875927.9084896985</v>
      </c>
      <c r="G109" s="55">
        <f t="shared" si="1"/>
        <v>2360178.7634896985</v>
      </c>
    </row>
    <row r="110" spans="1:7" x14ac:dyDescent="0.25">
      <c r="A110" s="49">
        <f>'A) Base RI'!A106</f>
        <v>5562</v>
      </c>
      <c r="B110" s="294" t="str">
        <f>'A) Base RI'!B106</f>
        <v>Mauborget</v>
      </c>
      <c r="C110" s="10">
        <f>'A) Base RI'!V106</f>
        <v>122</v>
      </c>
      <c r="D110" s="437">
        <f>'C) Prél. conj.'!H104</f>
        <v>17095.41</v>
      </c>
      <c r="E110" s="10">
        <f>'D) Ecrêtage'!M104</f>
        <v>0</v>
      </c>
      <c r="F110" s="437">
        <f>$F$10*'D) Ecrêtage'!C104</f>
        <v>81546.568442553224</v>
      </c>
      <c r="G110" s="55">
        <f t="shared" si="1"/>
        <v>98641.978442553227</v>
      </c>
    </row>
    <row r="111" spans="1:7" x14ac:dyDescent="0.25">
      <c r="A111" s="49">
        <f>'A) Base RI'!A107</f>
        <v>5563</v>
      </c>
      <c r="B111" s="294" t="str">
        <f>'A) Base RI'!B107</f>
        <v>Mutrux</v>
      </c>
      <c r="C111" s="10">
        <f>'A) Base RI'!V107</f>
        <v>158</v>
      </c>
      <c r="D111" s="437">
        <f>'C) Prél. conj.'!H105</f>
        <v>5442.15</v>
      </c>
      <c r="E111" s="10">
        <f>'D) Ecrêtage'!M105</f>
        <v>0</v>
      </c>
      <c r="F111" s="437">
        <f>$F$10*'D) Ecrêtage'!C105</f>
        <v>50715.862360125524</v>
      </c>
      <c r="G111" s="55">
        <f t="shared" si="1"/>
        <v>56158.012360125525</v>
      </c>
    </row>
    <row r="112" spans="1:7" x14ac:dyDescent="0.25">
      <c r="A112" s="49">
        <f>'A) Base RI'!A108</f>
        <v>5564</v>
      </c>
      <c r="B112" s="294" t="str">
        <f>'A) Base RI'!B108</f>
        <v>Novalles</v>
      </c>
      <c r="C112" s="10">
        <f>'A) Base RI'!V108</f>
        <v>101</v>
      </c>
      <c r="D112" s="437">
        <f>'C) Prél. conj.'!H106</f>
        <v>13693.4</v>
      </c>
      <c r="E112" s="10">
        <f>'D) Ecrêtage'!M106</f>
        <v>0</v>
      </c>
      <c r="F112" s="437">
        <f>$F$10*'D) Ecrêtage'!C106</f>
        <v>44345.470099978302</v>
      </c>
      <c r="G112" s="55">
        <f t="shared" si="1"/>
        <v>58038.870099978303</v>
      </c>
    </row>
    <row r="113" spans="1:7" x14ac:dyDescent="0.25">
      <c r="A113" s="49">
        <f>'A) Base RI'!A109</f>
        <v>5565</v>
      </c>
      <c r="B113" s="294" t="str">
        <f>'A) Base RI'!B109</f>
        <v>Onnens</v>
      </c>
      <c r="C113" s="10">
        <f>'A) Base RI'!V109</f>
        <v>494</v>
      </c>
      <c r="D113" s="437">
        <f>'C) Prél. conj.'!H107</f>
        <v>41838.369999999995</v>
      </c>
      <c r="E113" s="10">
        <f>'D) Ecrêtage'!M107</f>
        <v>4581.7571343712207</v>
      </c>
      <c r="F113" s="437">
        <f>$F$10*'D) Ecrêtage'!C107</f>
        <v>346521.9484357459</v>
      </c>
      <c r="G113" s="55">
        <f t="shared" si="1"/>
        <v>392942.0755701171</v>
      </c>
    </row>
    <row r="114" spans="1:7" x14ac:dyDescent="0.25">
      <c r="A114" s="49">
        <f>'A) Base RI'!A110</f>
        <v>5566</v>
      </c>
      <c r="B114" s="294" t="str">
        <f>'A) Base RI'!B110</f>
        <v>Provence</v>
      </c>
      <c r="C114" s="10">
        <f>'A) Base RI'!V110</f>
        <v>373</v>
      </c>
      <c r="D114" s="437">
        <f>'C) Prél. conj.'!H108</f>
        <v>45659.714999999997</v>
      </c>
      <c r="E114" s="10">
        <f>'D) Ecrêtage'!M108</f>
        <v>0</v>
      </c>
      <c r="F114" s="437">
        <f>$F$10*'D) Ecrêtage'!C108</f>
        <v>126859.17128978248</v>
      </c>
      <c r="G114" s="55">
        <f t="shared" si="1"/>
        <v>172518.88628978247</v>
      </c>
    </row>
    <row r="115" spans="1:7" x14ac:dyDescent="0.25">
      <c r="A115" s="49">
        <f>'A) Base RI'!A111</f>
        <v>5568</v>
      </c>
      <c r="B115" s="294" t="str">
        <f>'A) Base RI'!B111</f>
        <v>Sainte-Croix</v>
      </c>
      <c r="C115" s="10">
        <f>'A) Base RI'!V111</f>
        <v>4845</v>
      </c>
      <c r="D115" s="437">
        <f>'C) Prél. conj.'!H109</f>
        <v>805788.8949999999</v>
      </c>
      <c r="E115" s="10">
        <f>'D) Ecrêtage'!M109</f>
        <v>0</v>
      </c>
      <c r="F115" s="437">
        <f>$F$10*'D) Ecrêtage'!C109</f>
        <v>1570228.3871776848</v>
      </c>
      <c r="G115" s="55">
        <f t="shared" si="1"/>
        <v>2376017.2821776848</v>
      </c>
    </row>
    <row r="116" spans="1:7" x14ac:dyDescent="0.25">
      <c r="A116" s="49">
        <f>'A) Base RI'!A112</f>
        <v>5571</v>
      </c>
      <c r="B116" s="294" t="str">
        <f>'A) Base RI'!B112</f>
        <v>Tévenon</v>
      </c>
      <c r="C116" s="10">
        <f>'A) Base RI'!V112</f>
        <v>877</v>
      </c>
      <c r="D116" s="437">
        <f>'C) Prél. conj.'!H110</f>
        <v>84672.08</v>
      </c>
      <c r="E116" s="10">
        <f>'D) Ecrêtage'!M110</f>
        <v>0</v>
      </c>
      <c r="F116" s="437">
        <f>$F$10*'D) Ecrêtage'!C110</f>
        <v>346460.79631471686</v>
      </c>
      <c r="G116" s="55">
        <f t="shared" si="1"/>
        <v>431132.87631471688</v>
      </c>
    </row>
    <row r="117" spans="1:7" x14ac:dyDescent="0.25">
      <c r="A117" s="49">
        <f>'A) Base RI'!A113</f>
        <v>5581</v>
      </c>
      <c r="B117" s="294" t="str">
        <f>'A) Base RI'!B113</f>
        <v>Belmont-sur-Lausanne</v>
      </c>
      <c r="C117" s="10">
        <f>'A) Base RI'!V113</f>
        <v>3732</v>
      </c>
      <c r="D117" s="437">
        <f>'C) Prél. conj.'!H111</f>
        <v>652184.71</v>
      </c>
      <c r="E117" s="10">
        <f>'D) Ecrêtage'!M111</f>
        <v>252073.08724254771</v>
      </c>
      <c r="F117" s="437">
        <f>$F$10*'D) Ecrêtage'!C111</f>
        <v>2856181.2292143041</v>
      </c>
      <c r="G117" s="55">
        <f t="shared" si="1"/>
        <v>3760439.026456852</v>
      </c>
    </row>
    <row r="118" spans="1:7" x14ac:dyDescent="0.25">
      <c r="A118" s="49">
        <f>'A) Base RI'!A114</f>
        <v>5582</v>
      </c>
      <c r="B118" s="294" t="str">
        <f>'A) Base RI'!B114</f>
        <v>Cheseaux-sur-Lausanne</v>
      </c>
      <c r="C118" s="10">
        <f>'A) Base RI'!V114</f>
        <v>4338</v>
      </c>
      <c r="D118" s="437">
        <f>'C) Prél. conj.'!H112</f>
        <v>407773.42000000004</v>
      </c>
      <c r="E118" s="10">
        <f>'D) Ecrêtage'!M112</f>
        <v>0</v>
      </c>
      <c r="F118" s="437">
        <f>$F$10*'D) Ecrêtage'!C112</f>
        <v>2661513.5113248331</v>
      </c>
      <c r="G118" s="55">
        <f t="shared" si="1"/>
        <v>3069286.9313248331</v>
      </c>
    </row>
    <row r="119" spans="1:7" x14ac:dyDescent="0.25">
      <c r="A119" s="49">
        <f>'A) Base RI'!A115</f>
        <v>5583</v>
      </c>
      <c r="B119" s="294" t="str">
        <f>'A) Base RI'!B115</f>
        <v>Crissier</v>
      </c>
      <c r="C119" s="10">
        <f>'A) Base RI'!V115</f>
        <v>7905</v>
      </c>
      <c r="D119" s="437">
        <f>'C) Prél. conj.'!H113</f>
        <v>2121416.98</v>
      </c>
      <c r="E119" s="10">
        <f>'D) Ecrêtage'!M113</f>
        <v>0</v>
      </c>
      <c r="F119" s="437">
        <f>$F$10*'D) Ecrêtage'!C113</f>
        <v>4797214.284198842</v>
      </c>
      <c r="G119" s="55">
        <f t="shared" si="1"/>
        <v>6918631.2641988415</v>
      </c>
    </row>
    <row r="120" spans="1:7" x14ac:dyDescent="0.25">
      <c r="A120" s="49">
        <f>'A) Base RI'!A116</f>
        <v>5584</v>
      </c>
      <c r="B120" s="294" t="str">
        <f>'A) Base RI'!B116</f>
        <v>Epalinges</v>
      </c>
      <c r="C120" s="10">
        <f>'A) Base RI'!V116</f>
        <v>9624</v>
      </c>
      <c r="D120" s="437">
        <f>'C) Prél. conj.'!H114</f>
        <v>3830077.5449999995</v>
      </c>
      <c r="E120" s="10">
        <f>'D) Ecrêtage'!M114</f>
        <v>415790.81109309528</v>
      </c>
      <c r="F120" s="437">
        <f>$F$10*'D) Ecrêtage'!C114</f>
        <v>7130303.1574461637</v>
      </c>
      <c r="G120" s="55">
        <f t="shared" si="1"/>
        <v>11376171.513539258</v>
      </c>
    </row>
    <row r="121" spans="1:7" x14ac:dyDescent="0.25">
      <c r="A121" s="49">
        <f>'A) Base RI'!A117</f>
        <v>5585</v>
      </c>
      <c r="B121" s="294" t="str">
        <f>'A) Base RI'!B117</f>
        <v>Jouxtens-Mézery</v>
      </c>
      <c r="C121" s="10">
        <f>'A) Base RI'!V117</f>
        <v>1471</v>
      </c>
      <c r="D121" s="437">
        <f>'C) Prél. conj.'!H115</f>
        <v>243152.37</v>
      </c>
      <c r="E121" s="10">
        <f>'D) Ecrêtage'!M115</f>
        <v>3590990.8834561096</v>
      </c>
      <c r="F121" s="437">
        <f>$F$10*'D) Ecrêtage'!C115</f>
        <v>3381462.5828797673</v>
      </c>
      <c r="G121" s="55">
        <f t="shared" si="1"/>
        <v>7215605.836335877</v>
      </c>
    </row>
    <row r="122" spans="1:7" x14ac:dyDescent="0.25">
      <c r="A122" s="49">
        <f>'A) Base RI'!A118</f>
        <v>5586</v>
      </c>
      <c r="B122" s="294" t="str">
        <f>'A) Base RI'!B118</f>
        <v>Lausanne</v>
      </c>
      <c r="C122" s="10">
        <f>'A) Base RI'!V118</f>
        <v>139720</v>
      </c>
      <c r="D122" s="437">
        <f>'C) Prél. conj.'!H116</f>
        <v>22714089.934999999</v>
      </c>
      <c r="E122" s="10">
        <f>'D) Ecrêtage'!M116</f>
        <v>0</v>
      </c>
      <c r="F122" s="437">
        <f>$F$10*'D) Ecrêtage'!C116</f>
        <v>86749145.342823729</v>
      </c>
      <c r="G122" s="55">
        <f t="shared" si="1"/>
        <v>109463235.27782373</v>
      </c>
    </row>
    <row r="123" spans="1:7" x14ac:dyDescent="0.25">
      <c r="A123" s="49">
        <f>'A) Base RI'!A119</f>
        <v>5587</v>
      </c>
      <c r="B123" s="294" t="str">
        <f>'A) Base RI'!B119</f>
        <v>Le Mont-sur-Lausanne</v>
      </c>
      <c r="C123" s="10">
        <f>'A) Base RI'!V119</f>
        <v>8516</v>
      </c>
      <c r="D123" s="437">
        <f>'C) Prél. conj.'!H117</f>
        <v>991081.23499999999</v>
      </c>
      <c r="E123" s="10">
        <f>'D) Ecrêtage'!M117</f>
        <v>561397.96195837099</v>
      </c>
      <c r="F123" s="437">
        <f>$F$10*'D) Ecrêtage'!C117</f>
        <v>6456561.0743740397</v>
      </c>
      <c r="G123" s="55">
        <f t="shared" si="1"/>
        <v>8009040.2713324111</v>
      </c>
    </row>
    <row r="124" spans="1:7" x14ac:dyDescent="0.25">
      <c r="A124" s="49">
        <f>'A) Base RI'!A120</f>
        <v>5588</v>
      </c>
      <c r="B124" s="294" t="str">
        <f>'A) Base RI'!B120</f>
        <v>Paudex</v>
      </c>
      <c r="C124" s="10">
        <f>'A) Base RI'!V120</f>
        <v>1507</v>
      </c>
      <c r="D124" s="437">
        <f>'C) Prél. conj.'!H118</f>
        <v>239380.52000000002</v>
      </c>
      <c r="E124" s="10">
        <f>'D) Ecrêtage'!M118</f>
        <v>1206645.8727174823</v>
      </c>
      <c r="F124" s="437">
        <f>$F$10*'D) Ecrêtage'!C118</f>
        <v>1978192.285268974</v>
      </c>
      <c r="G124" s="55">
        <f t="shared" si="1"/>
        <v>3424218.6779864561</v>
      </c>
    </row>
    <row r="125" spans="1:7" x14ac:dyDescent="0.25">
      <c r="A125" s="49">
        <f>'A) Base RI'!A121</f>
        <v>5589</v>
      </c>
      <c r="B125" s="294" t="str">
        <f>'A) Base RI'!B121</f>
        <v>Prilly</v>
      </c>
      <c r="C125" s="10">
        <f>'A) Base RI'!V121</f>
        <v>12392</v>
      </c>
      <c r="D125" s="437">
        <f>'C) Prél. conj.'!H119</f>
        <v>1239142.0750000002</v>
      </c>
      <c r="E125" s="10">
        <f>'D) Ecrêtage'!M119</f>
        <v>0</v>
      </c>
      <c r="F125" s="437">
        <f>$F$10*'D) Ecrêtage'!C119</f>
        <v>5870394.3398298249</v>
      </c>
      <c r="G125" s="55">
        <f t="shared" si="1"/>
        <v>7109536.4148298251</v>
      </c>
    </row>
    <row r="126" spans="1:7" x14ac:dyDescent="0.25">
      <c r="A126" s="49">
        <f>'A) Base RI'!A122</f>
        <v>5590</v>
      </c>
      <c r="B126" s="294" t="str">
        <f>'A) Base RI'!B122</f>
        <v>Pully</v>
      </c>
      <c r="C126" s="10">
        <f>'A) Base RI'!V122</f>
        <v>18336</v>
      </c>
      <c r="D126" s="437">
        <f>'C) Prél. conj.'!H120</f>
        <v>6948543.0499999989</v>
      </c>
      <c r="E126" s="10">
        <f>'D) Ecrêtage'!M120</f>
        <v>10613839.03000932</v>
      </c>
      <c r="F126" s="437">
        <f>$F$10*'D) Ecrêtage'!C120</f>
        <v>21576541.876650572</v>
      </c>
      <c r="G126" s="55">
        <f t="shared" si="1"/>
        <v>39138923.956659891</v>
      </c>
    </row>
    <row r="127" spans="1:7" x14ac:dyDescent="0.25">
      <c r="A127" s="49">
        <f>'A) Base RI'!A123</f>
        <v>5591</v>
      </c>
      <c r="B127" s="294" t="str">
        <f>'A) Base RI'!B123</f>
        <v>Renens</v>
      </c>
      <c r="C127" s="10">
        <f>'A) Base RI'!V123</f>
        <v>20968</v>
      </c>
      <c r="D127" s="437">
        <f>'C) Prél. conj.'!H121</f>
        <v>2987999.5249999999</v>
      </c>
      <c r="E127" s="10">
        <f>'D) Ecrêtage'!M121</f>
        <v>0</v>
      </c>
      <c r="F127" s="437">
        <f>$F$10*'D) Ecrêtage'!C121</f>
        <v>8362087.4494737396</v>
      </c>
      <c r="G127" s="55">
        <f t="shared" si="1"/>
        <v>11350086.974473739</v>
      </c>
    </row>
    <row r="128" spans="1:7" x14ac:dyDescent="0.25">
      <c r="A128" s="49">
        <f>'A) Base RI'!A124</f>
        <v>5592</v>
      </c>
      <c r="B128" s="294" t="str">
        <f>'A) Base RI'!B124</f>
        <v>Romanel-sur-Lausanne</v>
      </c>
      <c r="C128" s="10">
        <f>'A) Base RI'!V124</f>
        <v>3311</v>
      </c>
      <c r="D128" s="437">
        <f>'C) Prél. conj.'!H122</f>
        <v>255116.01</v>
      </c>
      <c r="E128" s="10">
        <f>'D) Ecrêtage'!M122</f>
        <v>0</v>
      </c>
      <c r="F128" s="437">
        <f>$F$10*'D) Ecrêtage'!C122</f>
        <v>1750860.8276847163</v>
      </c>
      <c r="G128" s="55">
        <f t="shared" si="1"/>
        <v>2005976.8376847163</v>
      </c>
    </row>
    <row r="129" spans="1:7" x14ac:dyDescent="0.25">
      <c r="A129" s="49">
        <f>'A) Base RI'!A125</f>
        <v>5601</v>
      </c>
      <c r="B129" s="294" t="str">
        <f>'A) Base RI'!B125</f>
        <v>Chexbres</v>
      </c>
      <c r="C129" s="10">
        <f>'A) Base RI'!V125</f>
        <v>2238</v>
      </c>
      <c r="D129" s="437">
        <f>'C) Prél. conj.'!H123</f>
        <v>367288.13</v>
      </c>
      <c r="E129" s="10">
        <f>'D) Ecrêtage'!M123</f>
        <v>29071.712443831108</v>
      </c>
      <c r="F129" s="437">
        <f>$F$10*'D) Ecrêtage'!C123</f>
        <v>1577725.7761451583</v>
      </c>
      <c r="G129" s="55">
        <f t="shared" si="1"/>
        <v>1974085.6185889894</v>
      </c>
    </row>
    <row r="130" spans="1:7" x14ac:dyDescent="0.25">
      <c r="A130" s="49">
        <f>'A) Base RI'!A126</f>
        <v>5604</v>
      </c>
      <c r="B130" s="294" t="str">
        <f>'A) Base RI'!B126</f>
        <v>Forel (Lavaux)</v>
      </c>
      <c r="C130" s="10">
        <f>'A) Base RI'!V126</f>
        <v>2082</v>
      </c>
      <c r="D130" s="437">
        <f>'C) Prél. conj.'!H124</f>
        <v>199821.845</v>
      </c>
      <c r="E130" s="10">
        <f>'D) Ecrêtage'!M124</f>
        <v>0</v>
      </c>
      <c r="F130" s="437">
        <f>$F$10*'D) Ecrêtage'!C124</f>
        <v>1126860.4793002489</v>
      </c>
      <c r="G130" s="55">
        <f t="shared" si="1"/>
        <v>1326682.3243002489</v>
      </c>
    </row>
    <row r="131" spans="1:7" x14ac:dyDescent="0.25">
      <c r="A131" s="49">
        <f>'A) Base RI'!A127</f>
        <v>5606</v>
      </c>
      <c r="B131" s="294" t="str">
        <f>'A) Base RI'!B127</f>
        <v>Lutry</v>
      </c>
      <c r="C131" s="10">
        <f>'A) Base RI'!V127</f>
        <v>10285</v>
      </c>
      <c r="D131" s="437">
        <f>'C) Prél. conj.'!H125</f>
        <v>3782732.3050000002</v>
      </c>
      <c r="E131" s="10">
        <f>'D) Ecrêtage'!M125</f>
        <v>5988074.4768379694</v>
      </c>
      <c r="F131" s="437">
        <f>$F$10*'D) Ecrêtage'!C125</f>
        <v>12499126.371043744</v>
      </c>
      <c r="G131" s="55">
        <f t="shared" si="1"/>
        <v>22269933.152881712</v>
      </c>
    </row>
    <row r="132" spans="1:7" x14ac:dyDescent="0.25">
      <c r="A132" s="49">
        <f>'A) Base RI'!A128</f>
        <v>5607</v>
      </c>
      <c r="B132" s="294" t="str">
        <f>'A) Base RI'!B128</f>
        <v>Puidoux</v>
      </c>
      <c r="C132" s="10">
        <f>'A) Base RI'!V128</f>
        <v>2880</v>
      </c>
      <c r="D132" s="437">
        <f>'C) Prél. conj.'!H126</f>
        <v>424932.98</v>
      </c>
      <c r="E132" s="10">
        <f>'D) Ecrêtage'!M126</f>
        <v>0</v>
      </c>
      <c r="F132" s="437">
        <f>$F$10*'D) Ecrêtage'!C126</f>
        <v>1643285.6972442833</v>
      </c>
      <c r="G132" s="55">
        <f t="shared" si="1"/>
        <v>2068218.6772442833</v>
      </c>
    </row>
    <row r="133" spans="1:7" x14ac:dyDescent="0.25">
      <c r="A133" s="49">
        <f>'A) Base RI'!A129</f>
        <v>5609</v>
      </c>
      <c r="B133" s="294" t="str">
        <f>'A) Base RI'!B129</f>
        <v>Rivaz</v>
      </c>
      <c r="C133" s="10">
        <f>'A) Base RI'!V129</f>
        <v>358</v>
      </c>
      <c r="D133" s="437">
        <f>'C) Prél. conj.'!H127</f>
        <v>9790</v>
      </c>
      <c r="E133" s="10">
        <f>'D) Ecrêtage'!M127</f>
        <v>0</v>
      </c>
      <c r="F133" s="437">
        <f>$F$10*'D) Ecrêtage'!C127</f>
        <v>207544.49714702842</v>
      </c>
      <c r="G133" s="55">
        <f t="shared" si="1"/>
        <v>217334.49714702842</v>
      </c>
    </row>
    <row r="134" spans="1:7" x14ac:dyDescent="0.25">
      <c r="A134" s="49">
        <f>'A) Base RI'!A130</f>
        <v>5610</v>
      </c>
      <c r="B134" s="294" t="str">
        <f>'A) Base RI'!B130</f>
        <v>St-Saphorin (Lavaux)</v>
      </c>
      <c r="C134" s="10">
        <f>'A) Base RI'!V130</f>
        <v>391</v>
      </c>
      <c r="D134" s="437">
        <f>'C) Prél. conj.'!H128</f>
        <v>18961.325000000001</v>
      </c>
      <c r="E134" s="10">
        <f>'D) Ecrêtage'!M128</f>
        <v>59700.961698109619</v>
      </c>
      <c r="F134" s="437">
        <f>$F$10*'D) Ecrêtage'!C128</f>
        <v>331763.71021462249</v>
      </c>
      <c r="G134" s="55">
        <f t="shared" si="1"/>
        <v>410425.99691273214</v>
      </c>
    </row>
    <row r="135" spans="1:7" x14ac:dyDescent="0.25">
      <c r="A135" s="49">
        <f>'A) Base RI'!A131</f>
        <v>5611</v>
      </c>
      <c r="B135" s="294" t="str">
        <f>'A) Base RI'!B131</f>
        <v>Savigny</v>
      </c>
      <c r="C135" s="10">
        <f>'A) Base RI'!V131</f>
        <v>3353</v>
      </c>
      <c r="D135" s="437">
        <f>'C) Prél. conj.'!H129</f>
        <v>841313</v>
      </c>
      <c r="E135" s="10">
        <f>'D) Ecrêtage'!M129</f>
        <v>0</v>
      </c>
      <c r="F135" s="437">
        <f>$F$10*'D) Ecrêtage'!C129</f>
        <v>2080374.7195289372</v>
      </c>
      <c r="G135" s="55">
        <f t="shared" si="1"/>
        <v>2921687.7195289372</v>
      </c>
    </row>
    <row r="136" spans="1:7" x14ac:dyDescent="0.25">
      <c r="A136" s="49">
        <f>'A) Base RI'!A132</f>
        <v>5613</v>
      </c>
      <c r="B136" s="294" t="str">
        <f>'A) Base RI'!B132</f>
        <v>Bourg-en-Lavaux</v>
      </c>
      <c r="C136" s="10">
        <f>'A) Base RI'!V132</f>
        <v>5367</v>
      </c>
      <c r="D136" s="437">
        <f>'C) Prél. conj.'!H130</f>
        <v>1091083.1399999999</v>
      </c>
      <c r="E136" s="10">
        <f>'D) Ecrêtage'!M130</f>
        <v>666063.83792256494</v>
      </c>
      <c r="F136" s="437">
        <f>$F$10*'D) Ecrêtage'!C130</f>
        <v>4513456.6997186281</v>
      </c>
      <c r="G136" s="55">
        <f t="shared" si="1"/>
        <v>6270603.6776411925</v>
      </c>
    </row>
    <row r="137" spans="1:7" x14ac:dyDescent="0.25">
      <c r="A137" s="49">
        <f>'A) Base RI'!A133</f>
        <v>5621</v>
      </c>
      <c r="B137" s="294" t="str">
        <f>'A) Base RI'!B133</f>
        <v>Aclens</v>
      </c>
      <c r="C137" s="10">
        <f>'A) Base RI'!V133</f>
        <v>535</v>
      </c>
      <c r="D137" s="437">
        <f>'C) Prél. conj.'!H131</f>
        <v>250551.22999999998</v>
      </c>
      <c r="E137" s="10">
        <f>'D) Ecrêtage'!M131</f>
        <v>151262.5401849192</v>
      </c>
      <c r="F137" s="437">
        <f>$F$10*'D) Ecrêtage'!C131</f>
        <v>519297.40329044516</v>
      </c>
      <c r="G137" s="55">
        <f t="shared" si="1"/>
        <v>921111.17347536446</v>
      </c>
    </row>
    <row r="138" spans="1:7" x14ac:dyDescent="0.25">
      <c r="A138" s="49">
        <f>'A) Base RI'!A134</f>
        <v>5622</v>
      </c>
      <c r="B138" s="294" t="str">
        <f>'A) Base RI'!B134</f>
        <v>Bremblens</v>
      </c>
      <c r="C138" s="10">
        <f>'A) Base RI'!V134</f>
        <v>548</v>
      </c>
      <c r="D138" s="437">
        <f>'C) Prél. conj.'!H132</f>
        <v>132590.09</v>
      </c>
      <c r="E138" s="10">
        <f>'D) Ecrêtage'!M132</f>
        <v>15788.595918750523</v>
      </c>
      <c r="F138" s="437">
        <f>$F$10*'D) Ecrêtage'!C132</f>
        <v>396802.87242489686</v>
      </c>
      <c r="G138" s="55">
        <f t="shared" si="1"/>
        <v>545181.5583436474</v>
      </c>
    </row>
    <row r="139" spans="1:7" x14ac:dyDescent="0.25">
      <c r="A139" s="49">
        <f>'A) Base RI'!A135</f>
        <v>5623</v>
      </c>
      <c r="B139" s="294" t="str">
        <f>'A) Base RI'!B135</f>
        <v>Buchillon</v>
      </c>
      <c r="C139" s="10">
        <f>'A) Base RI'!V135</f>
        <v>650</v>
      </c>
      <c r="D139" s="437">
        <f>'C) Prél. conj.'!H133</f>
        <v>135899.38499999998</v>
      </c>
      <c r="E139" s="10">
        <f>'D) Ecrêtage'!M133</f>
        <v>2287824.5498974454</v>
      </c>
      <c r="F139" s="437">
        <f>$F$10*'D) Ecrêtage'!C133</f>
        <v>1833770.1352512352</v>
      </c>
      <c r="G139" s="55">
        <f t="shared" si="1"/>
        <v>4257494.0701486804</v>
      </c>
    </row>
    <row r="140" spans="1:7" x14ac:dyDescent="0.25">
      <c r="A140" s="49">
        <f>'A) Base RI'!A136</f>
        <v>5624</v>
      </c>
      <c r="B140" s="294" t="str">
        <f>'A) Base RI'!B136</f>
        <v>Bussigny</v>
      </c>
      <c r="C140" s="10">
        <f>'A) Base RI'!V136</f>
        <v>8759</v>
      </c>
      <c r="D140" s="437">
        <f>'C) Prél. conj.'!H134</f>
        <v>1637422.155</v>
      </c>
      <c r="E140" s="10">
        <f>'D) Ecrêtage'!M134</f>
        <v>0</v>
      </c>
      <c r="F140" s="437">
        <f>$F$10*'D) Ecrêtage'!C134</f>
        <v>5491110.4354031458</v>
      </c>
      <c r="G140" s="55">
        <f t="shared" ref="G140:G203" si="2">D140+F140+E140</f>
        <v>7128532.5904031461</v>
      </c>
    </row>
    <row r="141" spans="1:7" x14ac:dyDescent="0.25">
      <c r="A141" s="49">
        <f>'A) Base RI'!A137</f>
        <v>5625</v>
      </c>
      <c r="B141" s="294" t="str">
        <f>'A) Base RI'!B137</f>
        <v>Bussy-Chardonney</v>
      </c>
      <c r="C141" s="10">
        <f>'A) Base RI'!V137</f>
        <v>376</v>
      </c>
      <c r="D141" s="437">
        <f>'C) Prél. conj.'!H135</f>
        <v>65815.425000000003</v>
      </c>
      <c r="E141" s="10">
        <f>'D) Ecrêtage'!M135</f>
        <v>0</v>
      </c>
      <c r="F141" s="437">
        <f>$F$10*'D) Ecrêtage'!C135</f>
        <v>205950.9778609683</v>
      </c>
      <c r="G141" s="55">
        <f t="shared" si="2"/>
        <v>271766.40286096832</v>
      </c>
    </row>
    <row r="142" spans="1:7" x14ac:dyDescent="0.25">
      <c r="A142" s="49">
        <f>'A) Base RI'!A138</f>
        <v>5627</v>
      </c>
      <c r="B142" s="294" t="str">
        <f>'A) Base RI'!B138</f>
        <v>Chavannes-près-Renens</v>
      </c>
      <c r="C142" s="10">
        <f>'A) Base RI'!V138</f>
        <v>7741</v>
      </c>
      <c r="D142" s="437">
        <f>'C) Prél. conj.'!H136</f>
        <v>645227.77500000002</v>
      </c>
      <c r="E142" s="10">
        <f>'D) Ecrêtage'!M136</f>
        <v>0</v>
      </c>
      <c r="F142" s="437">
        <f>$F$10*'D) Ecrêtage'!C136</f>
        <v>2670839.6273920923</v>
      </c>
      <c r="G142" s="55">
        <f t="shared" si="2"/>
        <v>3316067.4023920922</v>
      </c>
    </row>
    <row r="143" spans="1:7" x14ac:dyDescent="0.25">
      <c r="A143" s="49">
        <f>'A) Base RI'!A139</f>
        <v>5628</v>
      </c>
      <c r="B143" s="294" t="str">
        <f>'A) Base RI'!B139</f>
        <v>Chigny</v>
      </c>
      <c r="C143" s="10">
        <f>'A) Base RI'!V139</f>
        <v>358</v>
      </c>
      <c r="D143" s="437">
        <f>'C) Prél. conj.'!H137</f>
        <v>38527.49</v>
      </c>
      <c r="E143" s="10">
        <f>'D) Ecrêtage'!M137</f>
        <v>88853.192837118942</v>
      </c>
      <c r="F143" s="437">
        <f>$F$10*'D) Ecrêtage'!C137</f>
        <v>337251.98828175635</v>
      </c>
      <c r="G143" s="55">
        <f t="shared" si="2"/>
        <v>464632.67111887527</v>
      </c>
    </row>
    <row r="144" spans="1:7" x14ac:dyDescent="0.25">
      <c r="A144" s="49">
        <f>'A) Base RI'!A140</f>
        <v>5629</v>
      </c>
      <c r="B144" s="294" t="str">
        <f>'A) Base RI'!B140</f>
        <v>Clarmont</v>
      </c>
      <c r="C144" s="10">
        <f>'A) Base RI'!V140</f>
        <v>190</v>
      </c>
      <c r="D144" s="437">
        <f>'C) Prél. conj.'!H138</f>
        <v>29981.95</v>
      </c>
      <c r="E144" s="10">
        <f>'D) Ecrêtage'!M138</f>
        <v>0</v>
      </c>
      <c r="F144" s="437">
        <f>$F$10*'D) Ecrêtage'!C138</f>
        <v>106534.87546011945</v>
      </c>
      <c r="G144" s="55">
        <f t="shared" si="2"/>
        <v>136516.82546011946</v>
      </c>
    </row>
    <row r="145" spans="1:7" x14ac:dyDescent="0.25">
      <c r="A145" s="49">
        <f>'A) Base RI'!A141</f>
        <v>5631</v>
      </c>
      <c r="B145" s="294" t="str">
        <f>'A) Base RI'!B141</f>
        <v>Denens</v>
      </c>
      <c r="C145" s="10">
        <f>'A) Base RI'!V141</f>
        <v>747</v>
      </c>
      <c r="D145" s="437">
        <f>'C) Prél. conj.'!H139</f>
        <v>110179.2</v>
      </c>
      <c r="E145" s="10">
        <f>'D) Ecrêtage'!M139</f>
        <v>170082.00408742839</v>
      </c>
      <c r="F145" s="437">
        <f>$F$10*'D) Ecrêtage'!C139</f>
        <v>674923.89406158193</v>
      </c>
      <c r="G145" s="55">
        <f t="shared" si="2"/>
        <v>955185.09814901021</v>
      </c>
    </row>
    <row r="146" spans="1:7" x14ac:dyDescent="0.25">
      <c r="A146" s="49">
        <f>'A) Base RI'!A142</f>
        <v>5632</v>
      </c>
      <c r="B146" s="294" t="str">
        <f>'A) Base RI'!B142</f>
        <v>Denges</v>
      </c>
      <c r="C146" s="10">
        <f>'A) Base RI'!V142</f>
        <v>1610</v>
      </c>
      <c r="D146" s="437">
        <f>'C) Prél. conj.'!H140</f>
        <v>256558.99</v>
      </c>
      <c r="E146" s="10">
        <f>'D) Ecrêtage'!M140</f>
        <v>0</v>
      </c>
      <c r="F146" s="437">
        <f>$F$10*'D) Ecrêtage'!C140</f>
        <v>1042629.7500806222</v>
      </c>
      <c r="G146" s="55">
        <f t="shared" si="2"/>
        <v>1299188.740080622</v>
      </c>
    </row>
    <row r="147" spans="1:7" x14ac:dyDescent="0.25">
      <c r="A147" s="49">
        <f>'A) Base RI'!A143</f>
        <v>5633</v>
      </c>
      <c r="B147" s="294" t="str">
        <f>'A) Base RI'!B143</f>
        <v>Echandens</v>
      </c>
      <c r="C147" s="10">
        <f>'A) Base RI'!V143</f>
        <v>2789</v>
      </c>
      <c r="D147" s="437">
        <f>'C) Prél. conj.'!H141</f>
        <v>200288.55499999999</v>
      </c>
      <c r="E147" s="10">
        <f>'D) Ecrêtage'!M141</f>
        <v>154020.86441284692</v>
      </c>
      <c r="F147" s="437">
        <f>$F$10*'D) Ecrêtage'!C141</f>
        <v>2117054.5155454436</v>
      </c>
      <c r="G147" s="55">
        <f t="shared" si="2"/>
        <v>2471363.9349582908</v>
      </c>
    </row>
    <row r="148" spans="1:7" x14ac:dyDescent="0.25">
      <c r="A148" s="49">
        <f>'A) Base RI'!A144</f>
        <v>5634</v>
      </c>
      <c r="B148" s="294" t="str">
        <f>'A) Base RI'!B144</f>
        <v>Echichens</v>
      </c>
      <c r="C148" s="10">
        <f>'A) Base RI'!V144</f>
        <v>3050</v>
      </c>
      <c r="D148" s="437">
        <f>'C) Prél. conj.'!H142</f>
        <v>500380.78</v>
      </c>
      <c r="E148" s="10">
        <f>'D) Ecrêtage'!M142</f>
        <v>548262.77303864749</v>
      </c>
      <c r="F148" s="437">
        <f>$F$10*'D) Ecrêtage'!C142</f>
        <v>2660316.3173929495</v>
      </c>
      <c r="G148" s="55">
        <f t="shared" si="2"/>
        <v>3708959.8704315969</v>
      </c>
    </row>
    <row r="149" spans="1:7" x14ac:dyDescent="0.25">
      <c r="A149" s="49">
        <f>'A) Base RI'!A145</f>
        <v>5635</v>
      </c>
      <c r="B149" s="294" t="str">
        <f>'A) Base RI'!B145</f>
        <v>Ecublens</v>
      </c>
      <c r="C149" s="10">
        <f>'A) Base RI'!V145</f>
        <v>12939</v>
      </c>
      <c r="D149" s="437">
        <f>'C) Prél. conj.'!H143</f>
        <v>1373915.77</v>
      </c>
      <c r="E149" s="10">
        <f>'D) Ecrêtage'!M143</f>
        <v>0</v>
      </c>
      <c r="F149" s="437">
        <f>$F$10*'D) Ecrêtage'!C143</f>
        <v>6558921.1468787547</v>
      </c>
      <c r="G149" s="55">
        <f t="shared" si="2"/>
        <v>7932836.9168787543</v>
      </c>
    </row>
    <row r="150" spans="1:7" x14ac:dyDescent="0.25">
      <c r="A150" s="49">
        <f>'A) Base RI'!A146</f>
        <v>5636</v>
      </c>
      <c r="B150" s="294" t="str">
        <f>'A) Base RI'!B146</f>
        <v>Etoy</v>
      </c>
      <c r="C150" s="10">
        <f>'A) Base RI'!V146</f>
        <v>2905</v>
      </c>
      <c r="D150" s="437">
        <f>'C) Prél. conj.'!H144</f>
        <v>1051991.6349999998</v>
      </c>
      <c r="E150" s="10">
        <f>'D) Ecrêtage'!M144</f>
        <v>450349.76235578372</v>
      </c>
      <c r="F150" s="437">
        <f>$F$10*'D) Ecrêtage'!C144</f>
        <v>2518613.4019950768</v>
      </c>
      <c r="G150" s="55">
        <f t="shared" si="2"/>
        <v>4020954.7993508605</v>
      </c>
    </row>
    <row r="151" spans="1:7" x14ac:dyDescent="0.25">
      <c r="A151" s="49">
        <f>'A) Base RI'!A147</f>
        <v>5637</v>
      </c>
      <c r="B151" s="294" t="str">
        <f>'A) Base RI'!B147</f>
        <v>Lavigny</v>
      </c>
      <c r="C151" s="10">
        <f>'A) Base RI'!V147</f>
        <v>999</v>
      </c>
      <c r="D151" s="437">
        <f>'C) Prél. conj.'!H145</f>
        <v>136094.86000000002</v>
      </c>
      <c r="E151" s="10">
        <f>'D) Ecrêtage'!M145</f>
        <v>0</v>
      </c>
      <c r="F151" s="437">
        <f>$F$10*'D) Ecrêtage'!C145</f>
        <v>547254.11952851026</v>
      </c>
      <c r="G151" s="55">
        <f t="shared" si="2"/>
        <v>683348.97952851024</v>
      </c>
    </row>
    <row r="152" spans="1:7" x14ac:dyDescent="0.25">
      <c r="A152" s="49">
        <f>'A) Base RI'!A148</f>
        <v>5638</v>
      </c>
      <c r="B152" s="294" t="str">
        <f>'A) Base RI'!B148</f>
        <v>Lonay</v>
      </c>
      <c r="C152" s="10">
        <f>'A) Base RI'!V148</f>
        <v>2593</v>
      </c>
      <c r="D152" s="437">
        <f>'C) Prél. conj.'!H146</f>
        <v>1245506.5650000002</v>
      </c>
      <c r="E152" s="10">
        <f>'D) Ecrêtage'!M146</f>
        <v>541533.3215934037</v>
      </c>
      <c r="F152" s="437">
        <f>$F$10*'D) Ecrêtage'!C146</f>
        <v>2415302.2144094906</v>
      </c>
      <c r="G152" s="55">
        <f t="shared" si="2"/>
        <v>4202342.1010028943</v>
      </c>
    </row>
    <row r="153" spans="1:7" x14ac:dyDescent="0.25">
      <c r="A153" s="49">
        <f>'A) Base RI'!A149</f>
        <v>5639</v>
      </c>
      <c r="B153" s="294" t="str">
        <f>'A) Base RI'!B149</f>
        <v>Lully</v>
      </c>
      <c r="C153" s="10">
        <f>'A) Base RI'!V149</f>
        <v>790</v>
      </c>
      <c r="D153" s="437">
        <f>'C) Prél. conj.'!H147</f>
        <v>103231.38</v>
      </c>
      <c r="E153" s="10">
        <f>'D) Ecrêtage'!M147</f>
        <v>127383.14064557868</v>
      </c>
      <c r="F153" s="437">
        <f>$F$10*'D) Ecrêtage'!C147</f>
        <v>689059.37043989368</v>
      </c>
      <c r="G153" s="55">
        <f t="shared" si="2"/>
        <v>919673.89108547242</v>
      </c>
    </row>
    <row r="154" spans="1:7" x14ac:dyDescent="0.25">
      <c r="A154" s="49">
        <f>'A) Base RI'!A150</f>
        <v>5640</v>
      </c>
      <c r="B154" s="294" t="str">
        <f>'A) Base RI'!B150</f>
        <v>Lussy-sur-Morges</v>
      </c>
      <c r="C154" s="10">
        <f>'A) Base RI'!V150</f>
        <v>687</v>
      </c>
      <c r="D154" s="437">
        <f>'C) Prél. conj.'!H148</f>
        <v>168191.96</v>
      </c>
      <c r="E154" s="10">
        <f>'D) Ecrêtage'!M148</f>
        <v>449593.36829173984</v>
      </c>
      <c r="F154" s="437">
        <f>$F$10*'D) Ecrêtage'!C148</f>
        <v>819690.23170131794</v>
      </c>
      <c r="G154" s="55">
        <f t="shared" si="2"/>
        <v>1437475.5599930577</v>
      </c>
    </row>
    <row r="155" spans="1:7" x14ac:dyDescent="0.25">
      <c r="A155" s="49">
        <f>'A) Base RI'!A151</f>
        <v>5642</v>
      </c>
      <c r="B155" s="294" t="str">
        <f>'A) Base RI'!B151</f>
        <v>Morges</v>
      </c>
      <c r="C155" s="10">
        <f>'A) Base RI'!V151</f>
        <v>15725</v>
      </c>
      <c r="D155" s="437">
        <f>'C) Prél. conj.'!H149</f>
        <v>3706211.1199999996</v>
      </c>
      <c r="E155" s="10">
        <f>'D) Ecrêtage'!M149</f>
        <v>334450.23856931872</v>
      </c>
      <c r="F155" s="437">
        <f>$F$10*'D) Ecrêtage'!C149</f>
        <v>11233708.032681532</v>
      </c>
      <c r="G155" s="55">
        <f t="shared" si="2"/>
        <v>15274369.391250851</v>
      </c>
    </row>
    <row r="156" spans="1:7" x14ac:dyDescent="0.25">
      <c r="A156" s="49">
        <f>'A) Base RI'!A152</f>
        <v>5643</v>
      </c>
      <c r="B156" s="294" t="str">
        <f>'A) Base RI'!B152</f>
        <v>Préverenges</v>
      </c>
      <c r="C156" s="10">
        <f>'A) Base RI'!V152</f>
        <v>5298</v>
      </c>
      <c r="D156" s="437">
        <f>'C) Prél. conj.'!H150</f>
        <v>268711.59500000003</v>
      </c>
      <c r="E156" s="10">
        <f>'D) Ecrêtage'!M150</f>
        <v>246167.96565606343</v>
      </c>
      <c r="F156" s="437">
        <f>$F$10*'D) Ecrêtage'!C150</f>
        <v>3954359.6020383784</v>
      </c>
      <c r="G156" s="55">
        <f t="shared" si="2"/>
        <v>4469239.1626944421</v>
      </c>
    </row>
    <row r="157" spans="1:7" x14ac:dyDescent="0.25">
      <c r="A157" s="49">
        <f>'A) Base RI'!A153</f>
        <v>5644</v>
      </c>
      <c r="B157" s="294" t="str">
        <f>'A) Base RI'!B153</f>
        <v>Reverolle</v>
      </c>
      <c r="C157" s="10">
        <f>'A) Base RI'!V153</f>
        <v>399</v>
      </c>
      <c r="D157" s="437">
        <f>'C) Prél. conj.'!H151</f>
        <v>43171.27</v>
      </c>
      <c r="E157" s="10">
        <f>'D) Ecrêtage'!M151</f>
        <v>0</v>
      </c>
      <c r="F157" s="437">
        <f>$F$10*'D) Ecrêtage'!C151</f>
        <v>206796.94732384384</v>
      </c>
      <c r="G157" s="55">
        <f t="shared" si="2"/>
        <v>249968.21732384383</v>
      </c>
    </row>
    <row r="158" spans="1:7" x14ac:dyDescent="0.25">
      <c r="A158" s="49">
        <f>'A) Base RI'!A154</f>
        <v>5645</v>
      </c>
      <c r="B158" s="294" t="str">
        <f>'A) Base RI'!B154</f>
        <v>Romanel-sur-Morges</v>
      </c>
      <c r="C158" s="10">
        <f>'A) Base RI'!V154</f>
        <v>458</v>
      </c>
      <c r="D158" s="437">
        <f>'C) Prél. conj.'!H152</f>
        <v>73950.384999999995</v>
      </c>
      <c r="E158" s="10">
        <f>'D) Ecrêtage'!M152</f>
        <v>41438.266967990014</v>
      </c>
      <c r="F158" s="437">
        <f>$F$10*'D) Ecrêtage'!C152</f>
        <v>373227.02072069421</v>
      </c>
      <c r="G158" s="55">
        <f t="shared" si="2"/>
        <v>488615.67268868425</v>
      </c>
    </row>
    <row r="159" spans="1:7" x14ac:dyDescent="0.25">
      <c r="A159" s="49">
        <f>'A) Base RI'!A155</f>
        <v>5646</v>
      </c>
      <c r="B159" s="294" t="str">
        <f>'A) Base RI'!B155</f>
        <v>Saint-Prex</v>
      </c>
      <c r="C159" s="10">
        <f>'A) Base RI'!V155</f>
        <v>5684</v>
      </c>
      <c r="D159" s="437">
        <f>'C) Prél. conj.'!H153</f>
        <v>856776.40500000014</v>
      </c>
      <c r="E159" s="10">
        <f>'D) Ecrêtage'!M153</f>
        <v>3570803.9581702421</v>
      </c>
      <c r="F159" s="437">
        <f>$F$10*'D) Ecrêtage'!C153</f>
        <v>7111601.3696434293</v>
      </c>
      <c r="G159" s="55">
        <f t="shared" si="2"/>
        <v>11539181.732813671</v>
      </c>
    </row>
    <row r="160" spans="1:7" x14ac:dyDescent="0.25">
      <c r="A160" s="49">
        <f>'A) Base RI'!A156</f>
        <v>5648</v>
      </c>
      <c r="B160" s="294" t="str">
        <f>'A) Base RI'!B156</f>
        <v>Saint-Sulpice</v>
      </c>
      <c r="C160" s="10">
        <f>'A) Base RI'!V156</f>
        <v>4669</v>
      </c>
      <c r="D160" s="437">
        <f>'C) Prél. conj.'!H154</f>
        <v>1268000</v>
      </c>
      <c r="E160" s="10">
        <f>'D) Ecrêtage'!M154</f>
        <v>2509514.0061573251</v>
      </c>
      <c r="F160" s="437">
        <f>$F$10*'D) Ecrêtage'!C154</f>
        <v>5545050.7086648531</v>
      </c>
      <c r="G160" s="55">
        <f t="shared" si="2"/>
        <v>9322564.7148221787</v>
      </c>
    </row>
    <row r="161" spans="1:7" x14ac:dyDescent="0.25">
      <c r="A161" s="49">
        <f>'A) Base RI'!A157</f>
        <v>5649</v>
      </c>
      <c r="B161" s="294" t="str">
        <f>'A) Base RI'!B157</f>
        <v>Tolochenaz</v>
      </c>
      <c r="C161" s="10">
        <f>'A) Base RI'!V157</f>
        <v>1933</v>
      </c>
      <c r="D161" s="437">
        <f>'C) Prél. conj.'!H155</f>
        <v>157353.83000000002</v>
      </c>
      <c r="E161" s="10">
        <f>'D) Ecrêtage'!M155</f>
        <v>420708.14312664728</v>
      </c>
      <c r="F161" s="437">
        <f>$F$10*'D) Ecrêtage'!C155</f>
        <v>1755990.0287733281</v>
      </c>
      <c r="G161" s="55">
        <f t="shared" si="2"/>
        <v>2334052.0018999754</v>
      </c>
    </row>
    <row r="162" spans="1:7" x14ac:dyDescent="0.25">
      <c r="A162" s="49">
        <f>'A) Base RI'!A158</f>
        <v>5650</v>
      </c>
      <c r="B162" s="294" t="str">
        <f>'A) Base RI'!B158</f>
        <v>Vaux-sur-Morges</v>
      </c>
      <c r="C162" s="10">
        <f>'A) Base RI'!V158</f>
        <v>184</v>
      </c>
      <c r="D162" s="437">
        <f>'C) Prél. conj.'!H156</f>
        <v>0</v>
      </c>
      <c r="E162" s="10">
        <f>'D) Ecrêtage'!M156</f>
        <v>5771481.4098562049</v>
      </c>
      <c r="F162" s="437">
        <f>$F$10*'D) Ecrêtage'!C156</f>
        <v>2851273.464798328</v>
      </c>
      <c r="G162" s="55">
        <f t="shared" si="2"/>
        <v>8622754.8746545333</v>
      </c>
    </row>
    <row r="163" spans="1:7" x14ac:dyDescent="0.25">
      <c r="A163" s="49">
        <f>'A) Base RI'!A159</f>
        <v>5651</v>
      </c>
      <c r="B163" s="294" t="str">
        <f>'A) Base RI'!B159</f>
        <v>Villars-Sainte-Croix</v>
      </c>
      <c r="C163" s="10">
        <f>'A) Base RI'!V159</f>
        <v>963</v>
      </c>
      <c r="D163" s="437">
        <f>'C) Prél. conj.'!H157</f>
        <v>129760.60499999998</v>
      </c>
      <c r="E163" s="10">
        <f>'D) Ecrêtage'!M157</f>
        <v>84490.442921535752</v>
      </c>
      <c r="F163" s="437">
        <f>$F$10*'D) Ecrêtage'!C157</f>
        <v>775217.30634990148</v>
      </c>
      <c r="G163" s="55">
        <f t="shared" si="2"/>
        <v>989468.35427143727</v>
      </c>
    </row>
    <row r="164" spans="1:7" x14ac:dyDescent="0.25">
      <c r="A164" s="49">
        <f>'A) Base RI'!A160</f>
        <v>5652</v>
      </c>
      <c r="B164" s="294" t="str">
        <f>'A) Base RI'!B160</f>
        <v>Villars-sous-Yens</v>
      </c>
      <c r="C164" s="10">
        <f>'A) Base RI'!V160</f>
        <v>608</v>
      </c>
      <c r="D164" s="437">
        <f>'C) Prél. conj.'!H158</f>
        <v>31740.914999999997</v>
      </c>
      <c r="E164" s="10">
        <f>'D) Ecrêtage'!M158</f>
        <v>36655.384604399165</v>
      </c>
      <c r="F164" s="437">
        <f>$F$10*'D) Ecrêtage'!C158</f>
        <v>456953.2215544947</v>
      </c>
      <c r="G164" s="55">
        <f t="shared" si="2"/>
        <v>525349.52115889383</v>
      </c>
    </row>
    <row r="165" spans="1:7" x14ac:dyDescent="0.25">
      <c r="A165" s="49">
        <f>'A) Base RI'!A161</f>
        <v>5653</v>
      </c>
      <c r="B165" s="294" t="str">
        <f>'A) Base RI'!B161</f>
        <v>Vufflens-le-Château</v>
      </c>
      <c r="C165" s="10">
        <f>'A) Base RI'!V161</f>
        <v>886</v>
      </c>
      <c r="D165" s="437">
        <f>'C) Prél. conj.'!H159</f>
        <v>133744.76</v>
      </c>
      <c r="E165" s="10">
        <f>'D) Ecrêtage'!M159</f>
        <v>329192.84021913534</v>
      </c>
      <c r="F165" s="437">
        <f>$F$10*'D) Ecrêtage'!C159</f>
        <v>949304.53980528342</v>
      </c>
      <c r="G165" s="55">
        <f t="shared" si="2"/>
        <v>1412242.1400244189</v>
      </c>
    </row>
    <row r="166" spans="1:7" x14ac:dyDescent="0.25">
      <c r="A166" s="49">
        <f>'A) Base RI'!A162</f>
        <v>5654</v>
      </c>
      <c r="B166" s="294" t="str">
        <f>'A) Base RI'!B162</f>
        <v>Vullierens</v>
      </c>
      <c r="C166" s="10">
        <f>'A) Base RI'!V162</f>
        <v>507</v>
      </c>
      <c r="D166" s="437">
        <f>'C) Prél. conj.'!H160</f>
        <v>56886.400000000001</v>
      </c>
      <c r="E166" s="10">
        <f>'D) Ecrêtage'!M160</f>
        <v>0</v>
      </c>
      <c r="F166" s="437">
        <f>$F$10*'D) Ecrêtage'!C160</f>
        <v>294941.63986292144</v>
      </c>
      <c r="G166" s="55">
        <f t="shared" si="2"/>
        <v>351828.03986292146</v>
      </c>
    </row>
    <row r="167" spans="1:7" x14ac:dyDescent="0.25">
      <c r="A167" s="49">
        <f>'A) Base RI'!A163</f>
        <v>5655</v>
      </c>
      <c r="B167" s="294" t="str">
        <f>'A) Base RI'!B163</f>
        <v>Yens</v>
      </c>
      <c r="C167" s="10">
        <f>'A) Base RI'!V163</f>
        <v>1429</v>
      </c>
      <c r="D167" s="437">
        <f>'C) Prél. conj.'!H161</f>
        <v>146871.79500000001</v>
      </c>
      <c r="E167" s="10">
        <f>'D) Ecrêtage'!M161</f>
        <v>389199.81153012876</v>
      </c>
      <c r="F167" s="437">
        <f>$F$10*'D) Ecrêtage'!C161</f>
        <v>1326211.0261178943</v>
      </c>
      <c r="G167" s="55">
        <f t="shared" si="2"/>
        <v>1862282.6326480231</v>
      </c>
    </row>
    <row r="168" spans="1:7" x14ac:dyDescent="0.25">
      <c r="A168" s="49">
        <f>'A) Base RI'!A164</f>
        <v>5661</v>
      </c>
      <c r="B168" s="294" t="str">
        <f>'A) Base RI'!B164</f>
        <v>Boulens</v>
      </c>
      <c r="C168" s="10">
        <f>'A) Base RI'!V164</f>
        <v>384</v>
      </c>
      <c r="D168" s="437">
        <f>'C) Prél. conj.'!H162</f>
        <v>14764.560000000001</v>
      </c>
      <c r="E168" s="10">
        <f>'D) Ecrêtage'!M162</f>
        <v>0</v>
      </c>
      <c r="F168" s="437">
        <f>$F$10*'D) Ecrêtage'!C162</f>
        <v>157765.1939144317</v>
      </c>
      <c r="G168" s="55">
        <f t="shared" si="2"/>
        <v>172529.7539144317</v>
      </c>
    </row>
    <row r="169" spans="1:7" x14ac:dyDescent="0.25">
      <c r="A169" s="49">
        <f>'A) Base RI'!A165</f>
        <v>5663</v>
      </c>
      <c r="B169" s="294" t="str">
        <f>'A) Base RI'!B165</f>
        <v>Bussy-sur-Moudon</v>
      </c>
      <c r="C169" s="10">
        <f>'A) Base RI'!V165</f>
        <v>214</v>
      </c>
      <c r="D169" s="437">
        <f>'C) Prél. conj.'!H163</f>
        <v>7254</v>
      </c>
      <c r="E169" s="10">
        <f>'D) Ecrêtage'!M163</f>
        <v>0</v>
      </c>
      <c r="F169" s="437">
        <f>$F$10*'D) Ecrêtage'!C163</f>
        <v>81263.365356569033</v>
      </c>
      <c r="G169" s="55">
        <f t="shared" si="2"/>
        <v>88517.365356569033</v>
      </c>
    </row>
    <row r="170" spans="1:7" x14ac:dyDescent="0.25">
      <c r="A170" s="49">
        <f>'A) Base RI'!A166</f>
        <v>5665</v>
      </c>
      <c r="B170" s="294" t="str">
        <f>'A) Base RI'!B166</f>
        <v>Chavannes-sur-Moudon</v>
      </c>
      <c r="C170" s="10">
        <f>'A) Base RI'!V166</f>
        <v>216</v>
      </c>
      <c r="D170" s="437">
        <f>'C) Prél. conj.'!H164</f>
        <v>9612</v>
      </c>
      <c r="E170" s="10">
        <f>'D) Ecrêtage'!M164</f>
        <v>0</v>
      </c>
      <c r="F170" s="437">
        <f>$F$10*'D) Ecrêtage'!C164</f>
        <v>70968.348754171515</v>
      </c>
      <c r="G170" s="55">
        <f t="shared" si="2"/>
        <v>80580.348754171515</v>
      </c>
    </row>
    <row r="171" spans="1:7" x14ac:dyDescent="0.25">
      <c r="A171" s="49">
        <f>'A) Base RI'!A167</f>
        <v>5669</v>
      </c>
      <c r="B171" s="294" t="str">
        <f>'A) Base RI'!B167</f>
        <v>Curtilles</v>
      </c>
      <c r="C171" s="10">
        <f>'A) Base RI'!V167</f>
        <v>313</v>
      </c>
      <c r="D171" s="437">
        <f>'C) Prél. conj.'!H165</f>
        <v>11116.125</v>
      </c>
      <c r="E171" s="10">
        <f>'D) Ecrêtage'!M165</f>
        <v>0</v>
      </c>
      <c r="F171" s="437">
        <f>$F$10*'D) Ecrêtage'!C165</f>
        <v>119077.51456479335</v>
      </c>
      <c r="G171" s="55">
        <f t="shared" si="2"/>
        <v>130193.63956479335</v>
      </c>
    </row>
    <row r="172" spans="1:7" x14ac:dyDescent="0.25">
      <c r="A172" s="49">
        <f>'A) Base RI'!A168</f>
        <v>5671</v>
      </c>
      <c r="B172" s="294" t="str">
        <f>'A) Base RI'!B168</f>
        <v>Dompierre</v>
      </c>
      <c r="C172" s="10">
        <f>'A) Base RI'!V168</f>
        <v>239</v>
      </c>
      <c r="D172" s="437">
        <f>'C) Prél. conj.'!H166</f>
        <v>17243.875</v>
      </c>
      <c r="E172" s="10">
        <f>'D) Ecrêtage'!M166</f>
        <v>0</v>
      </c>
      <c r="F172" s="437">
        <f>$F$10*'D) Ecrêtage'!C166</f>
        <v>94076.447640627841</v>
      </c>
      <c r="G172" s="55">
        <f t="shared" si="2"/>
        <v>111320.32264062784</v>
      </c>
    </row>
    <row r="173" spans="1:7" x14ac:dyDescent="0.25">
      <c r="A173" s="49">
        <f>'A) Base RI'!A169</f>
        <v>5673</v>
      </c>
      <c r="B173" s="294" t="str">
        <f>'A) Base RI'!B169</f>
        <v>Hermenches</v>
      </c>
      <c r="C173" s="10">
        <f>'A) Base RI'!V169</f>
        <v>364</v>
      </c>
      <c r="D173" s="437">
        <f>'C) Prél. conj.'!H167</f>
        <v>12892.255000000001</v>
      </c>
      <c r="E173" s="10">
        <f>'D) Ecrêtage'!M167</f>
        <v>0</v>
      </c>
      <c r="F173" s="437">
        <f>$F$10*'D) Ecrêtage'!C167</f>
        <v>142876.8352244643</v>
      </c>
      <c r="G173" s="55">
        <f t="shared" si="2"/>
        <v>155769.09022446431</v>
      </c>
    </row>
    <row r="174" spans="1:7" x14ac:dyDescent="0.25">
      <c r="A174" s="49">
        <f>'A) Base RI'!A170</f>
        <v>5674</v>
      </c>
      <c r="B174" s="294" t="str">
        <f>'A) Base RI'!B170</f>
        <v>Lovatens</v>
      </c>
      <c r="C174" s="10">
        <f>'A) Base RI'!V170</f>
        <v>146</v>
      </c>
      <c r="D174" s="437">
        <f>'C) Prél. conj.'!H168</f>
        <v>13562.35</v>
      </c>
      <c r="E174" s="10">
        <f>'D) Ecrêtage'!M168</f>
        <v>0</v>
      </c>
      <c r="F174" s="437">
        <f>$F$10*'D) Ecrêtage'!C168</f>
        <v>50400.47954824326</v>
      </c>
      <c r="G174" s="55">
        <f t="shared" si="2"/>
        <v>63962.829548243259</v>
      </c>
    </row>
    <row r="175" spans="1:7" x14ac:dyDescent="0.25">
      <c r="A175" s="49">
        <f>'A) Base RI'!A171</f>
        <v>5675</v>
      </c>
      <c r="B175" s="294" t="str">
        <f>'A) Base RI'!B171</f>
        <v>Lucens</v>
      </c>
      <c r="C175" s="10">
        <f>'A) Base RI'!V171</f>
        <v>4199</v>
      </c>
      <c r="D175" s="437">
        <f>'C) Prél. conj.'!H169</f>
        <v>345167.41499999998</v>
      </c>
      <c r="E175" s="10">
        <f>'D) Ecrêtage'!M169</f>
        <v>0</v>
      </c>
      <c r="F175" s="437">
        <f>$F$10*'D) Ecrêtage'!C169</f>
        <v>1388527.5913004742</v>
      </c>
      <c r="G175" s="55">
        <f t="shared" si="2"/>
        <v>1733695.0063004743</v>
      </c>
    </row>
    <row r="176" spans="1:7" x14ac:dyDescent="0.25">
      <c r="A176" s="49">
        <f>'A) Base RI'!A172</f>
        <v>5678</v>
      </c>
      <c r="B176" s="294" t="str">
        <f>'A) Base RI'!B172</f>
        <v>Moudon</v>
      </c>
      <c r="C176" s="10">
        <f>'A) Base RI'!V172</f>
        <v>6135</v>
      </c>
      <c r="D176" s="437">
        <f>'C) Prél. conj.'!H170</f>
        <v>415489.21499999997</v>
      </c>
      <c r="E176" s="10">
        <f>'D) Ecrêtage'!M170</f>
        <v>0</v>
      </c>
      <c r="F176" s="437">
        <f>$F$10*'D) Ecrêtage'!C170</f>
        <v>1783001.8545902725</v>
      </c>
      <c r="G176" s="55">
        <f t="shared" si="2"/>
        <v>2198491.0695902724</v>
      </c>
    </row>
    <row r="177" spans="1:7" x14ac:dyDescent="0.25">
      <c r="A177" s="49">
        <f>'A) Base RI'!A173</f>
        <v>5680</v>
      </c>
      <c r="B177" s="294" t="str">
        <f>'A) Base RI'!B173</f>
        <v>Ogens</v>
      </c>
      <c r="C177" s="10">
        <f>'A) Base RI'!V173</f>
        <v>299</v>
      </c>
      <c r="D177" s="437">
        <f>'C) Prél. conj.'!H171</f>
        <v>28923.449999999997</v>
      </c>
      <c r="E177" s="10">
        <f>'D) Ecrêtage'!M171</f>
        <v>0</v>
      </c>
      <c r="F177" s="437">
        <f>$F$10*'D) Ecrêtage'!C171</f>
        <v>98969.646983954211</v>
      </c>
      <c r="G177" s="55">
        <f t="shared" si="2"/>
        <v>127893.09698395421</v>
      </c>
    </row>
    <row r="178" spans="1:7" x14ac:dyDescent="0.25">
      <c r="A178" s="49">
        <f>'A) Base RI'!A174</f>
        <v>5683</v>
      </c>
      <c r="B178" s="294" t="str">
        <f>'A) Base RI'!B174</f>
        <v>Prévonloup</v>
      </c>
      <c r="C178" s="10">
        <f>'A) Base RI'!V174</f>
        <v>184</v>
      </c>
      <c r="D178" s="437">
        <f>'C) Prél. conj.'!H172</f>
        <v>14205.75</v>
      </c>
      <c r="E178" s="10">
        <f>'D) Ecrêtage'!M172</f>
        <v>0</v>
      </c>
      <c r="F178" s="437">
        <f>$F$10*'D) Ecrêtage'!C172</f>
        <v>57605.76572497312</v>
      </c>
      <c r="G178" s="55">
        <f t="shared" si="2"/>
        <v>71811.515724973113</v>
      </c>
    </row>
    <row r="179" spans="1:7" x14ac:dyDescent="0.25">
      <c r="A179" s="49">
        <f>'A) Base RI'!A175</f>
        <v>5684</v>
      </c>
      <c r="B179" s="294" t="str">
        <f>'A) Base RI'!B175</f>
        <v>Rossenges</v>
      </c>
      <c r="C179" s="10">
        <f>'A) Base RI'!V175</f>
        <v>65</v>
      </c>
      <c r="D179" s="437">
        <f>'C) Prél. conj.'!H173</f>
        <v>5960.9</v>
      </c>
      <c r="E179" s="10">
        <f>'D) Ecrêtage'!M173</f>
        <v>0</v>
      </c>
      <c r="F179" s="437">
        <f>$F$10*'D) Ecrêtage'!C173</f>
        <v>30191.144962176048</v>
      </c>
      <c r="G179" s="55">
        <f t="shared" si="2"/>
        <v>36152.044962176049</v>
      </c>
    </row>
    <row r="180" spans="1:7" x14ac:dyDescent="0.25">
      <c r="A180" s="49">
        <f>'A) Base RI'!A176</f>
        <v>5688</v>
      </c>
      <c r="B180" s="294" t="str">
        <f>'A) Base RI'!B176</f>
        <v>Syens</v>
      </c>
      <c r="C180" s="10">
        <f>'A) Base RI'!V176</f>
        <v>159</v>
      </c>
      <c r="D180" s="437">
        <f>'C) Prél. conj.'!H174</f>
        <v>17696.375</v>
      </c>
      <c r="E180" s="10">
        <f>'D) Ecrêtage'!M174</f>
        <v>0</v>
      </c>
      <c r="F180" s="437">
        <f>$F$10*'D) Ecrêtage'!C174</f>
        <v>58018.751077520807</v>
      </c>
      <c r="G180" s="55">
        <f t="shared" si="2"/>
        <v>75715.126077520807</v>
      </c>
    </row>
    <row r="181" spans="1:7" x14ac:dyDescent="0.25">
      <c r="A181" s="49">
        <f>'A) Base RI'!A177</f>
        <v>5690</v>
      </c>
      <c r="B181" s="294" t="str">
        <f>'A) Base RI'!B177</f>
        <v>Villars-le-Comte</v>
      </c>
      <c r="C181" s="10">
        <f>'A) Base RI'!V177</f>
        <v>132</v>
      </c>
      <c r="D181" s="437">
        <f>'C) Prél. conj.'!H175</f>
        <v>5113.4250000000002</v>
      </c>
      <c r="E181" s="10">
        <f>'D) Ecrêtage'!M175</f>
        <v>0</v>
      </c>
      <c r="F181" s="437">
        <f>$F$10*'D) Ecrêtage'!C175</f>
        <v>62644.494052899623</v>
      </c>
      <c r="G181" s="55">
        <f t="shared" si="2"/>
        <v>67757.919052899626</v>
      </c>
    </row>
    <row r="182" spans="1:7" x14ac:dyDescent="0.25">
      <c r="A182" s="49">
        <f>'A) Base RI'!A178</f>
        <v>5692</v>
      </c>
      <c r="B182" s="294" t="str">
        <f>'A) Base RI'!B178</f>
        <v>Vucherens</v>
      </c>
      <c r="C182" s="10">
        <f>'A) Base RI'!V178</f>
        <v>577</v>
      </c>
      <c r="D182" s="437">
        <f>'C) Prél. conj.'!H176</f>
        <v>78868.100000000006</v>
      </c>
      <c r="E182" s="10">
        <f>'D) Ecrêtage'!M176</f>
        <v>0</v>
      </c>
      <c r="F182" s="437">
        <f>$F$10*'D) Ecrêtage'!C176</f>
        <v>249260.51660888959</v>
      </c>
      <c r="G182" s="55">
        <f t="shared" si="2"/>
        <v>328128.6166088896</v>
      </c>
    </row>
    <row r="183" spans="1:7" x14ac:dyDescent="0.25">
      <c r="A183" s="49">
        <f>'A) Base RI'!A179</f>
        <v>5693</v>
      </c>
      <c r="B183" s="294" t="str">
        <f>'A) Base RI'!B179</f>
        <v>Montanaire</v>
      </c>
      <c r="C183" s="10">
        <f>'A) Base RI'!V179</f>
        <v>2685</v>
      </c>
      <c r="D183" s="437">
        <f>'C) Prél. conj.'!H177</f>
        <v>169831.68000000002</v>
      </c>
      <c r="E183" s="10">
        <f>'D) Ecrêtage'!M177</f>
        <v>0</v>
      </c>
      <c r="F183" s="437">
        <f>$F$10*'D) Ecrêtage'!C177</f>
        <v>1065772.6479965213</v>
      </c>
      <c r="G183" s="55">
        <f t="shared" si="2"/>
        <v>1235604.3279965213</v>
      </c>
    </row>
    <row r="184" spans="1:7" x14ac:dyDescent="0.25">
      <c r="A184" s="49">
        <f>'A) Base RI'!A180</f>
        <v>5701</v>
      </c>
      <c r="B184" s="294" t="str">
        <f>'A) Base RI'!B180</f>
        <v>Arnex-sur-Nyon</v>
      </c>
      <c r="C184" s="10">
        <f>'A) Base RI'!V180</f>
        <v>235</v>
      </c>
      <c r="D184" s="437">
        <f>'C) Prél. conj.'!H178</f>
        <v>74835.95</v>
      </c>
      <c r="E184" s="10">
        <f>'D) Ecrêtage'!M178</f>
        <v>47416.575060549403</v>
      </c>
      <c r="F184" s="437">
        <f>$F$10*'D) Ecrêtage'!C178</f>
        <v>207858.54861964029</v>
      </c>
      <c r="G184" s="55">
        <f t="shared" si="2"/>
        <v>330111.07368018973</v>
      </c>
    </row>
    <row r="185" spans="1:7" x14ac:dyDescent="0.25">
      <c r="A185" s="49">
        <f>'A) Base RI'!A181</f>
        <v>5702</v>
      </c>
      <c r="B185" s="294" t="str">
        <f>'A) Base RI'!B181</f>
        <v>Arzier-Le Muids</v>
      </c>
      <c r="C185" s="10">
        <f>'A) Base RI'!V181</f>
        <v>2697</v>
      </c>
      <c r="D185" s="437">
        <f>'C) Prél. conj.'!H179</f>
        <v>674844.65</v>
      </c>
      <c r="E185" s="10">
        <f>'D) Ecrêtage'!M179</f>
        <v>906888.96802761883</v>
      </c>
      <c r="F185" s="437">
        <f>$F$10*'D) Ecrêtage'!C179</f>
        <v>2713919.9026106633</v>
      </c>
      <c r="G185" s="55">
        <f t="shared" si="2"/>
        <v>4295653.5206382824</v>
      </c>
    </row>
    <row r="186" spans="1:7" x14ac:dyDescent="0.25">
      <c r="A186" s="49">
        <f>'A) Base RI'!A182</f>
        <v>5703</v>
      </c>
      <c r="B186" s="294" t="str">
        <f>'A) Base RI'!B182</f>
        <v>Bassins</v>
      </c>
      <c r="C186" s="10">
        <f>'A) Base RI'!V182</f>
        <v>1347</v>
      </c>
      <c r="D186" s="437">
        <f>'C) Prél. conj.'!H180</f>
        <v>196930.23499999999</v>
      </c>
      <c r="E186" s="10">
        <f>'D) Ecrêtage'!M180</f>
        <v>0</v>
      </c>
      <c r="F186" s="437">
        <f>$F$10*'D) Ecrêtage'!C180</f>
        <v>851829.05930253211</v>
      </c>
      <c r="G186" s="55">
        <f t="shared" si="2"/>
        <v>1048759.294302532</v>
      </c>
    </row>
    <row r="187" spans="1:7" x14ac:dyDescent="0.25">
      <c r="A187" s="49">
        <f>'A) Base RI'!A183</f>
        <v>5704</v>
      </c>
      <c r="B187" s="294" t="str">
        <f>'A) Base RI'!B183</f>
        <v>Begnins</v>
      </c>
      <c r="C187" s="10">
        <f>'A) Base RI'!V183</f>
        <v>1952</v>
      </c>
      <c r="D187" s="437">
        <f>'C) Prél. conj.'!H181</f>
        <v>618829.6</v>
      </c>
      <c r="E187" s="10">
        <f>'D) Ecrêtage'!M181</f>
        <v>558779.44936669862</v>
      </c>
      <c r="F187" s="437">
        <f>$F$10*'D) Ecrêtage'!C181</f>
        <v>1885946.835572368</v>
      </c>
      <c r="G187" s="55">
        <f t="shared" si="2"/>
        <v>3063555.8849390666</v>
      </c>
    </row>
    <row r="188" spans="1:7" x14ac:dyDescent="0.25">
      <c r="A188" s="49">
        <f>'A) Base RI'!A184</f>
        <v>5705</v>
      </c>
      <c r="B188" s="294" t="str">
        <f>'A) Base RI'!B184</f>
        <v>Bogis-Bossey</v>
      </c>
      <c r="C188" s="10">
        <f>'A) Base RI'!V184</f>
        <v>867</v>
      </c>
      <c r="D188" s="437">
        <f>'C) Prél. conj.'!H182</f>
        <v>175845.12</v>
      </c>
      <c r="E188" s="10">
        <f>'D) Ecrêtage'!M182</f>
        <v>165954.16734800555</v>
      </c>
      <c r="F188" s="437">
        <f>$F$10*'D) Ecrêtage'!C182</f>
        <v>760276.49334454304</v>
      </c>
      <c r="G188" s="55">
        <f t="shared" si="2"/>
        <v>1102075.7806925485</v>
      </c>
    </row>
    <row r="189" spans="1:7" x14ac:dyDescent="0.25">
      <c r="A189" s="49">
        <f>'A) Base RI'!A185</f>
        <v>5706</v>
      </c>
      <c r="B189" s="294" t="str">
        <f>'A) Base RI'!B185</f>
        <v>Borex</v>
      </c>
      <c r="C189" s="10">
        <f>'A) Base RI'!V185</f>
        <v>1140</v>
      </c>
      <c r="D189" s="437">
        <f>'C) Prél. conj.'!H183</f>
        <v>137600.52999999997</v>
      </c>
      <c r="E189" s="10">
        <f>'D) Ecrêtage'!M183</f>
        <v>283744.83181304613</v>
      </c>
      <c r="F189" s="437">
        <f>$F$10*'D) Ecrêtage'!C183</f>
        <v>1090802.9140429695</v>
      </c>
      <c r="G189" s="55">
        <f t="shared" si="2"/>
        <v>1512148.2758560157</v>
      </c>
    </row>
    <row r="190" spans="1:7" x14ac:dyDescent="0.25">
      <c r="A190" s="49">
        <f>'A) Base RI'!A186</f>
        <v>5707</v>
      </c>
      <c r="B190" s="294" t="str">
        <f>'A) Base RI'!B186</f>
        <v>Chavannes-de-Bogis</v>
      </c>
      <c r="C190" s="10">
        <f>'A) Base RI'!V186</f>
        <v>1281</v>
      </c>
      <c r="D190" s="437">
        <f>'C) Prél. conj.'!H184</f>
        <v>440259.79499999998</v>
      </c>
      <c r="E190" s="10">
        <f>'D) Ecrêtage'!M184</f>
        <v>242993.08714458114</v>
      </c>
      <c r="F190" s="437">
        <f>$F$10*'D) Ecrêtage'!C184</f>
        <v>1154927.8103737561</v>
      </c>
      <c r="G190" s="55">
        <f t="shared" si="2"/>
        <v>1838180.6925183372</v>
      </c>
    </row>
    <row r="191" spans="1:7" x14ac:dyDescent="0.25">
      <c r="A191" s="49">
        <f>'A) Base RI'!A187</f>
        <v>5708</v>
      </c>
      <c r="B191" s="294" t="str">
        <f>'A) Base RI'!B187</f>
        <v>Chavannes-des-Bois</v>
      </c>
      <c r="C191" s="10">
        <f>'A) Base RI'!V187</f>
        <v>964</v>
      </c>
      <c r="D191" s="437">
        <f>'C) Prél. conj.'!H185</f>
        <v>171514.47500000001</v>
      </c>
      <c r="E191" s="10">
        <f>'D) Ecrêtage'!M185</f>
        <v>206984.36294839653</v>
      </c>
      <c r="F191" s="437">
        <f>$F$10*'D) Ecrêtage'!C185</f>
        <v>878682.49349758844</v>
      </c>
      <c r="G191" s="55">
        <f t="shared" si="2"/>
        <v>1257181.331445985</v>
      </c>
    </row>
    <row r="192" spans="1:7" x14ac:dyDescent="0.25">
      <c r="A192" s="49">
        <f>'A) Base RI'!A188</f>
        <v>5709</v>
      </c>
      <c r="B192" s="294" t="str">
        <f>'A) Base RI'!B188</f>
        <v>Chéserex</v>
      </c>
      <c r="C192" s="10">
        <f>'A) Base RI'!V188</f>
        <v>1227</v>
      </c>
      <c r="D192" s="437">
        <f>'C) Prél. conj.'!H186</f>
        <v>192234.30500000002</v>
      </c>
      <c r="E192" s="10">
        <f>'D) Ecrêtage'!M186</f>
        <v>945974.01055945479</v>
      </c>
      <c r="F192" s="437">
        <f>$F$10*'D) Ecrêtage'!C186</f>
        <v>1634567.2540678452</v>
      </c>
      <c r="G192" s="55">
        <f t="shared" si="2"/>
        <v>2772775.5696272999</v>
      </c>
    </row>
    <row r="193" spans="1:7" x14ac:dyDescent="0.25">
      <c r="A193" s="49">
        <f>'A) Base RI'!A189</f>
        <v>5710</v>
      </c>
      <c r="B193" s="294" t="str">
        <f>'A) Base RI'!B189</f>
        <v>Coinsins</v>
      </c>
      <c r="C193" s="10">
        <f>'A) Base RI'!V189</f>
        <v>499</v>
      </c>
      <c r="D193" s="437">
        <f>'C) Prél. conj.'!H187</f>
        <v>60396.235000000001</v>
      </c>
      <c r="E193" s="10">
        <f>'D) Ecrêtage'!M187</f>
        <v>3058443.7382943719</v>
      </c>
      <c r="F193" s="437">
        <f>$F$10*'D) Ecrêtage'!C187</f>
        <v>2096591.9483829583</v>
      </c>
      <c r="G193" s="55">
        <f t="shared" si="2"/>
        <v>5215431.9216773305</v>
      </c>
    </row>
    <row r="194" spans="1:7" x14ac:dyDescent="0.25">
      <c r="A194" s="49">
        <f>'A) Base RI'!A190</f>
        <v>5711</v>
      </c>
      <c r="B194" s="294" t="str">
        <f>'A) Base RI'!B190</f>
        <v>Commugny</v>
      </c>
      <c r="C194" s="10">
        <f>'A) Base RI'!V190</f>
        <v>2877</v>
      </c>
      <c r="D194" s="437">
        <f>'C) Prél. conj.'!H188</f>
        <v>670090.41500000004</v>
      </c>
      <c r="E194" s="10">
        <f>'D) Ecrêtage'!M188</f>
        <v>2989626.1150232311</v>
      </c>
      <c r="F194" s="437">
        <f>$F$10*'D) Ecrêtage'!C188</f>
        <v>4277717.9920559516</v>
      </c>
      <c r="G194" s="55">
        <f t="shared" si="2"/>
        <v>7937434.5220791828</v>
      </c>
    </row>
    <row r="195" spans="1:7" x14ac:dyDescent="0.25">
      <c r="A195" s="49">
        <f>'A) Base RI'!A191</f>
        <v>5712</v>
      </c>
      <c r="B195" s="294" t="str">
        <f>'A) Base RI'!B191</f>
        <v>Coppet</v>
      </c>
      <c r="C195" s="10">
        <f>'A) Base RI'!V191</f>
        <v>3126</v>
      </c>
      <c r="D195" s="437">
        <f>'C) Prél. conj.'!H189</f>
        <v>1965631.5150000001</v>
      </c>
      <c r="E195" s="10">
        <f>'D) Ecrêtage'!M189</f>
        <v>3968865.2450609962</v>
      </c>
      <c r="F195" s="437">
        <f>$F$10*'D) Ecrêtage'!C189</f>
        <v>5199250.2538542431</v>
      </c>
      <c r="G195" s="55">
        <f t="shared" si="2"/>
        <v>11133747.013915241</v>
      </c>
    </row>
    <row r="196" spans="1:7" x14ac:dyDescent="0.25">
      <c r="A196" s="49">
        <f>'A) Base RI'!A192</f>
        <v>5713</v>
      </c>
      <c r="B196" s="294" t="str">
        <f>'A) Base RI'!B192</f>
        <v>Crans-près-Céligny</v>
      </c>
      <c r="C196" s="10">
        <f>'A) Base RI'!V192</f>
        <v>2193</v>
      </c>
      <c r="D196" s="437">
        <f>'C) Prél. conj.'!H190</f>
        <v>686731.45499999996</v>
      </c>
      <c r="E196" s="10">
        <f>'D) Ecrêtage'!M190</f>
        <v>3748004.2014455334</v>
      </c>
      <c r="F196" s="437">
        <f>$F$10*'D) Ecrêtage'!C190</f>
        <v>4207629.1647080053</v>
      </c>
      <c r="G196" s="55">
        <f t="shared" si="2"/>
        <v>8642364.8211535383</v>
      </c>
    </row>
    <row r="197" spans="1:7" x14ac:dyDescent="0.25">
      <c r="A197" s="49">
        <f>'A) Base RI'!A193</f>
        <v>5714</v>
      </c>
      <c r="B197" s="294" t="str">
        <f>'A) Base RI'!B193</f>
        <v>Crassier</v>
      </c>
      <c r="C197" s="10">
        <f>'A) Base RI'!V193</f>
        <v>1175</v>
      </c>
      <c r="D197" s="437">
        <f>'C) Prél. conj.'!H191</f>
        <v>163492.89000000001</v>
      </c>
      <c r="E197" s="10">
        <f>'D) Ecrêtage'!M191</f>
        <v>351034.56451032864</v>
      </c>
      <c r="F197" s="437">
        <f>$F$10*'D) Ecrêtage'!C191</f>
        <v>1147016.1356287864</v>
      </c>
      <c r="G197" s="55">
        <f t="shared" si="2"/>
        <v>1661543.5901391152</v>
      </c>
    </row>
    <row r="198" spans="1:7" x14ac:dyDescent="0.25">
      <c r="A198" s="49">
        <f>'A) Base RI'!A194</f>
        <v>5715</v>
      </c>
      <c r="B198" s="294" t="str">
        <f>'A) Base RI'!B194</f>
        <v>Duillier</v>
      </c>
      <c r="C198" s="10">
        <f>'A) Base RI'!V194</f>
        <v>1085</v>
      </c>
      <c r="D198" s="437">
        <f>'C) Prél. conj.'!H192</f>
        <v>295847.63500000001</v>
      </c>
      <c r="E198" s="10">
        <f>'D) Ecrêtage'!M192</f>
        <v>538820.7734310322</v>
      </c>
      <c r="F198" s="437">
        <f>$F$10*'D) Ecrêtage'!C192</f>
        <v>1194650.8547813031</v>
      </c>
      <c r="G198" s="55">
        <f t="shared" si="2"/>
        <v>2029319.2632123353</v>
      </c>
    </row>
    <row r="199" spans="1:7" x14ac:dyDescent="0.25">
      <c r="A199" s="49">
        <f>'A) Base RI'!A195</f>
        <v>5716</v>
      </c>
      <c r="B199" s="294" t="str">
        <f>'A) Base RI'!B195</f>
        <v>Eysins</v>
      </c>
      <c r="C199" s="10">
        <f>'A) Base RI'!V195</f>
        <v>1618</v>
      </c>
      <c r="D199" s="437">
        <f>'C) Prél. conj.'!H193</f>
        <v>445836.69999999995</v>
      </c>
      <c r="E199" s="10">
        <f>'D) Ecrêtage'!M193</f>
        <v>2464251.7438225145</v>
      </c>
      <c r="F199" s="437">
        <f>$F$10*'D) Ecrêtage'!C193</f>
        <v>2741561.8856035466</v>
      </c>
      <c r="G199" s="55">
        <f t="shared" si="2"/>
        <v>5651650.3294260614</v>
      </c>
    </row>
    <row r="200" spans="1:7" x14ac:dyDescent="0.25">
      <c r="A200" s="49">
        <f>'A) Base RI'!A196</f>
        <v>5717</v>
      </c>
      <c r="B200" s="294" t="str">
        <f>'A) Base RI'!B196</f>
        <v>Founex</v>
      </c>
      <c r="C200" s="10">
        <f>'A) Base RI'!V196</f>
        <v>3790</v>
      </c>
      <c r="D200" s="437">
        <f>'C) Prél. conj.'!H194</f>
        <v>609571.96499999997</v>
      </c>
      <c r="E200" s="10">
        <f>'D) Ecrêtage'!M194</f>
        <v>4134680.109133306</v>
      </c>
      <c r="F200" s="437">
        <f>$F$10*'D) Ecrêtage'!C194</f>
        <v>5741330.6473006066</v>
      </c>
      <c r="G200" s="55">
        <f t="shared" si="2"/>
        <v>10485582.721433911</v>
      </c>
    </row>
    <row r="201" spans="1:7" x14ac:dyDescent="0.25">
      <c r="A201" s="49">
        <f>'A) Base RI'!A197</f>
        <v>5718</v>
      </c>
      <c r="B201" s="294" t="str">
        <f>'A) Base RI'!B197</f>
        <v>Genolier</v>
      </c>
      <c r="C201" s="10">
        <f>'A) Base RI'!V197</f>
        <v>1961</v>
      </c>
      <c r="D201" s="437">
        <f>'C) Prél. conj.'!H195</f>
        <v>743101.55500000005</v>
      </c>
      <c r="E201" s="10">
        <f>'D) Ecrêtage'!M195</f>
        <v>1482381.602787781</v>
      </c>
      <c r="F201" s="437">
        <f>$F$10*'D) Ecrêtage'!C195</f>
        <v>2628877.6772797718</v>
      </c>
      <c r="G201" s="55">
        <f t="shared" si="2"/>
        <v>4854360.8350675534</v>
      </c>
    </row>
    <row r="202" spans="1:7" x14ac:dyDescent="0.25">
      <c r="A202" s="49">
        <f>'A) Base RI'!A198</f>
        <v>5719</v>
      </c>
      <c r="B202" s="294" t="str">
        <f>'A) Base RI'!B198</f>
        <v>Gingins</v>
      </c>
      <c r="C202" s="10">
        <f>'A) Base RI'!V198</f>
        <v>1226</v>
      </c>
      <c r="D202" s="437">
        <f>'C) Prél. conj.'!H196</f>
        <v>457201.44500000001</v>
      </c>
      <c r="E202" s="10">
        <f>'D) Ecrêtage'!M196</f>
        <v>1050646.3887686287</v>
      </c>
      <c r="F202" s="437">
        <f>$F$10*'D) Ecrêtage'!C196</f>
        <v>1702185.1627011118</v>
      </c>
      <c r="G202" s="55">
        <f t="shared" si="2"/>
        <v>3210032.9964697403</v>
      </c>
    </row>
    <row r="203" spans="1:7" x14ac:dyDescent="0.25">
      <c r="A203" s="49">
        <f>'A) Base RI'!A199</f>
        <v>5720</v>
      </c>
      <c r="B203" s="294" t="str">
        <f>'A) Base RI'!B199</f>
        <v>Givrins</v>
      </c>
      <c r="C203" s="10">
        <f>'A) Base RI'!V199</f>
        <v>1033</v>
      </c>
      <c r="D203" s="437">
        <f>'C) Prél. conj.'!H197</f>
        <v>162920.58499999999</v>
      </c>
      <c r="E203" s="10">
        <f>'D) Ecrêtage'!M197</f>
        <v>353533.43977140292</v>
      </c>
      <c r="F203" s="437">
        <f>$F$10*'D) Ecrêtage'!C197</f>
        <v>1031737.6184446508</v>
      </c>
      <c r="G203" s="55">
        <f t="shared" si="2"/>
        <v>1548191.6432160537</v>
      </c>
    </row>
    <row r="204" spans="1:7" x14ac:dyDescent="0.25">
      <c r="A204" s="49">
        <f>'A) Base RI'!A200</f>
        <v>5721</v>
      </c>
      <c r="B204" s="294" t="str">
        <f>'A) Base RI'!B200</f>
        <v>Gland</v>
      </c>
      <c r="C204" s="10">
        <f>'A) Base RI'!V200</f>
        <v>13101</v>
      </c>
      <c r="D204" s="437">
        <f>'C) Prél. conj.'!H198</f>
        <v>2085207.385</v>
      </c>
      <c r="E204" s="10">
        <f>'D) Ecrêtage'!M198</f>
        <v>610794.86394655565</v>
      </c>
      <c r="F204" s="437">
        <f>$F$10*'D) Ecrêtage'!C198</f>
        <v>9798546.0812051222</v>
      </c>
      <c r="G204" s="55">
        <f t="shared" ref="G204:G267" si="3">D204+F204+E204</f>
        <v>12494548.330151677</v>
      </c>
    </row>
    <row r="205" spans="1:7" x14ac:dyDescent="0.25">
      <c r="A205" s="49">
        <f>'A) Base RI'!A201</f>
        <v>5722</v>
      </c>
      <c r="B205" s="294" t="str">
        <f>'A) Base RI'!B201</f>
        <v>Grens</v>
      </c>
      <c r="C205" s="10">
        <f>'A) Base RI'!V201</f>
        <v>391</v>
      </c>
      <c r="D205" s="437">
        <f>'C) Prél. conj.'!H199</f>
        <v>15397.595000000001</v>
      </c>
      <c r="E205" s="10">
        <f>'D) Ecrêtage'!M199</f>
        <v>62621.129126367072</v>
      </c>
      <c r="F205" s="437">
        <f>$F$10*'D) Ecrêtage'!C199</f>
        <v>339832.49361525063</v>
      </c>
      <c r="G205" s="55">
        <f t="shared" si="3"/>
        <v>417851.2177416177</v>
      </c>
    </row>
    <row r="206" spans="1:7" x14ac:dyDescent="0.25">
      <c r="A206" s="49">
        <f>'A) Base RI'!A202</f>
        <v>5723</v>
      </c>
      <c r="B206" s="294" t="str">
        <f>'A) Base RI'!B202</f>
        <v>Mies</v>
      </c>
      <c r="C206" s="10">
        <f>'A) Base RI'!V202</f>
        <v>2075</v>
      </c>
      <c r="D206" s="437">
        <f>'C) Prél. conj.'!H200</f>
        <v>847447.18500000006</v>
      </c>
      <c r="E206" s="10">
        <f>'D) Ecrêtage'!M200</f>
        <v>10536455.628733786</v>
      </c>
      <c r="F206" s="437">
        <f>$F$10*'D) Ecrêtage'!C200</f>
        <v>7836632.0241856845</v>
      </c>
      <c r="G206" s="55">
        <f t="shared" si="3"/>
        <v>19220534.83791947</v>
      </c>
    </row>
    <row r="207" spans="1:7" x14ac:dyDescent="0.25">
      <c r="A207" s="49">
        <f>'A) Base RI'!A203</f>
        <v>5724</v>
      </c>
      <c r="B207" s="294" t="str">
        <f>'A) Base RI'!B203</f>
        <v>Nyon</v>
      </c>
      <c r="C207" s="10">
        <f>'A) Base RI'!V203</f>
        <v>21239</v>
      </c>
      <c r="D207" s="437">
        <f>'C) Prél. conj.'!H201</f>
        <v>5798147.5199999996</v>
      </c>
      <c r="E207" s="10">
        <f>'D) Ecrêtage'!M201</f>
        <v>4925148.0985395759</v>
      </c>
      <c r="F207" s="437">
        <f>$F$10*'D) Ecrêtage'!C201</f>
        <v>19788221.838419411</v>
      </c>
      <c r="G207" s="55">
        <f t="shared" si="3"/>
        <v>30511517.456958987</v>
      </c>
    </row>
    <row r="208" spans="1:7" x14ac:dyDescent="0.25">
      <c r="A208" s="49">
        <f>'A) Base RI'!A204</f>
        <v>5725</v>
      </c>
      <c r="B208" s="294" t="str">
        <f>'A) Base RI'!B204</f>
        <v>Prangins</v>
      </c>
      <c r="C208" s="10">
        <f>'A) Base RI'!V204</f>
        <v>4040</v>
      </c>
      <c r="D208" s="437">
        <f>'C) Prél. conj.'!H202</f>
        <v>1434480.3599999999</v>
      </c>
      <c r="E208" s="10">
        <f>'D) Ecrêtage'!M202</f>
        <v>2657507.4333857098</v>
      </c>
      <c r="F208" s="437">
        <f>$F$10*'D) Ecrêtage'!C202</f>
        <v>5105133.2982408237</v>
      </c>
      <c r="G208" s="55">
        <f t="shared" si="3"/>
        <v>9197121.0916265324</v>
      </c>
    </row>
    <row r="209" spans="1:7" x14ac:dyDescent="0.25">
      <c r="A209" s="49">
        <f>'A) Base RI'!A205</f>
        <v>5726</v>
      </c>
      <c r="B209" s="294" t="str">
        <f>'A) Base RI'!B205</f>
        <v>La Rippe</v>
      </c>
      <c r="C209" s="10">
        <f>'A) Base RI'!V205</f>
        <v>1161</v>
      </c>
      <c r="D209" s="437">
        <f>'C) Prél. conj.'!H203</f>
        <v>58305.35</v>
      </c>
      <c r="E209" s="10">
        <f>'D) Ecrêtage'!M203</f>
        <v>100534.59046469923</v>
      </c>
      <c r="F209" s="437">
        <f>$F$10*'D) Ecrêtage'!C203</f>
        <v>920760.41796411457</v>
      </c>
      <c r="G209" s="55">
        <f t="shared" si="3"/>
        <v>1079600.3584288137</v>
      </c>
    </row>
    <row r="210" spans="1:7" x14ac:dyDescent="0.25">
      <c r="A210" s="49">
        <f>'A) Base RI'!A206</f>
        <v>5727</v>
      </c>
      <c r="B210" s="294" t="str">
        <f>'A) Base RI'!B206</f>
        <v>Saint-Cergue</v>
      </c>
      <c r="C210" s="10">
        <f>'A) Base RI'!V206</f>
        <v>2583</v>
      </c>
      <c r="D210" s="437">
        <f>'C) Prél. conj.'!H204</f>
        <v>310933.39</v>
      </c>
      <c r="E210" s="10">
        <f>'D) Ecrêtage'!M204</f>
        <v>0</v>
      </c>
      <c r="F210" s="437">
        <f>$F$10*'D) Ecrêtage'!C204</f>
        <v>1306804.9326378023</v>
      </c>
      <c r="G210" s="55">
        <f t="shared" si="3"/>
        <v>1617738.3226378025</v>
      </c>
    </row>
    <row r="211" spans="1:7" x14ac:dyDescent="0.25">
      <c r="A211" s="49">
        <f>'A) Base RI'!A207</f>
        <v>5728</v>
      </c>
      <c r="B211" s="294" t="str">
        <f>'A) Base RI'!B207</f>
        <v>Signy-Avenex</v>
      </c>
      <c r="C211" s="10">
        <f>'A) Base RI'!V207</f>
        <v>592</v>
      </c>
      <c r="D211" s="437">
        <f>'C) Prél. conj.'!H205</f>
        <v>165818.345</v>
      </c>
      <c r="E211" s="10">
        <f>'D) Ecrêtage'!M205</f>
        <v>289109.60237043636</v>
      </c>
      <c r="F211" s="437">
        <f>$F$10*'D) Ecrêtage'!C205</f>
        <v>672246.02334582701</v>
      </c>
      <c r="G211" s="55">
        <f t="shared" si="3"/>
        <v>1127173.9707162634</v>
      </c>
    </row>
    <row r="212" spans="1:7" x14ac:dyDescent="0.25">
      <c r="A212" s="49">
        <f>'A) Base RI'!A208</f>
        <v>5729</v>
      </c>
      <c r="B212" s="294" t="str">
        <f>'A) Base RI'!B208</f>
        <v>Tannay</v>
      </c>
      <c r="C212" s="10">
        <f>'A) Base RI'!V208</f>
        <v>1593</v>
      </c>
      <c r="D212" s="437">
        <f>'C) Prél. conj.'!H206</f>
        <v>269559.40000000002</v>
      </c>
      <c r="E212" s="10">
        <f>'D) Ecrêtage'!M206</f>
        <v>1388017.3684975689</v>
      </c>
      <c r="F212" s="437">
        <f>$F$10*'D) Ecrêtage'!C206</f>
        <v>2168656.4981280449</v>
      </c>
      <c r="G212" s="55">
        <f t="shared" si="3"/>
        <v>3826233.2666256139</v>
      </c>
    </row>
    <row r="213" spans="1:7" x14ac:dyDescent="0.25">
      <c r="A213" s="49">
        <f>'A) Base RI'!A209</f>
        <v>5730</v>
      </c>
      <c r="B213" s="294" t="str">
        <f>'A) Base RI'!B209</f>
        <v>Trélex</v>
      </c>
      <c r="C213" s="10">
        <f>'A) Base RI'!V209</f>
        <v>1408</v>
      </c>
      <c r="D213" s="437">
        <f>'C) Prél. conj.'!H207</f>
        <v>274987.55499999999</v>
      </c>
      <c r="E213" s="10">
        <f>'D) Ecrêtage'!M207</f>
        <v>2132150.0844313288</v>
      </c>
      <c r="F213" s="437">
        <f>$F$10*'D) Ecrêtage'!C207</f>
        <v>2455105.599063369</v>
      </c>
      <c r="G213" s="55">
        <f t="shared" si="3"/>
        <v>4862243.238494698</v>
      </c>
    </row>
    <row r="214" spans="1:7" x14ac:dyDescent="0.25">
      <c r="A214" s="49">
        <f>'A) Base RI'!A210</f>
        <v>5731</v>
      </c>
      <c r="B214" s="294" t="str">
        <f>'A) Base RI'!B210</f>
        <v>Le Vaud</v>
      </c>
      <c r="C214" s="10">
        <f>'A) Base RI'!V210</f>
        <v>1319</v>
      </c>
      <c r="D214" s="437">
        <f>'C) Prél. conj.'!H208</f>
        <v>371887.07000000007</v>
      </c>
      <c r="E214" s="10">
        <f>'D) Ecrêtage'!M208</f>
        <v>0</v>
      </c>
      <c r="F214" s="437">
        <f>$F$10*'D) Ecrêtage'!C208</f>
        <v>813111.27319156821</v>
      </c>
      <c r="G214" s="55">
        <f t="shared" si="3"/>
        <v>1184998.3431915683</v>
      </c>
    </row>
    <row r="215" spans="1:7" x14ac:dyDescent="0.25">
      <c r="A215" s="49">
        <f>'A) Base RI'!A211</f>
        <v>5732</v>
      </c>
      <c r="B215" s="294" t="str">
        <f>'A) Base RI'!B211</f>
        <v>Vich</v>
      </c>
      <c r="C215" s="10">
        <f>'A) Base RI'!V211</f>
        <v>1039</v>
      </c>
      <c r="D215" s="437">
        <f>'C) Prél. conj.'!H209</f>
        <v>402859.76</v>
      </c>
      <c r="E215" s="10">
        <f>'D) Ecrêtage'!M209</f>
        <v>281414.58601804217</v>
      </c>
      <c r="F215" s="437">
        <f>$F$10*'D) Ecrêtage'!C209</f>
        <v>980888.47063494858</v>
      </c>
      <c r="G215" s="55">
        <f t="shared" si="3"/>
        <v>1665162.8166529909</v>
      </c>
    </row>
    <row r="216" spans="1:7" x14ac:dyDescent="0.25">
      <c r="A216" s="49">
        <f>'A) Base RI'!A212</f>
        <v>5741</v>
      </c>
      <c r="B216" s="294" t="str">
        <f>'A) Base RI'!B212</f>
        <v>L'Abergement</v>
      </c>
      <c r="C216" s="10">
        <f>'A) Base RI'!V212</f>
        <v>248</v>
      </c>
      <c r="D216" s="437">
        <f>'C) Prél. conj.'!H210</f>
        <v>23818.375</v>
      </c>
      <c r="E216" s="10">
        <f>'D) Ecrêtage'!M210</f>
        <v>0</v>
      </c>
      <c r="F216" s="437">
        <f>$F$10*'D) Ecrêtage'!C210</f>
        <v>114261.75924146253</v>
      </c>
      <c r="G216" s="55">
        <f t="shared" si="3"/>
        <v>138080.13424146251</v>
      </c>
    </row>
    <row r="217" spans="1:7" x14ac:dyDescent="0.25">
      <c r="A217" s="49">
        <f>'A) Base RI'!A213</f>
        <v>5742</v>
      </c>
      <c r="B217" s="294" t="str">
        <f>'A) Base RI'!B213</f>
        <v>Agiez</v>
      </c>
      <c r="C217" s="10">
        <f>'A) Base RI'!V213</f>
        <v>327</v>
      </c>
      <c r="D217" s="437">
        <f>'C) Prél. conj.'!H211</f>
        <v>10992.1</v>
      </c>
      <c r="E217" s="10">
        <f>'D) Ecrêtage'!M211</f>
        <v>0</v>
      </c>
      <c r="F217" s="437">
        <f>$F$10*'D) Ecrêtage'!C211</f>
        <v>139313.71450964146</v>
      </c>
      <c r="G217" s="55">
        <f t="shared" si="3"/>
        <v>150305.81450964147</v>
      </c>
    </row>
    <row r="218" spans="1:7" x14ac:dyDescent="0.25">
      <c r="A218" s="49">
        <f>'A) Base RI'!A214</f>
        <v>5743</v>
      </c>
      <c r="B218" s="294" t="str">
        <f>'A) Base RI'!B214</f>
        <v>Arnex-sur-Orbe</v>
      </c>
      <c r="C218" s="10">
        <f>'A) Base RI'!V214</f>
        <v>631</v>
      </c>
      <c r="D218" s="437">
        <f>'C) Prél. conj.'!H212</f>
        <v>150112.63999999998</v>
      </c>
      <c r="E218" s="10">
        <f>'D) Ecrêtage'!M212</f>
        <v>0</v>
      </c>
      <c r="F218" s="437">
        <f>$F$10*'D) Ecrêtage'!C212</f>
        <v>283119.36045217601</v>
      </c>
      <c r="G218" s="55">
        <f t="shared" si="3"/>
        <v>433232.00045217597</v>
      </c>
    </row>
    <row r="219" spans="1:7" x14ac:dyDescent="0.25">
      <c r="A219" s="49">
        <f>'A) Base RI'!A215</f>
        <v>5744</v>
      </c>
      <c r="B219" s="294" t="str">
        <f>'A) Base RI'!B215</f>
        <v>Ballaigues</v>
      </c>
      <c r="C219" s="10">
        <f>'A) Base RI'!V215</f>
        <v>1075</v>
      </c>
      <c r="D219" s="437">
        <f>'C) Prél. conj.'!H213</f>
        <v>436731.245</v>
      </c>
      <c r="E219" s="10">
        <f>'D) Ecrêtage'!M213</f>
        <v>0</v>
      </c>
      <c r="F219" s="437">
        <f>$F$10*'D) Ecrêtage'!C213</f>
        <v>564766.54150091705</v>
      </c>
      <c r="G219" s="55">
        <f t="shared" si="3"/>
        <v>1001497.786500917</v>
      </c>
    </row>
    <row r="220" spans="1:7" x14ac:dyDescent="0.25">
      <c r="A220" s="49">
        <f>'A) Base RI'!A216</f>
        <v>5745</v>
      </c>
      <c r="B220" s="294" t="str">
        <f>'A) Base RI'!B216</f>
        <v>Baulmes</v>
      </c>
      <c r="C220" s="10">
        <f>'A) Base RI'!V216</f>
        <v>1027</v>
      </c>
      <c r="D220" s="437">
        <f>'C) Prél. conj.'!H214</f>
        <v>213589.44500000001</v>
      </c>
      <c r="E220" s="10">
        <f>'D) Ecrêtage'!M214</f>
        <v>0</v>
      </c>
      <c r="F220" s="437">
        <f>$F$10*'D) Ecrêtage'!C214</f>
        <v>407624.29241733334</v>
      </c>
      <c r="G220" s="55">
        <f t="shared" si="3"/>
        <v>621213.73741733329</v>
      </c>
    </row>
    <row r="221" spans="1:7" x14ac:dyDescent="0.25">
      <c r="A221" s="49">
        <f>'A) Base RI'!A217</f>
        <v>5746</v>
      </c>
      <c r="B221" s="294" t="str">
        <f>'A) Base RI'!B217</f>
        <v>Bavois</v>
      </c>
      <c r="C221" s="10">
        <f>'A) Base RI'!V217</f>
        <v>942</v>
      </c>
      <c r="D221" s="437">
        <f>'C) Prél. conj.'!H215</f>
        <v>71745.414999999994</v>
      </c>
      <c r="E221" s="10">
        <f>'D) Ecrêtage'!M215</f>
        <v>0</v>
      </c>
      <c r="F221" s="437">
        <f>$F$10*'D) Ecrêtage'!C215</f>
        <v>409026.69037827436</v>
      </c>
      <c r="G221" s="55">
        <f t="shared" si="3"/>
        <v>480772.10537827434</v>
      </c>
    </row>
    <row r="222" spans="1:7" x14ac:dyDescent="0.25">
      <c r="A222" s="49">
        <f>'A) Base RI'!A218</f>
        <v>5747</v>
      </c>
      <c r="B222" s="294" t="str">
        <f>'A) Base RI'!B218</f>
        <v>Bofflens</v>
      </c>
      <c r="C222" s="10">
        <f>'A) Base RI'!V218</f>
        <v>196</v>
      </c>
      <c r="D222" s="437">
        <f>'C) Prél. conj.'!H216</f>
        <v>19512.3</v>
      </c>
      <c r="E222" s="10">
        <f>'D) Ecrêtage'!M216</f>
        <v>0</v>
      </c>
      <c r="F222" s="437">
        <f>$F$10*'D) Ecrêtage'!C216</f>
        <v>76647.315041023132</v>
      </c>
      <c r="G222" s="55">
        <f t="shared" si="3"/>
        <v>96159.615041023135</v>
      </c>
    </row>
    <row r="223" spans="1:7" x14ac:dyDescent="0.25">
      <c r="A223" s="49">
        <f>'A) Base RI'!A219</f>
        <v>5748</v>
      </c>
      <c r="B223" s="294" t="str">
        <f>'A) Base RI'!B219</f>
        <v>Bretonnières</v>
      </c>
      <c r="C223" s="10">
        <f>'A) Base RI'!V219</f>
        <v>265</v>
      </c>
      <c r="D223" s="437">
        <f>'C) Prél. conj.'!H217</f>
        <v>23758.43</v>
      </c>
      <c r="E223" s="10">
        <f>'D) Ecrêtage'!M217</f>
        <v>0</v>
      </c>
      <c r="F223" s="437">
        <f>$F$10*'D) Ecrêtage'!C217</f>
        <v>85457.150208369188</v>
      </c>
      <c r="G223" s="55">
        <f t="shared" si="3"/>
        <v>109215.58020836918</v>
      </c>
    </row>
    <row r="224" spans="1:7" x14ac:dyDescent="0.25">
      <c r="A224" s="49">
        <f>'A) Base RI'!A220</f>
        <v>5749</v>
      </c>
      <c r="B224" s="294" t="str">
        <f>'A) Base RI'!B220</f>
        <v>Chavornay</v>
      </c>
      <c r="C224" s="10">
        <f>'A) Base RI'!V220</f>
        <v>4996</v>
      </c>
      <c r="D224" s="437">
        <f>'C) Prél. conj.'!H218</f>
        <v>391750.61499999999</v>
      </c>
      <c r="E224" s="10">
        <f>'D) Ecrêtage'!M218</f>
        <v>0</v>
      </c>
      <c r="F224" s="437">
        <f>$F$10*'D) Ecrêtage'!C218</f>
        <v>2105870.3303546719</v>
      </c>
      <c r="G224" s="55">
        <f t="shared" si="3"/>
        <v>2497620.9453546721</v>
      </c>
    </row>
    <row r="225" spans="1:7" x14ac:dyDescent="0.25">
      <c r="A225" s="49">
        <f>'A) Base RI'!A221</f>
        <v>5750</v>
      </c>
      <c r="B225" s="294" t="str">
        <f>'A) Base RI'!B221</f>
        <v>Les Clées</v>
      </c>
      <c r="C225" s="10">
        <f>'A) Base RI'!V221</f>
        <v>185</v>
      </c>
      <c r="D225" s="437">
        <f>'C) Prél. conj.'!H219</f>
        <v>87.474999999999994</v>
      </c>
      <c r="E225" s="10">
        <f>'D) Ecrêtage'!M219</f>
        <v>0</v>
      </c>
      <c r="F225" s="437">
        <f>$F$10*'D) Ecrêtage'!C219</f>
        <v>79503.580148962035</v>
      </c>
      <c r="G225" s="55">
        <f t="shared" si="3"/>
        <v>79591.055148962041</v>
      </c>
    </row>
    <row r="226" spans="1:7" x14ac:dyDescent="0.25">
      <c r="A226" s="49">
        <f>'A) Base RI'!A222</f>
        <v>5752</v>
      </c>
      <c r="B226" s="294" t="str">
        <f>'A) Base RI'!B222</f>
        <v>Croy</v>
      </c>
      <c r="C226" s="10">
        <f>'A) Base RI'!V222</f>
        <v>404</v>
      </c>
      <c r="D226" s="437">
        <f>'C) Prél. conj.'!H220</f>
        <v>26844.854999999996</v>
      </c>
      <c r="E226" s="10">
        <f>'D) Ecrêtage'!M220</f>
        <v>0</v>
      </c>
      <c r="F226" s="437">
        <f>$F$10*'D) Ecrêtage'!C220</f>
        <v>165698.99323923112</v>
      </c>
      <c r="G226" s="55">
        <f t="shared" si="3"/>
        <v>192543.8482392311</v>
      </c>
    </row>
    <row r="227" spans="1:7" x14ac:dyDescent="0.25">
      <c r="A227" s="49">
        <f>'A) Base RI'!A223</f>
        <v>5754</v>
      </c>
      <c r="B227" s="294" t="str">
        <f>'A) Base RI'!B223</f>
        <v>Juriens</v>
      </c>
      <c r="C227" s="10">
        <f>'A) Base RI'!V223</f>
        <v>308</v>
      </c>
      <c r="D227" s="437">
        <f>'C) Prél. conj.'!H221</f>
        <v>4741.415</v>
      </c>
      <c r="E227" s="10">
        <f>'D) Ecrêtage'!M221</f>
        <v>0</v>
      </c>
      <c r="F227" s="437">
        <f>$F$10*'D) Ecrêtage'!C221</f>
        <v>123901.90707824854</v>
      </c>
      <c r="G227" s="55">
        <f t="shared" si="3"/>
        <v>128643.32207824853</v>
      </c>
    </row>
    <row r="228" spans="1:7" x14ac:dyDescent="0.25">
      <c r="A228" s="49">
        <f>'A) Base RI'!A224</f>
        <v>5755</v>
      </c>
      <c r="B228" s="294" t="str">
        <f>'A) Base RI'!B224</f>
        <v>Lignerolle</v>
      </c>
      <c r="C228" s="10">
        <f>'A) Base RI'!V224</f>
        <v>422</v>
      </c>
      <c r="D228" s="437">
        <f>'C) Prél. conj.'!H222</f>
        <v>21200.71</v>
      </c>
      <c r="E228" s="10">
        <f>'D) Ecrêtage'!M222</f>
        <v>0</v>
      </c>
      <c r="F228" s="437">
        <f>$F$10*'D) Ecrêtage'!C222</f>
        <v>146567.98019446127</v>
      </c>
      <c r="G228" s="55">
        <f t="shared" si="3"/>
        <v>167768.69019446126</v>
      </c>
    </row>
    <row r="229" spans="1:7" x14ac:dyDescent="0.25">
      <c r="A229" s="49">
        <f>'A) Base RI'!A225</f>
        <v>5756</v>
      </c>
      <c r="B229" s="294" t="str">
        <f>'A) Base RI'!B225</f>
        <v>Montcherand</v>
      </c>
      <c r="C229" s="10">
        <f>'A) Base RI'!V225</f>
        <v>489</v>
      </c>
      <c r="D229" s="437">
        <f>'C) Prél. conj.'!H223</f>
        <v>14497.92</v>
      </c>
      <c r="E229" s="10">
        <f>'D) Ecrêtage'!M223</f>
        <v>0</v>
      </c>
      <c r="F229" s="437">
        <f>$F$10*'D) Ecrêtage'!C223</f>
        <v>253682.47736784723</v>
      </c>
      <c r="G229" s="55">
        <f t="shared" si="3"/>
        <v>268180.39736784721</v>
      </c>
    </row>
    <row r="230" spans="1:7" x14ac:dyDescent="0.25">
      <c r="A230" s="49">
        <f>'A) Base RI'!A226</f>
        <v>5757</v>
      </c>
      <c r="B230" s="294" t="str">
        <f>'A) Base RI'!B226</f>
        <v>Orbe</v>
      </c>
      <c r="C230" s="10">
        <f>'A) Base RI'!V226</f>
        <v>6942</v>
      </c>
      <c r="D230" s="437">
        <f>'C) Prél. conj.'!H224</f>
        <v>1422097.19</v>
      </c>
      <c r="E230" s="10">
        <f>'D) Ecrêtage'!M224</f>
        <v>0</v>
      </c>
      <c r="F230" s="437">
        <f>$F$10*'D) Ecrêtage'!C224</f>
        <v>3155456.7474422562</v>
      </c>
      <c r="G230" s="55">
        <f t="shared" si="3"/>
        <v>4577553.9374422561</v>
      </c>
    </row>
    <row r="231" spans="1:7" x14ac:dyDescent="0.25">
      <c r="A231" s="49">
        <f>'A) Base RI'!A227</f>
        <v>5758</v>
      </c>
      <c r="B231" s="294" t="str">
        <f>'A) Base RI'!B227</f>
        <v>La Praz</v>
      </c>
      <c r="C231" s="10">
        <f>'A) Base RI'!V227</f>
        <v>165</v>
      </c>
      <c r="D231" s="437">
        <f>'C) Prél. conj.'!H225</f>
        <v>32639.824999999997</v>
      </c>
      <c r="E231" s="10">
        <f>'D) Ecrêtage'!M225</f>
        <v>0</v>
      </c>
      <c r="F231" s="437">
        <f>$F$10*'D) Ecrêtage'!C225</f>
        <v>68579.322788998572</v>
      </c>
      <c r="G231" s="55">
        <f t="shared" si="3"/>
        <v>101219.14778899857</v>
      </c>
    </row>
    <row r="232" spans="1:7" x14ac:dyDescent="0.25">
      <c r="A232" s="49">
        <f>'A) Base RI'!A228</f>
        <v>5759</v>
      </c>
      <c r="B232" s="294" t="str">
        <f>'A) Base RI'!B228</f>
        <v>Premier</v>
      </c>
      <c r="C232" s="10">
        <f>'A) Base RI'!V228</f>
        <v>213</v>
      </c>
      <c r="D232" s="437">
        <f>'C) Prél. conj.'!H226</f>
        <v>30606.440000000002</v>
      </c>
      <c r="E232" s="10">
        <f>'D) Ecrêtage'!M226</f>
        <v>0</v>
      </c>
      <c r="F232" s="437">
        <f>$F$10*'D) Ecrêtage'!C226</f>
        <v>73088.548473979215</v>
      </c>
      <c r="G232" s="55">
        <f t="shared" si="3"/>
        <v>103694.98847397922</v>
      </c>
    </row>
    <row r="233" spans="1:7" x14ac:dyDescent="0.25">
      <c r="A233" s="49">
        <f>'A) Base RI'!A229</f>
        <v>5760</v>
      </c>
      <c r="B233" s="294" t="str">
        <f>'A) Base RI'!B229</f>
        <v>Rances</v>
      </c>
      <c r="C233" s="10">
        <f>'A) Base RI'!V229</f>
        <v>482</v>
      </c>
      <c r="D233" s="437">
        <f>'C) Prél. conj.'!H227</f>
        <v>43182.195000000007</v>
      </c>
      <c r="E233" s="10">
        <f>'D) Ecrêtage'!M227</f>
        <v>0</v>
      </c>
      <c r="F233" s="437">
        <f>$F$10*'D) Ecrêtage'!C227</f>
        <v>175928.23601214201</v>
      </c>
      <c r="G233" s="55">
        <f t="shared" si="3"/>
        <v>219110.43101214201</v>
      </c>
    </row>
    <row r="234" spans="1:7" x14ac:dyDescent="0.25">
      <c r="A234" s="49">
        <f>'A) Base RI'!A230</f>
        <v>5761</v>
      </c>
      <c r="B234" s="294" t="str">
        <f>'A) Base RI'!B230</f>
        <v>Romainmôtier-Envy</v>
      </c>
      <c r="C234" s="10">
        <f>'A) Base RI'!V230</f>
        <v>540</v>
      </c>
      <c r="D234" s="437">
        <f>'C) Prél. conj.'!H228</f>
        <v>57659.57</v>
      </c>
      <c r="E234" s="10">
        <f>'D) Ecrêtage'!M228</f>
        <v>0</v>
      </c>
      <c r="F234" s="437">
        <f>$F$10*'D) Ecrêtage'!C228</f>
        <v>224082.30841426147</v>
      </c>
      <c r="G234" s="55">
        <f t="shared" si="3"/>
        <v>281741.87841426145</v>
      </c>
    </row>
    <row r="235" spans="1:7" x14ac:dyDescent="0.25">
      <c r="A235" s="49">
        <f>'A) Base RI'!A231</f>
        <v>5762</v>
      </c>
      <c r="B235" s="294" t="str">
        <f>'A) Base RI'!B231</f>
        <v>Sergey</v>
      </c>
      <c r="C235" s="10">
        <f>'A) Base RI'!V231</f>
        <v>146</v>
      </c>
      <c r="D235" s="437">
        <f>'C) Prél. conj.'!H229</f>
        <v>2129.59</v>
      </c>
      <c r="E235" s="10">
        <f>'D) Ecrêtage'!M229</f>
        <v>0</v>
      </c>
      <c r="F235" s="437">
        <f>$F$10*'D) Ecrêtage'!C229</f>
        <v>57974.990568030051</v>
      </c>
      <c r="G235" s="55">
        <f t="shared" si="3"/>
        <v>60104.580568030055</v>
      </c>
    </row>
    <row r="236" spans="1:7" x14ac:dyDescent="0.25">
      <c r="A236" s="49">
        <f>'A) Base RI'!A232</f>
        <v>5763</v>
      </c>
      <c r="B236" s="294" t="str">
        <f>'A) Base RI'!B232</f>
        <v>Valeyres-sous-Rances</v>
      </c>
      <c r="C236" s="10">
        <f>'A) Base RI'!V232</f>
        <v>622</v>
      </c>
      <c r="D236" s="437">
        <f>'C) Prél. conj.'!H230</f>
        <v>5347.1650000000009</v>
      </c>
      <c r="E236" s="10">
        <f>'D) Ecrêtage'!M230</f>
        <v>0</v>
      </c>
      <c r="F236" s="437">
        <f>$F$10*'D) Ecrêtage'!C230</f>
        <v>322187.85369700269</v>
      </c>
      <c r="G236" s="55">
        <f t="shared" si="3"/>
        <v>327535.01869700267</v>
      </c>
    </row>
    <row r="237" spans="1:7" x14ac:dyDescent="0.25">
      <c r="A237" s="49">
        <f>'A) Base RI'!A233</f>
        <v>5764</v>
      </c>
      <c r="B237" s="294" t="str">
        <f>'A) Base RI'!B233</f>
        <v>Vallorbe</v>
      </c>
      <c r="C237" s="10">
        <f>'A) Base RI'!V233</f>
        <v>3852</v>
      </c>
      <c r="D237" s="437">
        <f>'C) Prél. conj.'!H231</f>
        <v>863754.78999999992</v>
      </c>
      <c r="E237" s="10">
        <f>'D) Ecrêtage'!M231</f>
        <v>0</v>
      </c>
      <c r="F237" s="437">
        <f>$F$10*'D) Ecrêtage'!C231</f>
        <v>1285932.6664380683</v>
      </c>
      <c r="G237" s="55">
        <f t="shared" si="3"/>
        <v>2149687.4564380683</v>
      </c>
    </row>
    <row r="238" spans="1:7" x14ac:dyDescent="0.25">
      <c r="A238" s="49">
        <f>'A) Base RI'!A234</f>
        <v>5765</v>
      </c>
      <c r="B238" s="294" t="str">
        <f>'A) Base RI'!B234</f>
        <v>Vaulion</v>
      </c>
      <c r="C238" s="10">
        <f>'A) Base RI'!V234</f>
        <v>469</v>
      </c>
      <c r="D238" s="437">
        <f>'C) Prél. conj.'!H232</f>
        <v>40990.724999999999</v>
      </c>
      <c r="E238" s="10">
        <f>'D) Ecrêtage'!M232</f>
        <v>0</v>
      </c>
      <c r="F238" s="437">
        <f>$F$10*'D) Ecrêtage'!C232</f>
        <v>150514.31973323287</v>
      </c>
      <c r="G238" s="55">
        <f t="shared" si="3"/>
        <v>191505.04473323288</v>
      </c>
    </row>
    <row r="239" spans="1:7" x14ac:dyDescent="0.25">
      <c r="A239" s="49">
        <f>'A) Base RI'!A235</f>
        <v>5766</v>
      </c>
      <c r="B239" s="294" t="str">
        <f>'A) Base RI'!B235</f>
        <v>Vuiteboeuf</v>
      </c>
      <c r="C239" s="10">
        <f>'A) Base RI'!V235</f>
        <v>584</v>
      </c>
      <c r="D239" s="437">
        <f>'C) Prél. conj.'!H233</f>
        <v>28014.44</v>
      </c>
      <c r="E239" s="10">
        <f>'D) Ecrêtage'!M233</f>
        <v>0</v>
      </c>
      <c r="F239" s="437">
        <f>$F$10*'D) Ecrêtage'!C233</f>
        <v>202665.03534633279</v>
      </c>
      <c r="G239" s="55">
        <f t="shared" si="3"/>
        <v>230679.47534633279</v>
      </c>
    </row>
    <row r="240" spans="1:7" x14ac:dyDescent="0.25">
      <c r="A240" s="49">
        <f>'A) Base RI'!A236</f>
        <v>5785</v>
      </c>
      <c r="B240" s="294" t="str">
        <f>'A) Base RI'!B236</f>
        <v>Corcelles-le-Jorat</v>
      </c>
      <c r="C240" s="10">
        <f>'A) Base RI'!V236</f>
        <v>445</v>
      </c>
      <c r="D240" s="437">
        <f>'C) Prél. conj.'!H234</f>
        <v>25727.125</v>
      </c>
      <c r="E240" s="10">
        <f>'D) Ecrêtage'!M234</f>
        <v>0</v>
      </c>
      <c r="F240" s="437">
        <f>$F$10*'D) Ecrêtage'!C234</f>
        <v>239865.68546821352</v>
      </c>
      <c r="G240" s="55">
        <f t="shared" si="3"/>
        <v>265592.81046821352</v>
      </c>
    </row>
    <row r="241" spans="1:7" x14ac:dyDescent="0.25">
      <c r="A241" s="49">
        <f>'A) Base RI'!A237</f>
        <v>5788</v>
      </c>
      <c r="B241" s="294" t="str">
        <f>'A) Base RI'!B237</f>
        <v>Essertes</v>
      </c>
      <c r="C241" s="10">
        <f>'A) Base RI'!V237</f>
        <v>374</v>
      </c>
      <c r="D241" s="437">
        <f>'C) Prél. conj.'!H235</f>
        <v>23265.525000000001</v>
      </c>
      <c r="E241" s="10">
        <f>'D) Ecrêtage'!M235</f>
        <v>0</v>
      </c>
      <c r="F241" s="437">
        <f>$F$10*'D) Ecrêtage'!C235</f>
        <v>183054.1680809753</v>
      </c>
      <c r="G241" s="55">
        <f t="shared" si="3"/>
        <v>206319.6930809753</v>
      </c>
    </row>
    <row r="242" spans="1:7" x14ac:dyDescent="0.25">
      <c r="A242" s="49">
        <f>'A) Base RI'!A238</f>
        <v>5790</v>
      </c>
      <c r="B242" s="294" t="str">
        <f>'A) Base RI'!B238</f>
        <v>Maracon</v>
      </c>
      <c r="C242" s="10">
        <f>'A) Base RI'!V238</f>
        <v>492</v>
      </c>
      <c r="D242" s="437">
        <f>'C) Prél. conj.'!H236</f>
        <v>68514.989999999991</v>
      </c>
      <c r="E242" s="10">
        <f>'D) Ecrêtage'!M236</f>
        <v>0</v>
      </c>
      <c r="F242" s="437">
        <f>$F$10*'D) Ecrêtage'!C236</f>
        <v>204192.68372285314</v>
      </c>
      <c r="G242" s="55">
        <f t="shared" si="3"/>
        <v>272707.67372285313</v>
      </c>
    </row>
    <row r="243" spans="1:7" x14ac:dyDescent="0.25">
      <c r="A243" s="49">
        <f>'A) Base RI'!A239</f>
        <v>5792</v>
      </c>
      <c r="B243" s="294" t="str">
        <f>'A) Base RI'!B239</f>
        <v>Montpreveyres</v>
      </c>
      <c r="C243" s="10">
        <f>'A) Base RI'!V239</f>
        <v>643</v>
      </c>
      <c r="D243" s="437">
        <f>'C) Prél. conj.'!H237</f>
        <v>70587.72</v>
      </c>
      <c r="E243" s="10">
        <f>'D) Ecrêtage'!M237</f>
        <v>0</v>
      </c>
      <c r="F243" s="437">
        <f>$F$10*'D) Ecrêtage'!C237</f>
        <v>288455.12154238159</v>
      </c>
      <c r="G243" s="55">
        <f t="shared" si="3"/>
        <v>359042.84154238156</v>
      </c>
    </row>
    <row r="244" spans="1:7" x14ac:dyDescent="0.25">
      <c r="A244" s="49">
        <f>'A) Base RI'!A240</f>
        <v>5798</v>
      </c>
      <c r="B244" s="294" t="str">
        <f>'A) Base RI'!B240</f>
        <v>Ropraz</v>
      </c>
      <c r="C244" s="10">
        <f>'A) Base RI'!V240</f>
        <v>494</v>
      </c>
      <c r="D244" s="437">
        <f>'C) Prél. conj.'!H238</f>
        <v>49013.630000000005</v>
      </c>
      <c r="E244" s="10">
        <f>'D) Ecrêtage'!M238</f>
        <v>0</v>
      </c>
      <c r="F244" s="437">
        <f>$F$10*'D) Ecrêtage'!C238</f>
        <v>211418.45245498102</v>
      </c>
      <c r="G244" s="55">
        <f t="shared" si="3"/>
        <v>260432.08245498102</v>
      </c>
    </row>
    <row r="245" spans="1:7" x14ac:dyDescent="0.25">
      <c r="A245" s="49">
        <f>'A) Base RI'!A241</f>
        <v>5799</v>
      </c>
      <c r="B245" s="294" t="str">
        <f>'A) Base RI'!B241</f>
        <v>Servion</v>
      </c>
      <c r="C245" s="10">
        <f>'A) Base RI'!V241</f>
        <v>1942</v>
      </c>
      <c r="D245" s="437">
        <f>'C) Prél. conj.'!H239</f>
        <v>318076.18</v>
      </c>
      <c r="E245" s="10">
        <f>'D) Ecrêtage'!M239</f>
        <v>0</v>
      </c>
      <c r="F245" s="437">
        <f>$F$10*'D) Ecrêtage'!C239</f>
        <v>1058421.2216691743</v>
      </c>
      <c r="G245" s="55">
        <f t="shared" si="3"/>
        <v>1376497.4016691742</v>
      </c>
    </row>
    <row r="246" spans="1:7" x14ac:dyDescent="0.25">
      <c r="A246" s="49">
        <f>'A) Base RI'!A242</f>
        <v>5803</v>
      </c>
      <c r="B246" s="294" t="str">
        <f>'A) Base RI'!B242</f>
        <v>Vulliens</v>
      </c>
      <c r="C246" s="10">
        <f>'A) Base RI'!V242</f>
        <v>595</v>
      </c>
      <c r="D246" s="437">
        <f>'C) Prél. conj.'!H240</f>
        <v>65594.975000000006</v>
      </c>
      <c r="E246" s="10">
        <f>'D) Ecrêtage'!M240</f>
        <v>0</v>
      </c>
      <c r="F246" s="437">
        <f>$F$10*'D) Ecrêtage'!C240</f>
        <v>254873.34260822056</v>
      </c>
      <c r="G246" s="55">
        <f t="shared" si="3"/>
        <v>320468.31760822056</v>
      </c>
    </row>
    <row r="247" spans="1:7" x14ac:dyDescent="0.25">
      <c r="A247" s="49">
        <f>'A) Base RI'!A243</f>
        <v>5804</v>
      </c>
      <c r="B247" s="294" t="str">
        <f>'A) Base RI'!B243</f>
        <v>Jorat-Menthue</v>
      </c>
      <c r="C247" s="10">
        <f>'A) Base RI'!V243</f>
        <v>1586</v>
      </c>
      <c r="D247" s="437">
        <f>'C) Prél. conj.'!H241</f>
        <v>49945.405000000006</v>
      </c>
      <c r="E247" s="10">
        <f>'D) Ecrêtage'!M241</f>
        <v>0</v>
      </c>
      <c r="F247" s="437">
        <f>$F$10*'D) Ecrêtage'!C241</f>
        <v>731738.87094921852</v>
      </c>
      <c r="G247" s="55">
        <f t="shared" si="3"/>
        <v>781684.27594921854</v>
      </c>
    </row>
    <row r="248" spans="1:7" x14ac:dyDescent="0.25">
      <c r="A248" s="49">
        <f>'A) Base RI'!A244</f>
        <v>5805</v>
      </c>
      <c r="B248" s="294" t="str">
        <f>'A) Base RI'!B244</f>
        <v>Oron</v>
      </c>
      <c r="C248" s="10">
        <f>'A) Base RI'!V244</f>
        <v>5501</v>
      </c>
      <c r="D248" s="437">
        <f>'C) Prél. conj.'!H242</f>
        <v>616695.32500000007</v>
      </c>
      <c r="E248" s="10">
        <f>'D) Ecrêtage'!M242</f>
        <v>0</v>
      </c>
      <c r="F248" s="437">
        <f>$F$10*'D) Ecrêtage'!C242</f>
        <v>2347740.3737635836</v>
      </c>
      <c r="G248" s="55">
        <f t="shared" si="3"/>
        <v>2964435.6987635838</v>
      </c>
    </row>
    <row r="249" spans="1:7" x14ac:dyDescent="0.25">
      <c r="A249" s="49">
        <f>'A) Base RI'!A245</f>
        <v>5806</v>
      </c>
      <c r="B249" s="294" t="str">
        <f>'A) Base RI'!B245</f>
        <v>Jorat-Mézières</v>
      </c>
      <c r="C249" s="10">
        <f>'A) Base RI'!V245</f>
        <v>2869</v>
      </c>
      <c r="D249" s="437">
        <f>'C) Prél. conj.'!H243</f>
        <v>341256.73</v>
      </c>
      <c r="E249" s="10">
        <f>'D) Ecrêtage'!M243</f>
        <v>0</v>
      </c>
      <c r="F249" s="437">
        <f>$F$10*'D) Ecrêtage'!C243</f>
        <v>1383668.6946211506</v>
      </c>
      <c r="G249" s="55">
        <f t="shared" si="3"/>
        <v>1724925.4246211506</v>
      </c>
    </row>
    <row r="250" spans="1:7" x14ac:dyDescent="0.25">
      <c r="A250" s="49">
        <f>'A) Base RI'!A246</f>
        <v>5812</v>
      </c>
      <c r="B250" s="294" t="str">
        <f>'A) Base RI'!B246</f>
        <v>Champtauroz</v>
      </c>
      <c r="C250" s="10">
        <f>'A) Base RI'!V246</f>
        <v>122</v>
      </c>
      <c r="D250" s="437">
        <f>'C) Prél. conj.'!H244</f>
        <v>10451.675000000001</v>
      </c>
      <c r="E250" s="10">
        <f>'D) Ecrêtage'!M244</f>
        <v>0</v>
      </c>
      <c r="F250" s="437">
        <f>$F$10*'D) Ecrêtage'!C244</f>
        <v>37476.232292817411</v>
      </c>
      <c r="G250" s="55">
        <f t="shared" si="3"/>
        <v>47927.907292817414</v>
      </c>
    </row>
    <row r="251" spans="1:7" x14ac:dyDescent="0.25">
      <c r="A251" s="49">
        <f>'A) Base RI'!A247</f>
        <v>5813</v>
      </c>
      <c r="B251" s="294" t="str">
        <f>'A) Base RI'!B247</f>
        <v>Chevroux</v>
      </c>
      <c r="C251" s="10">
        <f>'A) Base RI'!V247</f>
        <v>480</v>
      </c>
      <c r="D251" s="437">
        <f>'C) Prél. conj.'!H245</f>
        <v>86278.05</v>
      </c>
      <c r="E251" s="10">
        <f>'D) Ecrêtage'!M245</f>
        <v>0</v>
      </c>
      <c r="F251" s="437">
        <f>$F$10*'D) Ecrêtage'!C245</f>
        <v>197801.2639935097</v>
      </c>
      <c r="G251" s="55">
        <f t="shared" si="3"/>
        <v>284079.31399350968</v>
      </c>
    </row>
    <row r="252" spans="1:7" x14ac:dyDescent="0.25">
      <c r="A252" s="49">
        <f>'A) Base RI'!A248</f>
        <v>5816</v>
      </c>
      <c r="B252" s="294" t="str">
        <f>'A) Base RI'!B248</f>
        <v>Corcelles-près-Payerne</v>
      </c>
      <c r="C252" s="10">
        <f>'A) Base RI'!V248</f>
        <v>2479</v>
      </c>
      <c r="D252" s="437">
        <f>'C) Prél. conj.'!H246</f>
        <v>130775.41500000001</v>
      </c>
      <c r="E252" s="10">
        <f>'D) Ecrêtage'!M246</f>
        <v>0</v>
      </c>
      <c r="F252" s="437">
        <f>$F$10*'D) Ecrêtage'!C246</f>
        <v>852252.16006889835</v>
      </c>
      <c r="G252" s="55">
        <f t="shared" si="3"/>
        <v>983027.57506889838</v>
      </c>
    </row>
    <row r="253" spans="1:7" x14ac:dyDescent="0.25">
      <c r="A253" s="49">
        <f>'A) Base RI'!A249</f>
        <v>5817</v>
      </c>
      <c r="B253" s="294" t="str">
        <f>'A) Base RI'!B249</f>
        <v>Grandcour</v>
      </c>
      <c r="C253" s="10">
        <f>'A) Base RI'!V249</f>
        <v>929</v>
      </c>
      <c r="D253" s="437">
        <f>'C) Prél. conj.'!H247</f>
        <v>133381.57500000001</v>
      </c>
      <c r="E253" s="10">
        <f>'D) Ecrêtage'!M247</f>
        <v>0</v>
      </c>
      <c r="F253" s="437">
        <f>$F$10*'D) Ecrêtage'!C247</f>
        <v>360537.74752444419</v>
      </c>
      <c r="G253" s="55">
        <f t="shared" si="3"/>
        <v>493919.3225244442</v>
      </c>
    </row>
    <row r="254" spans="1:7" x14ac:dyDescent="0.25">
      <c r="A254" s="49">
        <f>'A) Base RI'!A250</f>
        <v>5819</v>
      </c>
      <c r="B254" s="294" t="str">
        <f>'A) Base RI'!B250</f>
        <v>Henniez</v>
      </c>
      <c r="C254" s="10">
        <f>'A) Base RI'!V250</f>
        <v>341</v>
      </c>
      <c r="D254" s="437">
        <f>'C) Prél. conj.'!H248</f>
        <v>38130.724999999999</v>
      </c>
      <c r="E254" s="10">
        <f>'D) Ecrêtage'!M248</f>
        <v>0</v>
      </c>
      <c r="F254" s="437">
        <f>$F$10*'D) Ecrêtage'!C248</f>
        <v>191598.83807825699</v>
      </c>
      <c r="G254" s="55">
        <f t="shared" si="3"/>
        <v>229729.56307825699</v>
      </c>
    </row>
    <row r="255" spans="1:7" x14ac:dyDescent="0.25">
      <c r="A255" s="49">
        <f>'A) Base RI'!A251</f>
        <v>5821</v>
      </c>
      <c r="B255" s="294" t="str">
        <f>'A) Base RI'!B251</f>
        <v>Missy</v>
      </c>
      <c r="C255" s="10">
        <f>'A) Base RI'!V251</f>
        <v>368</v>
      </c>
      <c r="D255" s="437">
        <f>'C) Prél. conj.'!H249</f>
        <v>15106.025</v>
      </c>
      <c r="E255" s="10">
        <f>'D) Ecrêtage'!M249</f>
        <v>0</v>
      </c>
      <c r="F255" s="437">
        <f>$F$10*'D) Ecrêtage'!C249</f>
        <v>132095.61707806934</v>
      </c>
      <c r="G255" s="55">
        <f t="shared" si="3"/>
        <v>147201.64207806933</v>
      </c>
    </row>
    <row r="256" spans="1:7" x14ac:dyDescent="0.25">
      <c r="A256" s="49">
        <f>'A) Base RI'!A252</f>
        <v>5822</v>
      </c>
      <c r="B256" s="294" t="str">
        <f>'A) Base RI'!B252</f>
        <v>Payerne</v>
      </c>
      <c r="C256" s="10">
        <f>'A) Base RI'!V252</f>
        <v>9971</v>
      </c>
      <c r="D256" s="437">
        <f>'C) Prél. conj.'!H250</f>
        <v>742157.56500000006</v>
      </c>
      <c r="E256" s="10">
        <f>'D) Ecrêtage'!M250</f>
        <v>0</v>
      </c>
      <c r="F256" s="437">
        <f>$F$10*'D) Ecrêtage'!C250</f>
        <v>3649360.5888753645</v>
      </c>
      <c r="G256" s="55">
        <f t="shared" si="3"/>
        <v>4391518.1538753649</v>
      </c>
    </row>
    <row r="257" spans="1:7" x14ac:dyDescent="0.25">
      <c r="A257" s="49">
        <f>'A) Base RI'!A253</f>
        <v>5827</v>
      </c>
      <c r="B257" s="294" t="str">
        <f>'A) Base RI'!B253</f>
        <v>Trey</v>
      </c>
      <c r="C257" s="10">
        <f>'A) Base RI'!V253</f>
        <v>267</v>
      </c>
      <c r="D257" s="437">
        <f>'C) Prél. conj.'!H251</f>
        <v>19127.75</v>
      </c>
      <c r="E257" s="10">
        <f>'D) Ecrêtage'!M251</f>
        <v>0</v>
      </c>
      <c r="F257" s="437">
        <f>$F$10*'D) Ecrêtage'!C251</f>
        <v>109082.39777767647</v>
      </c>
      <c r="G257" s="55">
        <f t="shared" si="3"/>
        <v>128210.14777767647</v>
      </c>
    </row>
    <row r="258" spans="1:7" x14ac:dyDescent="0.25">
      <c r="A258" s="49">
        <f>'A) Base RI'!A254</f>
        <v>5828</v>
      </c>
      <c r="B258" s="294" t="str">
        <f>'A) Base RI'!B254</f>
        <v>Treytorrens (Payerne)</v>
      </c>
      <c r="C258" s="10">
        <f>'A) Base RI'!V254</f>
        <v>119</v>
      </c>
      <c r="D258" s="437">
        <f>'C) Prél. conj.'!H252</f>
        <v>10937.95</v>
      </c>
      <c r="E258" s="10">
        <f>'D) Ecrêtage'!M252</f>
        <v>0</v>
      </c>
      <c r="F258" s="437">
        <f>$F$10*'D) Ecrêtage'!C252</f>
        <v>41177.559728204156</v>
      </c>
      <c r="G258" s="55">
        <f t="shared" si="3"/>
        <v>52115.509728204153</v>
      </c>
    </row>
    <row r="259" spans="1:7" x14ac:dyDescent="0.25">
      <c r="A259" s="49">
        <f>'A) Base RI'!A255</f>
        <v>5830</v>
      </c>
      <c r="B259" s="294" t="str">
        <f>'A) Base RI'!B255</f>
        <v>Villarzel</v>
      </c>
      <c r="C259" s="10">
        <f>'A) Base RI'!V255</f>
        <v>446</v>
      </c>
      <c r="D259" s="437">
        <f>'C) Prél. conj.'!H253</f>
        <v>29044.075000000001</v>
      </c>
      <c r="E259" s="10">
        <f>'D) Ecrêtage'!M253</f>
        <v>0</v>
      </c>
      <c r="F259" s="437">
        <f>$F$10*'D) Ecrêtage'!C253</f>
        <v>186654.02916336455</v>
      </c>
      <c r="G259" s="55">
        <f t="shared" si="3"/>
        <v>215698.10416336457</v>
      </c>
    </row>
    <row r="260" spans="1:7" x14ac:dyDescent="0.25">
      <c r="A260" s="49">
        <f>'A) Base RI'!A256</f>
        <v>5831</v>
      </c>
      <c r="B260" s="294" t="str">
        <f>'A) Base RI'!B256</f>
        <v>Valbroye</v>
      </c>
      <c r="C260" s="10">
        <f>'A) Base RI'!V256</f>
        <v>3174</v>
      </c>
      <c r="D260" s="437">
        <f>'C) Prél. conj.'!H254</f>
        <v>344584.625</v>
      </c>
      <c r="E260" s="10">
        <f>'D) Ecrêtage'!M254</f>
        <v>0</v>
      </c>
      <c r="F260" s="437">
        <f>$F$10*'D) Ecrêtage'!C254</f>
        <v>1288540.119066322</v>
      </c>
      <c r="G260" s="55">
        <f t="shared" si="3"/>
        <v>1633124.744066322</v>
      </c>
    </row>
    <row r="261" spans="1:7" x14ac:dyDescent="0.25">
      <c r="A261" s="49">
        <f>'A) Base RI'!A257</f>
        <v>5841</v>
      </c>
      <c r="B261" s="294" t="str">
        <f>'A) Base RI'!B257</f>
        <v>Château-d'Oex</v>
      </c>
      <c r="C261" s="10">
        <f>'A) Base RI'!V257</f>
        <v>3460</v>
      </c>
      <c r="D261" s="437">
        <f>'C) Prél. conj.'!H255</f>
        <v>500686.88999999996</v>
      </c>
      <c r="E261" s="10">
        <f>'D) Ecrêtage'!M255</f>
        <v>0</v>
      </c>
      <c r="F261" s="437">
        <f>$F$10*'D) Ecrêtage'!C255</f>
        <v>1791438.0528231713</v>
      </c>
      <c r="G261" s="55">
        <f t="shared" si="3"/>
        <v>2292124.9428231711</v>
      </c>
    </row>
    <row r="262" spans="1:7" x14ac:dyDescent="0.25">
      <c r="A262" s="49">
        <f>'A) Base RI'!A258</f>
        <v>5842</v>
      </c>
      <c r="B262" s="294" t="str">
        <f>'A) Base RI'!B258</f>
        <v>Rossinière</v>
      </c>
      <c r="C262" s="10">
        <f>'A) Base RI'!V258</f>
        <v>548</v>
      </c>
      <c r="D262" s="437">
        <f>'C) Prél. conj.'!H256</f>
        <v>55351.7</v>
      </c>
      <c r="E262" s="10">
        <f>'D) Ecrêtage'!M256</f>
        <v>0</v>
      </c>
      <c r="F262" s="437">
        <f>$F$10*'D) Ecrêtage'!C256</f>
        <v>247908.91263127376</v>
      </c>
      <c r="G262" s="55">
        <f t="shared" si="3"/>
        <v>303260.61263127375</v>
      </c>
    </row>
    <row r="263" spans="1:7" x14ac:dyDescent="0.25">
      <c r="A263" s="49">
        <f>'A) Base RI'!A259</f>
        <v>5843</v>
      </c>
      <c r="B263" s="294" t="str">
        <f>'A) Base RI'!B259</f>
        <v>Rougemont</v>
      </c>
      <c r="C263" s="10">
        <f>'A) Base RI'!V259</f>
        <v>882</v>
      </c>
      <c r="D263" s="437">
        <f>'C) Prél. conj.'!H257</f>
        <v>630097.32499999995</v>
      </c>
      <c r="E263" s="10">
        <f>'D) Ecrêtage'!M257</f>
        <v>1523298.3057308418</v>
      </c>
      <c r="F263" s="437">
        <f>$F$10*'D) Ecrêtage'!C257</f>
        <v>1450224.5613356098</v>
      </c>
      <c r="G263" s="55">
        <f t="shared" si="3"/>
        <v>3603620.1920664515</v>
      </c>
    </row>
    <row r="264" spans="1:7" x14ac:dyDescent="0.25">
      <c r="A264" s="49">
        <f>'A) Base RI'!A260</f>
        <v>5851</v>
      </c>
      <c r="B264" s="294" t="str">
        <f>'A) Base RI'!B260</f>
        <v>Allaman</v>
      </c>
      <c r="C264" s="10">
        <f>'A) Base RI'!V260</f>
        <v>434</v>
      </c>
      <c r="D264" s="437">
        <f>'C) Prél. conj.'!H258</f>
        <v>284453.92499999999</v>
      </c>
      <c r="E264" s="10">
        <f>'D) Ecrêtage'!M258</f>
        <v>150335.31514533859</v>
      </c>
      <c r="F264" s="437">
        <f>$F$10*'D) Ecrêtage'!C258</f>
        <v>444142.69494037365</v>
      </c>
      <c r="G264" s="55">
        <f t="shared" si="3"/>
        <v>878931.93508571223</v>
      </c>
    </row>
    <row r="265" spans="1:7" x14ac:dyDescent="0.25">
      <c r="A265" s="49">
        <f>'A) Base RI'!A261</f>
        <v>5852</v>
      </c>
      <c r="B265" s="294" t="str">
        <f>'A) Base RI'!B261</f>
        <v>Bursinel</v>
      </c>
      <c r="C265" s="10">
        <f>'A) Base RI'!V261</f>
        <v>471</v>
      </c>
      <c r="D265" s="437">
        <f>'C) Prél. conj.'!H259</f>
        <v>156507.89000000001</v>
      </c>
      <c r="E265" s="10">
        <f>'D) Ecrêtage'!M259</f>
        <v>390078.32705864526</v>
      </c>
      <c r="F265" s="437">
        <f>$F$10*'D) Ecrêtage'!C259</f>
        <v>611460.66172201047</v>
      </c>
      <c r="G265" s="55">
        <f t="shared" si="3"/>
        <v>1158046.8787806558</v>
      </c>
    </row>
    <row r="266" spans="1:7" x14ac:dyDescent="0.25">
      <c r="A266" s="49">
        <f>'A) Base RI'!A262</f>
        <v>5853</v>
      </c>
      <c r="B266" s="294" t="str">
        <f>'A) Base RI'!B262</f>
        <v>Bursins</v>
      </c>
      <c r="C266" s="10">
        <f>'A) Base RI'!V262</f>
        <v>752</v>
      </c>
      <c r="D266" s="437">
        <f>'C) Prél. conj.'!H260</f>
        <v>155233.65</v>
      </c>
      <c r="E266" s="10">
        <f>'D) Ecrêtage'!M260</f>
        <v>40644.33630475284</v>
      </c>
      <c r="F266" s="437">
        <f>$F$10*'D) Ecrêtage'!C260</f>
        <v>563324.15817663178</v>
      </c>
      <c r="G266" s="55">
        <f t="shared" si="3"/>
        <v>759202.14448138466</v>
      </c>
    </row>
    <row r="267" spans="1:7" x14ac:dyDescent="0.25">
      <c r="A267" s="49">
        <f>'A) Base RI'!A263</f>
        <v>5854</v>
      </c>
      <c r="B267" s="294" t="str">
        <f>'A) Base RI'!B263</f>
        <v>Burtigny</v>
      </c>
      <c r="C267" s="10">
        <f>'A) Base RI'!V263</f>
        <v>391</v>
      </c>
      <c r="D267" s="437">
        <f>'C) Prél. conj.'!H261</f>
        <v>112309.14</v>
      </c>
      <c r="E267" s="10">
        <f>'D) Ecrêtage'!M261</f>
        <v>0</v>
      </c>
      <c r="F267" s="437">
        <f>$F$10*'D) Ecrêtage'!C261</f>
        <v>233931.06435110702</v>
      </c>
      <c r="G267" s="55">
        <f t="shared" si="3"/>
        <v>346240.20435110701</v>
      </c>
    </row>
    <row r="268" spans="1:7" x14ac:dyDescent="0.25">
      <c r="A268" s="49">
        <f>'A) Base RI'!A264</f>
        <v>5855</v>
      </c>
      <c r="B268" s="294" t="str">
        <f>'A) Base RI'!B264</f>
        <v>Dully</v>
      </c>
      <c r="C268" s="10">
        <f>'A) Base RI'!V264</f>
        <v>635</v>
      </c>
      <c r="D268" s="437">
        <f>'C) Prél. conj.'!H262</f>
        <v>296588.18499999994</v>
      </c>
      <c r="E268" s="10">
        <f>'D) Ecrêtage'!M262</f>
        <v>1333368.9321282771</v>
      </c>
      <c r="F268" s="437">
        <f>$F$10*'D) Ecrêtage'!C262</f>
        <v>1407421.5516566208</v>
      </c>
      <c r="G268" s="55">
        <f t="shared" ref="G268:G319" si="4">D268+F268+E268</f>
        <v>3037378.6687848978</v>
      </c>
    </row>
    <row r="269" spans="1:7" x14ac:dyDescent="0.25">
      <c r="A269" s="49">
        <f>'A) Base RI'!A265</f>
        <v>5856</v>
      </c>
      <c r="B269" s="294" t="str">
        <f>'A) Base RI'!B265</f>
        <v>Essertines-sur-Rolle</v>
      </c>
      <c r="C269" s="10">
        <f>'A) Base RI'!V265</f>
        <v>726</v>
      </c>
      <c r="D269" s="437">
        <f>'C) Prél. conj.'!H263</f>
        <v>181892.07499999998</v>
      </c>
      <c r="E269" s="10">
        <f>'D) Ecrêtage'!M263</f>
        <v>66097.063029437631</v>
      </c>
      <c r="F269" s="437">
        <f>$F$10*'D) Ecrêtage'!C263</f>
        <v>576145.22390732623</v>
      </c>
      <c r="G269" s="55">
        <f t="shared" si="4"/>
        <v>824134.36193676386</v>
      </c>
    </row>
    <row r="270" spans="1:7" x14ac:dyDescent="0.25">
      <c r="A270" s="49">
        <f>'A) Base RI'!A266</f>
        <v>5857</v>
      </c>
      <c r="B270" s="294" t="str">
        <f>'A) Base RI'!B266</f>
        <v>Gilly</v>
      </c>
      <c r="C270" s="10">
        <f>'A) Base RI'!V266</f>
        <v>1324</v>
      </c>
      <c r="D270" s="437">
        <f>'C) Prél. conj.'!H264</f>
        <v>205303.90000000002</v>
      </c>
      <c r="E270" s="10">
        <f>'D) Ecrêtage'!M264</f>
        <v>501639.91166818707</v>
      </c>
      <c r="F270" s="437">
        <f>$F$10*'D) Ecrêtage'!C264</f>
        <v>1365385.9254965438</v>
      </c>
      <c r="G270" s="55">
        <f t="shared" si="4"/>
        <v>2072329.7371647307</v>
      </c>
    </row>
    <row r="271" spans="1:7" x14ac:dyDescent="0.25">
      <c r="A271" s="49">
        <f>'A) Base RI'!A267</f>
        <v>5858</v>
      </c>
      <c r="B271" s="294" t="str">
        <f>'A) Base RI'!B267</f>
        <v>Luins</v>
      </c>
      <c r="C271" s="10">
        <f>'A) Base RI'!V267</f>
        <v>613</v>
      </c>
      <c r="D271" s="437">
        <f>'C) Prél. conj.'!H265</f>
        <v>91214</v>
      </c>
      <c r="E271" s="10">
        <f>'D) Ecrêtage'!M265</f>
        <v>275861.70560574939</v>
      </c>
      <c r="F271" s="437">
        <f>$F$10*'D) Ecrêtage'!C265</f>
        <v>674382.23033198738</v>
      </c>
      <c r="G271" s="55">
        <f t="shared" si="4"/>
        <v>1041457.9359377368</v>
      </c>
    </row>
    <row r="272" spans="1:7" x14ac:dyDescent="0.25">
      <c r="A272" s="49">
        <f>'A) Base RI'!A268</f>
        <v>5859</v>
      </c>
      <c r="B272" s="294" t="str">
        <f>'A) Base RI'!B268</f>
        <v>Mont-sur-Rolle</v>
      </c>
      <c r="C272" s="10">
        <f>'A) Base RI'!V268</f>
        <v>2651</v>
      </c>
      <c r="D272" s="437">
        <f>'C) Prél. conj.'!H266</f>
        <v>259518.62</v>
      </c>
      <c r="E272" s="10">
        <f>'D) Ecrêtage'!M266</f>
        <v>306434.30427573476</v>
      </c>
      <c r="F272" s="437">
        <f>$F$10*'D) Ecrêtage'!C266</f>
        <v>2193532.3961024284</v>
      </c>
      <c r="G272" s="55">
        <f t="shared" si="4"/>
        <v>2759485.3203781634</v>
      </c>
    </row>
    <row r="273" spans="1:7" x14ac:dyDescent="0.25">
      <c r="A273" s="49">
        <f>'A) Base RI'!A269</f>
        <v>5860</v>
      </c>
      <c r="B273" s="294" t="str">
        <f>'A) Base RI'!B269</f>
        <v>Perroy</v>
      </c>
      <c r="C273" s="10">
        <f>'A) Base RI'!V269</f>
        <v>1542</v>
      </c>
      <c r="D273" s="437">
        <f>'C) Prél. conj.'!H267</f>
        <v>556132.11</v>
      </c>
      <c r="E273" s="10">
        <f>'D) Ecrêtage'!M267</f>
        <v>385775.3253216297</v>
      </c>
      <c r="F273" s="437">
        <f>$F$10*'D) Ecrêtage'!C267</f>
        <v>1465817.414635618</v>
      </c>
      <c r="G273" s="55">
        <f t="shared" si="4"/>
        <v>2407724.8499572477</v>
      </c>
    </row>
    <row r="274" spans="1:7" x14ac:dyDescent="0.25">
      <c r="A274" s="49">
        <f>'A) Base RI'!A270</f>
        <v>5861</v>
      </c>
      <c r="B274" s="294" t="str">
        <f>'A) Base RI'!B270</f>
        <v>Rolle</v>
      </c>
      <c r="C274" s="10">
        <f>'A) Base RI'!V270</f>
        <v>6246</v>
      </c>
      <c r="D274" s="437">
        <f>'C) Prél. conj.'!H268</f>
        <v>1000841.245</v>
      </c>
      <c r="E274" s="10">
        <f>'D) Ecrêtage'!M268</f>
        <v>5921949.1090259803</v>
      </c>
      <c r="F274" s="437">
        <f>$F$10*'D) Ecrêtage'!C268</f>
        <v>8845196.8738903776</v>
      </c>
      <c r="G274" s="55">
        <f t="shared" si="4"/>
        <v>15767987.227916356</v>
      </c>
    </row>
    <row r="275" spans="1:7" x14ac:dyDescent="0.25">
      <c r="A275" s="49">
        <f>'A) Base RI'!A271</f>
        <v>5862</v>
      </c>
      <c r="B275" s="294" t="str">
        <f>'A) Base RI'!B271</f>
        <v>Tartegnin</v>
      </c>
      <c r="C275" s="10">
        <f>'A) Base RI'!V271</f>
        <v>246</v>
      </c>
      <c r="D275" s="437">
        <f>'C) Prél. conj.'!H269</f>
        <v>24481.45</v>
      </c>
      <c r="E275" s="10">
        <f>'D) Ecrêtage'!M269</f>
        <v>19578.691011754465</v>
      </c>
      <c r="F275" s="437">
        <f>$F$10*'D) Ecrêtage'!C269</f>
        <v>188472.25358720834</v>
      </c>
      <c r="G275" s="55">
        <f t="shared" si="4"/>
        <v>232532.39459896283</v>
      </c>
    </row>
    <row r="276" spans="1:7" x14ac:dyDescent="0.25">
      <c r="A276" s="49">
        <f>'A) Base RI'!A272</f>
        <v>5863</v>
      </c>
      <c r="B276" s="294" t="str">
        <f>'A) Base RI'!B272</f>
        <v>Vinzel</v>
      </c>
      <c r="C276" s="10">
        <f>'A) Base RI'!V272</f>
        <v>358</v>
      </c>
      <c r="D276" s="437">
        <f>'C) Prél. conj.'!H270</f>
        <v>33639.895000000004</v>
      </c>
      <c r="E276" s="10">
        <f>'D) Ecrêtage'!M270</f>
        <v>106074.35754943275</v>
      </c>
      <c r="F276" s="437">
        <f>$F$10*'D) Ecrêtage'!C270</f>
        <v>344958.06934740924</v>
      </c>
      <c r="G276" s="55">
        <f t="shared" si="4"/>
        <v>484672.32189684198</v>
      </c>
    </row>
    <row r="277" spans="1:7" x14ac:dyDescent="0.25">
      <c r="A277" s="49">
        <f>'A) Base RI'!A273</f>
        <v>5871</v>
      </c>
      <c r="B277" s="294" t="str">
        <f>'A) Base RI'!B273</f>
        <v>L'Abbaye</v>
      </c>
      <c r="C277" s="10">
        <f>'A) Base RI'!V273</f>
        <v>1481</v>
      </c>
      <c r="D277" s="437">
        <f>'C) Prél. conj.'!H271</f>
        <v>279256.82</v>
      </c>
      <c r="E277" s="10">
        <f>'D) Ecrêtage'!M271</f>
        <v>0</v>
      </c>
      <c r="F277" s="437">
        <f>$F$10*'D) Ecrêtage'!C271</f>
        <v>688107.13310344273</v>
      </c>
      <c r="G277" s="55">
        <f t="shared" si="4"/>
        <v>967363.95310344268</v>
      </c>
    </row>
    <row r="278" spans="1:7" x14ac:dyDescent="0.25">
      <c r="A278" s="49">
        <f>'A) Base RI'!A274</f>
        <v>5872</v>
      </c>
      <c r="B278" s="294" t="str">
        <f>'A) Base RI'!B274</f>
        <v>Le Chenit</v>
      </c>
      <c r="C278" s="10">
        <f>'A) Base RI'!V274</f>
        <v>4605</v>
      </c>
      <c r="D278" s="437">
        <f>'C) Prél. conj.'!H272</f>
        <v>2475314.915</v>
      </c>
      <c r="E278" s="10">
        <f>'D) Ecrêtage'!M272</f>
        <v>0</v>
      </c>
      <c r="F278" s="437">
        <f>$F$10*'D) Ecrêtage'!C272</f>
        <v>2610717.7646281337</v>
      </c>
      <c r="G278" s="55">
        <f t="shared" si="4"/>
        <v>5086032.6796281338</v>
      </c>
    </row>
    <row r="279" spans="1:7" x14ac:dyDescent="0.25">
      <c r="A279" s="49">
        <f>'A) Base RI'!A275</f>
        <v>5873</v>
      </c>
      <c r="B279" s="294" t="str">
        <f>'A) Base RI'!B275</f>
        <v>Le Lieu</v>
      </c>
      <c r="C279" s="10">
        <f>'A) Base RI'!V275</f>
        <v>875</v>
      </c>
      <c r="D279" s="437">
        <f>'C) Prél. conj.'!H273</f>
        <v>286552.36499999999</v>
      </c>
      <c r="E279" s="10">
        <f>'D) Ecrêtage'!M273</f>
        <v>0</v>
      </c>
      <c r="F279" s="437">
        <f>$F$10*'D) Ecrêtage'!C273</f>
        <v>461574.3618218273</v>
      </c>
      <c r="G279" s="55">
        <f t="shared" si="4"/>
        <v>748126.72682182724</v>
      </c>
    </row>
    <row r="280" spans="1:7" x14ac:dyDescent="0.25">
      <c r="A280" s="49">
        <f>'A) Base RI'!A276</f>
        <v>5881</v>
      </c>
      <c r="B280" s="294" t="str">
        <f>'A) Base RI'!B276</f>
        <v>Blonay</v>
      </c>
      <c r="C280" s="10">
        <f>'A) Base RI'!V276</f>
        <v>6175</v>
      </c>
      <c r="D280" s="437">
        <f>'C) Prél. conj.'!H274</f>
        <v>698507.71500000008</v>
      </c>
      <c r="E280" s="10">
        <f>'D) Ecrêtage'!M274</f>
        <v>743113.49057176965</v>
      </c>
      <c r="F280" s="437">
        <f>$F$10*'D) Ecrêtage'!C274</f>
        <v>5081279.2964107692</v>
      </c>
      <c r="G280" s="55">
        <f t="shared" si="4"/>
        <v>6522900.501982539</v>
      </c>
    </row>
    <row r="281" spans="1:7" x14ac:dyDescent="0.25">
      <c r="A281" s="49">
        <f>'A) Base RI'!A277</f>
        <v>5882</v>
      </c>
      <c r="B281" s="294" t="str">
        <f>'A) Base RI'!B277</f>
        <v>Chardonne</v>
      </c>
      <c r="C281" s="10">
        <f>'A) Base RI'!V277</f>
        <v>2941</v>
      </c>
      <c r="D281" s="437">
        <f>'C) Prél. conj.'!H275</f>
        <v>945082.21499999997</v>
      </c>
      <c r="E281" s="10">
        <f>'D) Ecrêtage'!M275</f>
        <v>413019.06468529959</v>
      </c>
      <c r="F281" s="437">
        <f>$F$10*'D) Ecrêtage'!C275</f>
        <v>2477917.8410833185</v>
      </c>
      <c r="G281" s="55">
        <f t="shared" si="4"/>
        <v>3836019.1207686178</v>
      </c>
    </row>
    <row r="282" spans="1:7" x14ac:dyDescent="0.25">
      <c r="A282" s="49">
        <f>'A) Base RI'!A278</f>
        <v>5883</v>
      </c>
      <c r="B282" s="294" t="str">
        <f>'A) Base RI'!B278</f>
        <v>Corseaux</v>
      </c>
      <c r="C282" s="10">
        <f>'A) Base RI'!V278</f>
        <v>2282</v>
      </c>
      <c r="D282" s="437">
        <f>'C) Prél. conj.'!H276</f>
        <v>1744190.605</v>
      </c>
      <c r="E282" s="10">
        <f>'D) Ecrêtage'!M276</f>
        <v>966752.31898239302</v>
      </c>
      <c r="F282" s="437">
        <f>$F$10*'D) Ecrêtage'!C276</f>
        <v>2390942.4643296474</v>
      </c>
      <c r="G282" s="55">
        <f t="shared" si="4"/>
        <v>5101885.3883120399</v>
      </c>
    </row>
    <row r="283" spans="1:7" x14ac:dyDescent="0.25">
      <c r="A283" s="49">
        <f>'A) Base RI'!A279</f>
        <v>5884</v>
      </c>
      <c r="B283" s="294" t="str">
        <f>'A) Base RI'!B279</f>
        <v>Corsier-sur-Vevey</v>
      </c>
      <c r="C283" s="10">
        <f>'A) Base RI'!V279</f>
        <v>3386</v>
      </c>
      <c r="D283" s="437">
        <f>'C) Prél. conj.'!H277</f>
        <v>410193.255</v>
      </c>
      <c r="E283" s="10">
        <f>'D) Ecrêtage'!M277</f>
        <v>0</v>
      </c>
      <c r="F283" s="437">
        <f>$F$10*'D) Ecrêtage'!C277</f>
        <v>1751859.3850663318</v>
      </c>
      <c r="G283" s="55">
        <f t="shared" si="4"/>
        <v>2162052.6400663317</v>
      </c>
    </row>
    <row r="284" spans="1:7" x14ac:dyDescent="0.25">
      <c r="A284" s="49">
        <f>'A) Base RI'!A280</f>
        <v>5885</v>
      </c>
      <c r="B284" s="294" t="str">
        <f>'A) Base RI'!B280</f>
        <v>Jongny</v>
      </c>
      <c r="C284" s="10">
        <f>'A) Base RI'!V280</f>
        <v>1536</v>
      </c>
      <c r="D284" s="437">
        <f>'C) Prél. conj.'!H278</f>
        <v>631319.9</v>
      </c>
      <c r="E284" s="10">
        <f>'D) Ecrêtage'!M278</f>
        <v>213983.48711942681</v>
      </c>
      <c r="F284" s="437">
        <f>$F$10*'D) Ecrêtage'!C278</f>
        <v>1286016.2202427483</v>
      </c>
      <c r="G284" s="55">
        <f t="shared" si="4"/>
        <v>2131319.6073621754</v>
      </c>
    </row>
    <row r="285" spans="1:7" x14ac:dyDescent="0.25">
      <c r="A285" s="49">
        <f>'A) Base RI'!A281</f>
        <v>5886</v>
      </c>
      <c r="B285" s="294" t="str">
        <f>'A) Base RI'!B281</f>
        <v>Montreux</v>
      </c>
      <c r="C285" s="10">
        <f>'A) Base RI'!V281</f>
        <v>26006</v>
      </c>
      <c r="D285" s="437">
        <f>'C) Prél. conj.'!H279</f>
        <v>11995435.610000001</v>
      </c>
      <c r="E285" s="10">
        <f>'D) Ecrêtage'!M279</f>
        <v>0</v>
      </c>
      <c r="F285" s="437">
        <f>$F$10*'D) Ecrêtage'!C279</f>
        <v>16910702.318823144</v>
      </c>
      <c r="G285" s="55">
        <f t="shared" si="4"/>
        <v>28906137.928823143</v>
      </c>
    </row>
    <row r="286" spans="1:7" x14ac:dyDescent="0.25">
      <c r="A286" s="49">
        <f>'A) Base RI'!A282</f>
        <v>5888</v>
      </c>
      <c r="B286" s="294" t="str">
        <f>'A) Base RI'!B282</f>
        <v>Saint-Légier-La Chiésaz</v>
      </c>
      <c r="C286" s="10">
        <f>'A) Base RI'!V282</f>
        <v>5185</v>
      </c>
      <c r="D286" s="437">
        <f>'C) Prél. conj.'!H280</f>
        <v>980631.11</v>
      </c>
      <c r="E286" s="10">
        <f>'D) Ecrêtage'!M280</f>
        <v>1394390.2430548084</v>
      </c>
      <c r="F286" s="437">
        <f>$F$10*'D) Ecrêtage'!C280</f>
        <v>4841561.3050119448</v>
      </c>
      <c r="G286" s="55">
        <f t="shared" si="4"/>
        <v>7216582.6580667533</v>
      </c>
    </row>
    <row r="287" spans="1:7" x14ac:dyDescent="0.25">
      <c r="A287" s="49">
        <f>'A) Base RI'!A283</f>
        <v>5889</v>
      </c>
      <c r="B287" s="294" t="str">
        <f>'A) Base RI'!B283</f>
        <v>La Tour-de-Peilz</v>
      </c>
      <c r="C287" s="10">
        <f>'A) Base RI'!V283</f>
        <v>11871</v>
      </c>
      <c r="D287" s="437">
        <f>'C) Prél. conj.'!H281</f>
        <v>4109066.67</v>
      </c>
      <c r="E287" s="10">
        <f>'D) Ecrêtage'!M281</f>
        <v>1360866.5380580148</v>
      </c>
      <c r="F287" s="437">
        <f>$F$10*'D) Ecrêtage'!C281</f>
        <v>9834266.0565678459</v>
      </c>
      <c r="G287" s="55">
        <f t="shared" si="4"/>
        <v>15304199.26462586</v>
      </c>
    </row>
    <row r="288" spans="1:7" x14ac:dyDescent="0.25">
      <c r="A288" s="49">
        <f>'A) Base RI'!A284</f>
        <v>5890</v>
      </c>
      <c r="B288" s="294" t="str">
        <f>'A) Base RI'!B284</f>
        <v>Vevey</v>
      </c>
      <c r="C288" s="10">
        <f>'A) Base RI'!V284</f>
        <v>19904</v>
      </c>
      <c r="D288" s="437">
        <f>'C) Prél. conj.'!H282</f>
        <v>3812330.34</v>
      </c>
      <c r="E288" s="10">
        <f>'D) Ecrêtage'!M282</f>
        <v>323668.27904446796</v>
      </c>
      <c r="F288" s="437">
        <f>$F$10*'D) Ecrêtage'!C282</f>
        <v>14071154.071133109</v>
      </c>
      <c r="G288" s="55">
        <f t="shared" si="4"/>
        <v>18207152.690177578</v>
      </c>
    </row>
    <row r="289" spans="1:7" x14ac:dyDescent="0.25">
      <c r="A289" s="49">
        <f>'A) Base RI'!A285</f>
        <v>5891</v>
      </c>
      <c r="B289" s="294" t="str">
        <f>'A) Base RI'!B285</f>
        <v>Veytaux</v>
      </c>
      <c r="C289" s="10">
        <f>'A) Base RI'!V285</f>
        <v>884</v>
      </c>
      <c r="D289" s="437">
        <f>'C) Prél. conj.'!H283</f>
        <v>434297.19999999995</v>
      </c>
      <c r="E289" s="10">
        <f>'D) Ecrêtage'!M283</f>
        <v>0</v>
      </c>
      <c r="F289" s="437">
        <f>$F$10*'D) Ecrêtage'!C283</f>
        <v>556368.60094270227</v>
      </c>
      <c r="G289" s="55">
        <f t="shared" si="4"/>
        <v>990665.80094270222</v>
      </c>
    </row>
    <row r="290" spans="1:7" x14ac:dyDescent="0.25">
      <c r="A290" s="49">
        <f>'A) Base RI'!A286</f>
        <v>5902</v>
      </c>
      <c r="B290" s="294" t="str">
        <f>'A) Base RI'!B286</f>
        <v>Belmont-sur-Yverdon</v>
      </c>
      <c r="C290" s="10">
        <f>'A) Base RI'!V286</f>
        <v>384</v>
      </c>
      <c r="D290" s="437">
        <f>'C) Prél. conj.'!H284</f>
        <v>636.95000000000005</v>
      </c>
      <c r="E290" s="10">
        <f>'D) Ecrêtage'!M284</f>
        <v>0</v>
      </c>
      <c r="F290" s="437">
        <f>$F$10*'D) Ecrêtage'!C284</f>
        <v>158838.34366415747</v>
      </c>
      <c r="G290" s="55">
        <f t="shared" si="4"/>
        <v>159475.29366415748</v>
      </c>
    </row>
    <row r="291" spans="1:7" x14ac:dyDescent="0.25">
      <c r="A291" s="49">
        <f>'A) Base RI'!A287</f>
        <v>5903</v>
      </c>
      <c r="B291" s="294" t="str">
        <f>'A) Base RI'!B287</f>
        <v>Bioley-Magnoux</v>
      </c>
      <c r="C291" s="10">
        <f>'A) Base RI'!V287</f>
        <v>225</v>
      </c>
      <c r="D291" s="437">
        <f>'C) Prél. conj.'!H285</f>
        <v>15724.154999999999</v>
      </c>
      <c r="E291" s="10">
        <f>'D) Ecrêtage'!M285</f>
        <v>0</v>
      </c>
      <c r="F291" s="437">
        <f>$F$10*'D) Ecrêtage'!C285</f>
        <v>83772.15981425473</v>
      </c>
      <c r="G291" s="55">
        <f t="shared" si="4"/>
        <v>99496.314814254729</v>
      </c>
    </row>
    <row r="292" spans="1:7" x14ac:dyDescent="0.25">
      <c r="A292" s="49">
        <f>'A) Base RI'!A288</f>
        <v>5904</v>
      </c>
      <c r="B292" s="294" t="str">
        <f>'A) Base RI'!B288</f>
        <v>Chamblon</v>
      </c>
      <c r="C292" s="10">
        <f>'A) Base RI'!V288</f>
        <v>542</v>
      </c>
      <c r="D292" s="437">
        <f>'C) Prél. conj.'!H286</f>
        <v>34506.18</v>
      </c>
      <c r="E292" s="10">
        <f>'D) Ecrêtage'!M286</f>
        <v>0</v>
      </c>
      <c r="F292" s="437">
        <f>$F$10*'D) Ecrêtage'!C286</f>
        <v>307683.90587411512</v>
      </c>
      <c r="G292" s="55">
        <f t="shared" si="4"/>
        <v>342190.08587411512</v>
      </c>
    </row>
    <row r="293" spans="1:7" x14ac:dyDescent="0.25">
      <c r="A293" s="49">
        <f>'A) Base RI'!A289</f>
        <v>5905</v>
      </c>
      <c r="B293" s="294" t="str">
        <f>'A) Base RI'!B289</f>
        <v>Champvent</v>
      </c>
      <c r="C293" s="10">
        <f>'A) Base RI'!V289</f>
        <v>685</v>
      </c>
      <c r="D293" s="437">
        <f>'C) Prél. conj.'!H287</f>
        <v>40566.985000000001</v>
      </c>
      <c r="E293" s="10">
        <f>'D) Ecrêtage'!M287</f>
        <v>0</v>
      </c>
      <c r="F293" s="437">
        <f>$F$10*'D) Ecrêtage'!C287</f>
        <v>353640.15746628097</v>
      </c>
      <c r="G293" s="55">
        <f t="shared" si="4"/>
        <v>394207.14246628096</v>
      </c>
    </row>
    <row r="294" spans="1:7" x14ac:dyDescent="0.25">
      <c r="A294" s="49">
        <f>'A) Base RI'!A290</f>
        <v>5907</v>
      </c>
      <c r="B294" s="294" t="str">
        <f>'A) Base RI'!B290</f>
        <v>Chavannes-le-Chêne</v>
      </c>
      <c r="C294" s="10">
        <f>'A) Base RI'!V290</f>
        <v>308</v>
      </c>
      <c r="D294" s="437">
        <f>'C) Prél. conj.'!H288</f>
        <v>8304.65</v>
      </c>
      <c r="E294" s="10">
        <f>'D) Ecrêtage'!M288</f>
        <v>0</v>
      </c>
      <c r="F294" s="437">
        <f>$F$10*'D) Ecrêtage'!C288</f>
        <v>124297.26981574937</v>
      </c>
      <c r="G294" s="55">
        <f t="shared" si="4"/>
        <v>132601.91981574937</v>
      </c>
    </row>
    <row r="295" spans="1:7" x14ac:dyDescent="0.25">
      <c r="A295" s="49">
        <f>'A) Base RI'!A291</f>
        <v>5908</v>
      </c>
      <c r="B295" s="294" t="str">
        <f>'A) Base RI'!B291</f>
        <v>Chêne-Pâquier</v>
      </c>
      <c r="C295" s="10">
        <f>'A) Base RI'!V291</f>
        <v>141</v>
      </c>
      <c r="D295" s="437">
        <f>'C) Prél. conj.'!H289</f>
        <v>39999.185000000005</v>
      </c>
      <c r="E295" s="10">
        <f>'D) Ecrêtage'!M289</f>
        <v>0</v>
      </c>
      <c r="F295" s="437">
        <f>$F$10*'D) Ecrêtage'!C289</f>
        <v>48528.690121946798</v>
      </c>
      <c r="G295" s="55">
        <f t="shared" si="4"/>
        <v>88527.875121946796</v>
      </c>
    </row>
    <row r="296" spans="1:7" x14ac:dyDescent="0.25">
      <c r="A296" s="49">
        <f>'A) Base RI'!A292</f>
        <v>5909</v>
      </c>
      <c r="B296" s="294" t="str">
        <f>'A) Base RI'!B292</f>
        <v>Cheseaux-Noréaz</v>
      </c>
      <c r="C296" s="10">
        <f>'A) Base RI'!V292</f>
        <v>721</v>
      </c>
      <c r="D296" s="437">
        <f>'C) Prél. conj.'!H290</f>
        <v>89287.89499999999</v>
      </c>
      <c r="E296" s="10">
        <f>'D) Ecrêtage'!M290</f>
        <v>627.07634529930783</v>
      </c>
      <c r="F296" s="437">
        <f>$F$10*'D) Ecrêtage'!C290</f>
        <v>498520.0978877063</v>
      </c>
      <c r="G296" s="55">
        <f t="shared" si="4"/>
        <v>588435.06923300552</v>
      </c>
    </row>
    <row r="297" spans="1:7" x14ac:dyDescent="0.25">
      <c r="A297" s="49">
        <f>'A) Base RI'!A293</f>
        <v>5910</v>
      </c>
      <c r="B297" s="294" t="str">
        <f>'A) Base RI'!B293</f>
        <v>Cronay</v>
      </c>
      <c r="C297" s="10">
        <f>'A) Base RI'!V293</f>
        <v>385</v>
      </c>
      <c r="D297" s="437">
        <f>'C) Prél. conj.'!H291</f>
        <v>13933.2</v>
      </c>
      <c r="E297" s="10">
        <f>'D) Ecrêtage'!M291</f>
        <v>0</v>
      </c>
      <c r="F297" s="437">
        <f>$F$10*'D) Ecrêtage'!C291</f>
        <v>148015.58203098094</v>
      </c>
      <c r="G297" s="55">
        <f t="shared" si="4"/>
        <v>161948.78203098095</v>
      </c>
    </row>
    <row r="298" spans="1:7" x14ac:dyDescent="0.25">
      <c r="A298" s="49">
        <f>'A) Base RI'!A294</f>
        <v>5911</v>
      </c>
      <c r="B298" s="294" t="str">
        <f>'A) Base RI'!B294</f>
        <v>Cuarny</v>
      </c>
      <c r="C298" s="10">
        <f>'A) Base RI'!V294</f>
        <v>243</v>
      </c>
      <c r="D298" s="437">
        <f>'C) Prél. conj.'!H292</f>
        <v>28785.954999999998</v>
      </c>
      <c r="E298" s="10">
        <f>'D) Ecrêtage'!M292</f>
        <v>0</v>
      </c>
      <c r="F298" s="437">
        <f>$F$10*'D) Ecrêtage'!C292</f>
        <v>105304.36863220234</v>
      </c>
      <c r="G298" s="55">
        <f t="shared" si="4"/>
        <v>134090.32363220234</v>
      </c>
    </row>
    <row r="299" spans="1:7" x14ac:dyDescent="0.25">
      <c r="A299" s="49">
        <f>'A) Base RI'!A295</f>
        <v>5912</v>
      </c>
      <c r="B299" s="294" t="str">
        <f>'A) Base RI'!B295</f>
        <v>Démoret</v>
      </c>
      <c r="C299" s="10">
        <f>'A) Base RI'!V295</f>
        <v>141</v>
      </c>
      <c r="D299" s="437">
        <f>'C) Prél. conj.'!H293</f>
        <v>0</v>
      </c>
      <c r="E299" s="10">
        <f>'D) Ecrêtage'!M293</f>
        <v>0</v>
      </c>
      <c r="F299" s="437">
        <f>$F$10*'D) Ecrêtage'!C293</f>
        <v>48266.377458524803</v>
      </c>
      <c r="G299" s="55">
        <f t="shared" si="4"/>
        <v>48266.377458524803</v>
      </c>
    </row>
    <row r="300" spans="1:7" x14ac:dyDescent="0.25">
      <c r="A300" s="49">
        <f>'A) Base RI'!A296</f>
        <v>5913</v>
      </c>
      <c r="B300" s="294" t="str">
        <f>'A) Base RI'!B296</f>
        <v>Donneloye</v>
      </c>
      <c r="C300" s="10">
        <f>'A) Base RI'!V296</f>
        <v>809</v>
      </c>
      <c r="D300" s="437">
        <f>'C) Prél. conj.'!H294</f>
        <v>80353.964999999997</v>
      </c>
      <c r="E300" s="10">
        <f>'D) Ecrêtage'!M294</f>
        <v>0</v>
      </c>
      <c r="F300" s="437">
        <f>$F$10*'D) Ecrêtage'!C294</f>
        <v>309776.13205546403</v>
      </c>
      <c r="G300" s="55">
        <f t="shared" si="4"/>
        <v>390130.09705546405</v>
      </c>
    </row>
    <row r="301" spans="1:7" x14ac:dyDescent="0.25">
      <c r="A301" s="49">
        <f>'A) Base RI'!A297</f>
        <v>5914</v>
      </c>
      <c r="B301" s="294" t="str">
        <f>'A) Base RI'!B297</f>
        <v>Ependes</v>
      </c>
      <c r="C301" s="10">
        <f>'A) Base RI'!V297</f>
        <v>360</v>
      </c>
      <c r="D301" s="437">
        <f>'C) Prél. conj.'!H295</f>
        <v>18898.919999999998</v>
      </c>
      <c r="E301" s="10">
        <f>'D) Ecrêtage'!M295</f>
        <v>0</v>
      </c>
      <c r="F301" s="437">
        <f>$F$10*'D) Ecrêtage'!C295</f>
        <v>146069.71258815806</v>
      </c>
      <c r="G301" s="55">
        <f t="shared" si="4"/>
        <v>164968.63258815807</v>
      </c>
    </row>
    <row r="302" spans="1:7" x14ac:dyDescent="0.25">
      <c r="A302" s="49">
        <f>'A) Base RI'!A298</f>
        <v>5919</v>
      </c>
      <c r="B302" s="294" t="str">
        <f>'A) Base RI'!B298</f>
        <v>Mathod</v>
      </c>
      <c r="C302" s="10">
        <f>'A) Base RI'!V298</f>
        <v>611</v>
      </c>
      <c r="D302" s="437">
        <f>'C) Prél. conj.'!H296</f>
        <v>107369.565</v>
      </c>
      <c r="E302" s="10">
        <f>'D) Ecrêtage'!M296</f>
        <v>0</v>
      </c>
      <c r="F302" s="437">
        <f>$F$10*'D) Ecrêtage'!C296</f>
        <v>263569.78209494532</v>
      </c>
      <c r="G302" s="55">
        <f t="shared" si="4"/>
        <v>370939.34709494532</v>
      </c>
    </row>
    <row r="303" spans="1:7" x14ac:dyDescent="0.25">
      <c r="A303" s="49">
        <f>'A) Base RI'!A299</f>
        <v>5921</v>
      </c>
      <c r="B303" s="294" t="str">
        <f>'A) Base RI'!B299</f>
        <v>Molondin</v>
      </c>
      <c r="C303" s="10">
        <f>'A) Base RI'!V299</f>
        <v>235</v>
      </c>
      <c r="D303" s="437">
        <f>'C) Prél. conj.'!H297</f>
        <v>10896.9</v>
      </c>
      <c r="E303" s="10">
        <f>'D) Ecrêtage'!M297</f>
        <v>0</v>
      </c>
      <c r="F303" s="437">
        <f>$F$10*'D) Ecrêtage'!C297</f>
        <v>80447.510715616983</v>
      </c>
      <c r="G303" s="55">
        <f t="shared" si="4"/>
        <v>91344.410715616978</v>
      </c>
    </row>
    <row r="304" spans="1:7" x14ac:dyDescent="0.25">
      <c r="A304" s="49">
        <f>'A) Base RI'!A300</f>
        <v>5922</v>
      </c>
      <c r="B304" s="294" t="str">
        <f>'A) Base RI'!B300</f>
        <v>Montagny-près-Yverdon</v>
      </c>
      <c r="C304" s="10">
        <f>'A) Base RI'!V300</f>
        <v>738</v>
      </c>
      <c r="D304" s="437">
        <f>'C) Prél. conj.'!H298</f>
        <v>242073.11000000002</v>
      </c>
      <c r="E304" s="10">
        <f>'D) Ecrêtage'!M298</f>
        <v>32546.35559319413</v>
      </c>
      <c r="F304" s="437">
        <f>$F$10*'D) Ecrêtage'!C298</f>
        <v>548132.10559066024</v>
      </c>
      <c r="G304" s="55">
        <f t="shared" si="4"/>
        <v>822751.57118385436</v>
      </c>
    </row>
    <row r="305" spans="1:7" x14ac:dyDescent="0.25">
      <c r="A305" s="49">
        <f>'A) Base RI'!A301</f>
        <v>5923</v>
      </c>
      <c r="B305" s="294" t="str">
        <f>'A) Base RI'!B301</f>
        <v>Oppens</v>
      </c>
      <c r="C305" s="10">
        <f>'A) Base RI'!V301</f>
        <v>196</v>
      </c>
      <c r="D305" s="437">
        <f>'C) Prél. conj.'!H299</f>
        <v>16674.575000000001</v>
      </c>
      <c r="E305" s="10">
        <f>'D) Ecrêtage'!M299</f>
        <v>0</v>
      </c>
      <c r="F305" s="437">
        <f>$F$10*'D) Ecrêtage'!C299</f>
        <v>79649.113759003085</v>
      </c>
      <c r="G305" s="55">
        <f t="shared" si="4"/>
        <v>96323.688759003082</v>
      </c>
    </row>
    <row r="306" spans="1:7" x14ac:dyDescent="0.25">
      <c r="A306" s="49">
        <f>'A) Base RI'!A302</f>
        <v>5924</v>
      </c>
      <c r="B306" s="294" t="str">
        <f>'A) Base RI'!B302</f>
        <v>Orges</v>
      </c>
      <c r="C306" s="10">
        <f>'A) Base RI'!V302</f>
        <v>332</v>
      </c>
      <c r="D306" s="437">
        <f>'C) Prél. conj.'!H300</f>
        <v>21861.205000000002</v>
      </c>
      <c r="E306" s="10">
        <f>'D) Ecrêtage'!M300</f>
        <v>0</v>
      </c>
      <c r="F306" s="437">
        <f>$F$10*'D) Ecrêtage'!C300</f>
        <v>158279.8771131885</v>
      </c>
      <c r="G306" s="55">
        <f t="shared" si="4"/>
        <v>180141.08211318852</v>
      </c>
    </row>
    <row r="307" spans="1:7" x14ac:dyDescent="0.25">
      <c r="A307" s="49">
        <f>'A) Base RI'!A303</f>
        <v>5925</v>
      </c>
      <c r="B307" s="294" t="str">
        <f>'A) Base RI'!B303</f>
        <v>Orzens</v>
      </c>
      <c r="C307" s="10">
        <f>'A) Base RI'!V303</f>
        <v>196</v>
      </c>
      <c r="D307" s="437">
        <f>'C) Prél. conj.'!H301</f>
        <v>25186.479999999996</v>
      </c>
      <c r="E307" s="10">
        <f>'D) Ecrêtage'!M301</f>
        <v>0</v>
      </c>
      <c r="F307" s="437">
        <f>$F$10*'D) Ecrêtage'!C301</f>
        <v>85708.121297181948</v>
      </c>
      <c r="G307" s="55">
        <f t="shared" si="4"/>
        <v>110894.60129718194</v>
      </c>
    </row>
    <row r="308" spans="1:7" x14ac:dyDescent="0.25">
      <c r="A308" s="49">
        <f>'A) Base RI'!A304</f>
        <v>5926</v>
      </c>
      <c r="B308" s="294" t="str">
        <f>'A) Base RI'!B304</f>
        <v>Pomy</v>
      </c>
      <c r="C308" s="10">
        <f>'A) Base RI'!V304</f>
        <v>780</v>
      </c>
      <c r="D308" s="437">
        <f>'C) Prél. conj.'!H302</f>
        <v>28316.91</v>
      </c>
      <c r="E308" s="10">
        <f>'D) Ecrêtage'!M302</f>
        <v>0</v>
      </c>
      <c r="F308" s="437">
        <f>$F$10*'D) Ecrêtage'!C302</f>
        <v>409655.23875161225</v>
      </c>
      <c r="G308" s="55">
        <f t="shared" si="4"/>
        <v>437972.14875161223</v>
      </c>
    </row>
    <row r="309" spans="1:7" x14ac:dyDescent="0.25">
      <c r="A309" s="49">
        <f>'A) Base RI'!A305</f>
        <v>5928</v>
      </c>
      <c r="B309" s="294" t="str">
        <f>'A) Base RI'!B305</f>
        <v>Rovray</v>
      </c>
      <c r="C309" s="10">
        <f>'A) Base RI'!V305</f>
        <v>180</v>
      </c>
      <c r="D309" s="437">
        <f>'C) Prél. conj.'!H303</f>
        <v>14239.58</v>
      </c>
      <c r="E309" s="10">
        <f>'D) Ecrêtage'!M303</f>
        <v>0</v>
      </c>
      <c r="F309" s="437">
        <f>$F$10*'D) Ecrêtage'!C303</f>
        <v>66738.399965083838</v>
      </c>
      <c r="G309" s="55">
        <f t="shared" si="4"/>
        <v>80977.979965083839</v>
      </c>
    </row>
    <row r="310" spans="1:7" x14ac:dyDescent="0.25">
      <c r="A310" s="49">
        <f>'A) Base RI'!A306</f>
        <v>5929</v>
      </c>
      <c r="B310" s="294" t="str">
        <f>'A) Base RI'!B306</f>
        <v>Suchy</v>
      </c>
      <c r="C310" s="10">
        <f>'A) Base RI'!V306</f>
        <v>599</v>
      </c>
      <c r="D310" s="437">
        <f>'C) Prél. conj.'!H304</f>
        <v>48813.845000000001</v>
      </c>
      <c r="E310" s="10">
        <f>'D) Ecrêtage'!M304</f>
        <v>0</v>
      </c>
      <c r="F310" s="437">
        <f>$F$10*'D) Ecrêtage'!C304</f>
        <v>263764.71623780235</v>
      </c>
      <c r="G310" s="55">
        <f t="shared" si="4"/>
        <v>312578.56123780238</v>
      </c>
    </row>
    <row r="311" spans="1:7" x14ac:dyDescent="0.25">
      <c r="A311" s="49">
        <f>'A) Base RI'!A307</f>
        <v>5930</v>
      </c>
      <c r="B311" s="294" t="str">
        <f>'A) Base RI'!B307</f>
        <v>Suscévaz</v>
      </c>
      <c r="C311" s="10">
        <f>'A) Base RI'!V307</f>
        <v>213</v>
      </c>
      <c r="D311" s="437">
        <f>'C) Prél. conj.'!H305</f>
        <v>30650.454999999998</v>
      </c>
      <c r="E311" s="10">
        <f>'D) Ecrêtage'!M305</f>
        <v>0</v>
      </c>
      <c r="F311" s="437">
        <f>$F$10*'D) Ecrêtage'!C305</f>
        <v>90035.156098042164</v>
      </c>
      <c r="G311" s="55">
        <f t="shared" si="4"/>
        <v>120685.61109804217</v>
      </c>
    </row>
    <row r="312" spans="1:7" x14ac:dyDescent="0.25">
      <c r="A312" s="49">
        <f>'A) Base RI'!A308</f>
        <v>5931</v>
      </c>
      <c r="B312" s="294" t="str">
        <f>'A) Base RI'!B308</f>
        <v>Treycovagnes</v>
      </c>
      <c r="C312" s="10">
        <f>'A) Base RI'!V308</f>
        <v>480</v>
      </c>
      <c r="D312" s="437">
        <f>'C) Prél. conj.'!H306</f>
        <v>34521.85</v>
      </c>
      <c r="E312" s="10">
        <f>'D) Ecrêtage'!M306</f>
        <v>0</v>
      </c>
      <c r="F312" s="437">
        <f>$F$10*'D) Ecrêtage'!C306</f>
        <v>199832.69187592284</v>
      </c>
      <c r="G312" s="55">
        <f t="shared" si="4"/>
        <v>234354.54187592285</v>
      </c>
    </row>
    <row r="313" spans="1:7" x14ac:dyDescent="0.25">
      <c r="A313" s="49">
        <f>'A) Base RI'!A309</f>
        <v>5932</v>
      </c>
      <c r="B313" s="294" t="str">
        <f>'A) Base RI'!B309</f>
        <v>Ursins</v>
      </c>
      <c r="C313" s="10">
        <f>'A) Base RI'!V309</f>
        <v>230</v>
      </c>
      <c r="D313" s="437">
        <f>'C) Prél. conj.'!H307</f>
        <v>23643.9</v>
      </c>
      <c r="E313" s="10">
        <f>'D) Ecrêtage'!M307</f>
        <v>0</v>
      </c>
      <c r="F313" s="437">
        <f>$F$10*'D) Ecrêtage'!C307</f>
        <v>102991.83028616305</v>
      </c>
      <c r="G313" s="55">
        <f t="shared" si="4"/>
        <v>126635.73028616305</v>
      </c>
    </row>
    <row r="314" spans="1:7" x14ac:dyDescent="0.25">
      <c r="A314" s="49">
        <f>'A) Base RI'!A310</f>
        <v>5933</v>
      </c>
      <c r="B314" s="294" t="str">
        <f>'A) Base RI'!B310</f>
        <v>Valeyres-sous-Montagny</v>
      </c>
      <c r="C314" s="10">
        <f>'A) Base RI'!V310</f>
        <v>708</v>
      </c>
      <c r="D314" s="437">
        <f>'C) Prél. conj.'!H308</f>
        <v>46856.845000000008</v>
      </c>
      <c r="E314" s="10">
        <f>'D) Ecrêtage'!M308</f>
        <v>0</v>
      </c>
      <c r="F314" s="437">
        <f>$F$10*'D) Ecrêtage'!C308</f>
        <v>348610.68483210792</v>
      </c>
      <c r="G314" s="55">
        <f t="shared" si="4"/>
        <v>395467.52983210795</v>
      </c>
    </row>
    <row r="315" spans="1:7" x14ac:dyDescent="0.25">
      <c r="A315" s="49">
        <f>'A) Base RI'!A311</f>
        <v>5934</v>
      </c>
      <c r="B315" s="294" t="str">
        <f>'A) Base RI'!B311</f>
        <v>Valeyres-sous-Ursins</v>
      </c>
      <c r="C315" s="10">
        <f>'A) Base RI'!V311</f>
        <v>232</v>
      </c>
      <c r="D315" s="437">
        <f>'C) Prél. conj.'!H309</f>
        <v>1405.5</v>
      </c>
      <c r="E315" s="10">
        <f>'D) Ecrêtage'!M309</f>
        <v>0</v>
      </c>
      <c r="F315" s="437">
        <f>$F$10*'D) Ecrêtage'!C309</f>
        <v>117712.0354314978</v>
      </c>
      <c r="G315" s="55">
        <f t="shared" si="4"/>
        <v>119117.5354314978</v>
      </c>
    </row>
    <row r="316" spans="1:7" x14ac:dyDescent="0.25">
      <c r="A316" s="49">
        <f>'A) Base RI'!A312</f>
        <v>5935</v>
      </c>
      <c r="B316" s="294" t="str">
        <f>'A) Base RI'!B312</f>
        <v>Villars-Epeney</v>
      </c>
      <c r="C316" s="10">
        <f>'A) Base RI'!V312</f>
        <v>100</v>
      </c>
      <c r="D316" s="437">
        <f>'C) Prél. conj.'!H310</f>
        <v>6738.05</v>
      </c>
      <c r="E316" s="10">
        <f>'D) Ecrêtage'!M310</f>
        <v>14580.215750613084</v>
      </c>
      <c r="F316" s="437">
        <f>$F$10*'D) Ecrêtage'!C310</f>
        <v>86127.42578329063</v>
      </c>
      <c r="G316" s="55">
        <f t="shared" si="4"/>
        <v>107445.69153390372</v>
      </c>
    </row>
    <row r="317" spans="1:7" x14ac:dyDescent="0.25">
      <c r="A317" s="49">
        <f>'A) Base RI'!A313</f>
        <v>5937</v>
      </c>
      <c r="B317" s="294" t="str">
        <f>'A) Base RI'!B313</f>
        <v>Vugelles-La Mothe</v>
      </c>
      <c r="C317" s="10">
        <f>'A) Base RI'!V313</f>
        <v>132</v>
      </c>
      <c r="D317" s="437">
        <f>'C) Prél. conj.'!H311</f>
        <v>9276.5</v>
      </c>
      <c r="E317" s="10">
        <f>'D) Ecrêtage'!M311</f>
        <v>0</v>
      </c>
      <c r="F317" s="437">
        <f>$F$10*'D) Ecrêtage'!C311</f>
        <v>37010.860731257293</v>
      </c>
      <c r="G317" s="55">
        <f t="shared" si="4"/>
        <v>46287.360731257293</v>
      </c>
    </row>
    <row r="318" spans="1:7" x14ac:dyDescent="0.25">
      <c r="A318" s="49">
        <f>'A) Base RI'!A314</f>
        <v>5938</v>
      </c>
      <c r="B318" s="294" t="str">
        <f>'A) Base RI'!B314</f>
        <v>Yverdon-les-Bains</v>
      </c>
      <c r="C318" s="10">
        <f>'A) Base RI'!V314</f>
        <v>30211</v>
      </c>
      <c r="D318" s="437">
        <f>'C) Prél. conj.'!H312</f>
        <v>3587359.06</v>
      </c>
      <c r="E318" s="10">
        <f>'D) Ecrêtage'!M312</f>
        <v>0</v>
      </c>
      <c r="F318" s="437">
        <f>$F$10*'D) Ecrêtage'!C312</f>
        <v>11534916.246108832</v>
      </c>
      <c r="G318" s="55">
        <f t="shared" si="4"/>
        <v>15122275.306108832</v>
      </c>
    </row>
    <row r="319" spans="1:7" x14ac:dyDescent="0.25">
      <c r="A319" s="49">
        <f>'A) Base RI'!A315</f>
        <v>5939</v>
      </c>
      <c r="B319" s="294" t="str">
        <f>'A) Base RI'!B315</f>
        <v>Yvonand</v>
      </c>
      <c r="C319" s="10">
        <f>'A) Base RI'!V315</f>
        <v>3426</v>
      </c>
      <c r="D319" s="437">
        <f>'C) Prél. conj.'!H313</f>
        <v>350363.39</v>
      </c>
      <c r="E319" s="10">
        <f>'D) Ecrêtage'!M313</f>
        <v>0</v>
      </c>
      <c r="F319" s="437">
        <f>$F$10*'D) Ecrêtage'!C313</f>
        <v>1417097.1672357423</v>
      </c>
      <c r="G319" s="55">
        <f t="shared" si="4"/>
        <v>1767460.5572357425</v>
      </c>
    </row>
    <row r="320" spans="1:7" x14ac:dyDescent="0.25">
      <c r="A320" s="30"/>
      <c r="B320" s="300">
        <f>COUNTA(B11:B319)</f>
        <v>309</v>
      </c>
      <c r="C320" s="11">
        <f>SUM(C11:C319)</f>
        <v>800162</v>
      </c>
      <c r="D320" s="301">
        <f>SUM(D11:D319)</f>
        <v>152573910.87500018</v>
      </c>
      <c r="E320" s="11">
        <f>SUM(E11:E319)</f>
        <v>119800409.62351978</v>
      </c>
      <c r="F320" s="301">
        <f>SUM(F11:F319)</f>
        <v>552489279.50147986</v>
      </c>
      <c r="G320" s="37">
        <f>SUM(G11:G319)</f>
        <v>824863599.99999928</v>
      </c>
    </row>
    <row r="321" spans="1:13" x14ac:dyDescent="0.25">
      <c r="C321" s="71"/>
      <c r="D321" s="71"/>
      <c r="E321" s="71"/>
      <c r="F321" s="71"/>
    </row>
    <row r="322" spans="1:13" x14ac:dyDescent="0.25">
      <c r="A322" s="72"/>
      <c r="B322" s="73"/>
      <c r="C322" s="73"/>
      <c r="D322" s="45"/>
      <c r="E322" s="74"/>
      <c r="F322" s="16"/>
      <c r="G322" s="16"/>
      <c r="H322" s="16"/>
      <c r="I322" s="16"/>
      <c r="J322" s="16"/>
      <c r="M322" s="16"/>
    </row>
    <row r="323" spans="1:13" x14ac:dyDescent="0.25">
      <c r="F323" s="72"/>
      <c r="G323" s="72"/>
      <c r="H323" s="72"/>
      <c r="I323" s="72"/>
      <c r="J323" s="72"/>
      <c r="K323" s="72"/>
      <c r="L323" s="73"/>
      <c r="M323" s="72"/>
    </row>
    <row r="324" spans="1:13" x14ac:dyDescent="0.25">
      <c r="F324" s="73"/>
      <c r="G324" s="72"/>
      <c r="H324" s="72"/>
      <c r="I324" s="72"/>
      <c r="J324" s="72"/>
      <c r="K324" s="72"/>
      <c r="L324" s="72"/>
      <c r="M324" s="72"/>
    </row>
    <row r="325" spans="1:13" x14ac:dyDescent="0.25">
      <c r="F325" s="73"/>
      <c r="G325" s="72"/>
      <c r="H325" s="72"/>
      <c r="I325" s="72"/>
      <c r="M325" s="72"/>
    </row>
    <row r="326" spans="1:13" x14ac:dyDescent="0.25">
      <c r="F326" s="73"/>
      <c r="G326" s="72"/>
      <c r="H326" s="72"/>
      <c r="I326" s="72"/>
      <c r="M326" s="72"/>
    </row>
    <row r="327" spans="1:13" x14ac:dyDescent="0.25">
      <c r="F327" s="85"/>
      <c r="G327" s="72"/>
      <c r="H327" s="72"/>
      <c r="I327" s="72"/>
      <c r="M327" s="72"/>
    </row>
    <row r="328" spans="1:13" x14ac:dyDescent="0.25">
      <c r="D328" s="17"/>
      <c r="E328" s="72"/>
      <c r="F328" s="72"/>
      <c r="G328" s="72"/>
      <c r="H328" s="72"/>
      <c r="I328" s="72"/>
      <c r="J328" s="72"/>
      <c r="K328" s="72"/>
      <c r="L328" s="72"/>
      <c r="M328" s="72"/>
    </row>
    <row r="329" spans="1:13" x14ac:dyDescent="0.25">
      <c r="C329" s="58"/>
      <c r="E329" s="72"/>
      <c r="F329" s="72"/>
      <c r="G329" s="72"/>
      <c r="H329" s="72"/>
      <c r="I329" s="72"/>
      <c r="J329" s="72"/>
      <c r="K329" s="72"/>
      <c r="L329" s="72"/>
      <c r="M329" s="72"/>
    </row>
    <row r="330" spans="1:13" x14ac:dyDescent="0.25">
      <c r="E330" s="72"/>
      <c r="F330" s="72"/>
      <c r="G330" s="72"/>
      <c r="H330" s="72"/>
      <c r="I330" s="72"/>
      <c r="J330" s="72"/>
      <c r="M330" s="72"/>
    </row>
    <row r="331" spans="1:13" x14ac:dyDescent="0.25">
      <c r="E331" s="72"/>
      <c r="F331" s="72"/>
      <c r="G331" s="72"/>
      <c r="H331" s="72"/>
      <c r="I331" s="72"/>
      <c r="J331" s="72"/>
      <c r="M331" s="72"/>
    </row>
    <row r="332" spans="1:13" x14ac:dyDescent="0.25">
      <c r="E332" s="72"/>
      <c r="F332" s="72"/>
      <c r="G332" s="72"/>
      <c r="H332" s="72"/>
      <c r="I332" s="72"/>
      <c r="J332" s="72"/>
      <c r="M332" s="72"/>
    </row>
  </sheetData>
  <mergeCells count="7">
    <mergeCell ref="A3:C3"/>
    <mergeCell ref="A9:A10"/>
    <mergeCell ref="G9:G10"/>
    <mergeCell ref="E9:E10"/>
    <mergeCell ref="D9:D10"/>
    <mergeCell ref="C9:C10"/>
    <mergeCell ref="B9:B10"/>
  </mergeCells>
  <phoneticPr fontId="0" type="noConversion"/>
  <printOptions horizontalCentered="1"/>
  <pageMargins left="0" right="0" top="0" bottom="0" header="0.51181102362204722" footer="0.51181102362204722"/>
  <pageSetup paperSize="9" scale="73" orientation="portrait" horizontalDpi="4294967292" vertic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rgb="FF00B050"/>
  </sheetPr>
  <dimension ref="A1:L328"/>
  <sheetViews>
    <sheetView workbookViewId="0"/>
  </sheetViews>
  <sheetFormatPr baseColWidth="10" defaultColWidth="11" defaultRowHeight="15" x14ac:dyDescent="0.25"/>
  <cols>
    <col min="1" max="1" width="7.25" style="13" customWidth="1"/>
    <col min="2" max="2" width="17.375" style="13" bestFit="1" customWidth="1"/>
    <col min="3" max="3" width="11.875" style="13" customWidth="1"/>
    <col min="4" max="9" width="11" style="13"/>
    <col min="10" max="10" width="8.25" style="13" bestFit="1" customWidth="1"/>
    <col min="11" max="11" width="10.75" style="13" bestFit="1" customWidth="1"/>
    <col min="12" max="16384" width="11" style="13"/>
  </cols>
  <sheetData>
    <row r="1" spans="1:12" ht="21" x14ac:dyDescent="0.25">
      <c r="A1" s="51" t="s">
        <v>453</v>
      </c>
      <c r="B1" s="42"/>
      <c r="C1" s="68"/>
    </row>
    <row r="2" spans="1:12" x14ac:dyDescent="0.25">
      <c r="A2" s="27"/>
      <c r="B2" s="53"/>
    </row>
    <row r="3" spans="1:12" x14ac:dyDescent="0.25">
      <c r="A3" s="27"/>
      <c r="B3" s="53"/>
      <c r="C3" s="519" t="s">
        <v>308</v>
      </c>
      <c r="D3" s="520"/>
      <c r="E3" s="520"/>
      <c r="F3" s="520"/>
      <c r="G3" s="520"/>
      <c r="H3" s="520"/>
      <c r="I3" s="520"/>
      <c r="J3" s="521"/>
    </row>
    <row r="4" spans="1:12" x14ac:dyDescent="0.25">
      <c r="C4" s="123" t="s">
        <v>307</v>
      </c>
      <c r="D4" s="102">
        <f>Paramètres!B24</f>
        <v>0</v>
      </c>
      <c r="E4" s="102">
        <f>Paramètres!C24</f>
        <v>1000</v>
      </c>
      <c r="F4" s="102">
        <f>Paramètres!D24</f>
        <v>3000</v>
      </c>
      <c r="G4" s="102">
        <f>Paramètres!E24</f>
        <v>5000</v>
      </c>
      <c r="H4" s="102">
        <f>Paramètres!F24</f>
        <v>9000</v>
      </c>
      <c r="I4" s="102">
        <f>Paramètres!G24</f>
        <v>12000</v>
      </c>
      <c r="J4" s="102">
        <f>Paramètres!H24</f>
        <v>15000</v>
      </c>
    </row>
    <row r="5" spans="1:12" x14ac:dyDescent="0.25">
      <c r="C5" s="105" t="s">
        <v>309</v>
      </c>
      <c r="D5" s="102">
        <f>Paramètres!B25</f>
        <v>1000</v>
      </c>
      <c r="E5" s="102">
        <f>Paramètres!C25</f>
        <v>3000</v>
      </c>
      <c r="F5" s="102">
        <f>Paramètres!D25</f>
        <v>5000</v>
      </c>
      <c r="G5" s="102">
        <f>Paramètres!E25</f>
        <v>9000</v>
      </c>
      <c r="H5" s="102">
        <f>Paramètres!F25</f>
        <v>12000</v>
      </c>
      <c r="I5" s="102">
        <f>Paramètres!G25</f>
        <v>15000</v>
      </c>
      <c r="J5" s="102"/>
    </row>
    <row r="6" spans="1:12" ht="30" customHeight="1" x14ac:dyDescent="0.25">
      <c r="A6" s="501" t="s">
        <v>46</v>
      </c>
      <c r="B6" s="501" t="s">
        <v>96</v>
      </c>
      <c r="C6" s="501" t="s">
        <v>304</v>
      </c>
      <c r="D6" s="508" t="s">
        <v>310</v>
      </c>
      <c r="E6" s="509"/>
      <c r="F6" s="509"/>
      <c r="G6" s="509"/>
      <c r="H6" s="509"/>
      <c r="I6" s="509"/>
      <c r="J6" s="510"/>
      <c r="K6" s="501" t="s">
        <v>295</v>
      </c>
    </row>
    <row r="7" spans="1:12" x14ac:dyDescent="0.25">
      <c r="A7" s="502"/>
      <c r="B7" s="503"/>
      <c r="C7" s="503"/>
      <c r="D7" s="276">
        <f>Paramètres!B29</f>
        <v>124.874245472837</v>
      </c>
      <c r="E7" s="276">
        <f>Paramètres!C29</f>
        <v>349.64788732394362</v>
      </c>
      <c r="F7" s="276">
        <f>Paramètres!D29</f>
        <v>499.49698189134801</v>
      </c>
      <c r="G7" s="276">
        <f>Paramètres!E29</f>
        <v>599.39637826961768</v>
      </c>
      <c r="H7" s="276">
        <f>Paramètres!F29</f>
        <v>849.14486921529169</v>
      </c>
      <c r="I7" s="276">
        <f>Paramètres!G29</f>
        <v>998.99396378269603</v>
      </c>
      <c r="J7" s="276">
        <f>Paramètres!H29</f>
        <v>1048.9436619718308</v>
      </c>
      <c r="K7" s="502"/>
    </row>
    <row r="8" spans="1:12" x14ac:dyDescent="0.25">
      <c r="A8" s="46">
        <f>'A) Base RI'!A7</f>
        <v>5401</v>
      </c>
      <c r="B8" s="296" t="str">
        <f>'A) Base RI'!B7</f>
        <v>Aigle</v>
      </c>
      <c r="C8" s="54">
        <f>'A) Base RI'!V7</f>
        <v>10134</v>
      </c>
      <c r="D8" s="10">
        <f>IF($C8&gt;D$4,IF($C8&lt;D$5,$C8-D$4,D$5-D$4),0)</f>
        <v>1000</v>
      </c>
      <c r="E8" s="14">
        <f t="shared" ref="E8:I23" si="0">IF($C8&gt;E$4,IF($C8&lt;E$5,$C8-E$4,E$5-E$4),0)</f>
        <v>2000</v>
      </c>
      <c r="F8" s="10">
        <f t="shared" si="0"/>
        <v>2000</v>
      </c>
      <c r="G8" s="14">
        <f t="shared" si="0"/>
        <v>4000</v>
      </c>
      <c r="H8" s="41">
        <f t="shared" si="0"/>
        <v>1134</v>
      </c>
      <c r="I8" s="10">
        <f t="shared" si="0"/>
        <v>0</v>
      </c>
      <c r="J8" s="10">
        <f>IF(C8&gt;$J$4,C8-$J$4,0)</f>
        <v>0</v>
      </c>
      <c r="K8" s="114">
        <f>(D8*D$7)+(E8*E$7)+(F8*F$7)+(G8*G$7)+(H8*H$7)+(I8*I$7)+(J8*J$7)</f>
        <v>5183679.7786720321</v>
      </c>
    </row>
    <row r="9" spans="1:12" x14ac:dyDescent="0.25">
      <c r="A9" s="49">
        <f>'A) Base RI'!A8</f>
        <v>5402</v>
      </c>
      <c r="B9" s="296" t="str">
        <f>'A) Base RI'!B8</f>
        <v>Bex</v>
      </c>
      <c r="C9" s="10">
        <f>'A) Base RI'!V8</f>
        <v>7757</v>
      </c>
      <c r="D9" s="10">
        <f t="shared" ref="D9:I63" si="1">IF($C9&gt;D$4,IF($C9&lt;D$5,$C9-D$4,D$5-D$4),0)</f>
        <v>1000</v>
      </c>
      <c r="E9" s="437">
        <f t="shared" si="0"/>
        <v>2000</v>
      </c>
      <c r="F9" s="10">
        <f t="shared" si="0"/>
        <v>2000</v>
      </c>
      <c r="G9" s="437">
        <f t="shared" si="0"/>
        <v>2757</v>
      </c>
      <c r="H9" s="41">
        <f t="shared" si="0"/>
        <v>0</v>
      </c>
      <c r="I9" s="10">
        <f t="shared" si="0"/>
        <v>0</v>
      </c>
      <c r="J9" s="10">
        <f t="shared" ref="J9:J72" si="2">IF(C9&gt;$J$4,C9-$J$4,0)</f>
        <v>0</v>
      </c>
      <c r="K9" s="114">
        <f t="shared" ref="K9:K72" si="3">(D9*D$7)+(E9*E$7)+(F9*F$7)+(G9*G$7)+(H9*H$7)+(I9*I$7)+(J9*J$7)</f>
        <v>3475699.7987927562</v>
      </c>
    </row>
    <row r="10" spans="1:12" x14ac:dyDescent="0.25">
      <c r="A10" s="49">
        <f>'A) Base RI'!A9</f>
        <v>5403</v>
      </c>
      <c r="B10" s="296" t="str">
        <f>'A) Base RI'!B9</f>
        <v>Chessel</v>
      </c>
      <c r="C10" s="10">
        <f>'A) Base RI'!V9</f>
        <v>426</v>
      </c>
      <c r="D10" s="10">
        <f t="shared" si="1"/>
        <v>426</v>
      </c>
      <c r="E10" s="437">
        <f t="shared" si="0"/>
        <v>0</v>
      </c>
      <c r="F10" s="10">
        <f t="shared" si="0"/>
        <v>0</v>
      </c>
      <c r="G10" s="437">
        <f t="shared" si="0"/>
        <v>0</v>
      </c>
      <c r="H10" s="41">
        <f t="shared" si="0"/>
        <v>0</v>
      </c>
      <c r="I10" s="10">
        <f t="shared" si="0"/>
        <v>0</v>
      </c>
      <c r="J10" s="10">
        <f t="shared" si="2"/>
        <v>0</v>
      </c>
      <c r="K10" s="114">
        <f t="shared" si="3"/>
        <v>53196.428571428565</v>
      </c>
    </row>
    <row r="11" spans="1:12" x14ac:dyDescent="0.25">
      <c r="A11" s="49">
        <f>'A) Base RI'!A10</f>
        <v>5404</v>
      </c>
      <c r="B11" s="296" t="str">
        <f>'A) Base RI'!B10</f>
        <v>Corbeyrier</v>
      </c>
      <c r="C11" s="10">
        <f>'A) Base RI'!V10</f>
        <v>438</v>
      </c>
      <c r="D11" s="10">
        <f t="shared" si="1"/>
        <v>438</v>
      </c>
      <c r="E11" s="437">
        <f t="shared" si="0"/>
        <v>0</v>
      </c>
      <c r="F11" s="10">
        <f t="shared" si="0"/>
        <v>0</v>
      </c>
      <c r="G11" s="437">
        <f t="shared" si="0"/>
        <v>0</v>
      </c>
      <c r="H11" s="41">
        <f t="shared" si="0"/>
        <v>0</v>
      </c>
      <c r="I11" s="10">
        <f t="shared" si="0"/>
        <v>0</v>
      </c>
      <c r="J11" s="10">
        <f t="shared" si="2"/>
        <v>0</v>
      </c>
      <c r="K11" s="114">
        <f t="shared" si="3"/>
        <v>54694.919517102608</v>
      </c>
    </row>
    <row r="12" spans="1:12" x14ac:dyDescent="0.25">
      <c r="A12" s="49">
        <f>'A) Base RI'!A11</f>
        <v>5405</v>
      </c>
      <c r="B12" s="296" t="str">
        <f>'A) Base RI'!B11</f>
        <v>Gryon</v>
      </c>
      <c r="C12" s="10">
        <f>'A) Base RI'!V11</f>
        <v>1332</v>
      </c>
      <c r="D12" s="10">
        <f t="shared" si="1"/>
        <v>1000</v>
      </c>
      <c r="E12" s="437">
        <f t="shared" si="0"/>
        <v>332</v>
      </c>
      <c r="F12" s="10">
        <f t="shared" si="0"/>
        <v>0</v>
      </c>
      <c r="G12" s="437">
        <f t="shared" si="0"/>
        <v>0</v>
      </c>
      <c r="H12" s="41">
        <f t="shared" si="0"/>
        <v>0</v>
      </c>
      <c r="I12" s="10">
        <f t="shared" si="0"/>
        <v>0</v>
      </c>
      <c r="J12" s="10">
        <f t="shared" si="2"/>
        <v>0</v>
      </c>
      <c r="K12" s="114">
        <f t="shared" si="3"/>
        <v>240957.34406438627</v>
      </c>
    </row>
    <row r="13" spans="1:12" x14ac:dyDescent="0.25">
      <c r="A13" s="49">
        <f>'A) Base RI'!A12</f>
        <v>5406</v>
      </c>
      <c r="B13" s="296" t="str">
        <f>'A) Base RI'!B12</f>
        <v>Lavey-Morcles</v>
      </c>
      <c r="C13" s="10">
        <f>'A) Base RI'!V12</f>
        <v>946</v>
      </c>
      <c r="D13" s="10">
        <f t="shared" si="1"/>
        <v>946</v>
      </c>
      <c r="E13" s="437">
        <f t="shared" si="0"/>
        <v>0</v>
      </c>
      <c r="F13" s="10">
        <f t="shared" si="0"/>
        <v>0</v>
      </c>
      <c r="G13" s="437">
        <f t="shared" si="0"/>
        <v>0</v>
      </c>
      <c r="H13" s="41">
        <f t="shared" si="0"/>
        <v>0</v>
      </c>
      <c r="I13" s="10">
        <f t="shared" si="0"/>
        <v>0</v>
      </c>
      <c r="J13" s="10">
        <f t="shared" si="2"/>
        <v>0</v>
      </c>
      <c r="K13" s="114">
        <f t="shared" si="3"/>
        <v>118131.0362173038</v>
      </c>
    </row>
    <row r="14" spans="1:12" x14ac:dyDescent="0.25">
      <c r="A14" s="49">
        <f>'A) Base RI'!A13</f>
        <v>5407</v>
      </c>
      <c r="B14" s="296" t="str">
        <f>'A) Base RI'!B13</f>
        <v>Leysin</v>
      </c>
      <c r="C14" s="10">
        <f>'A) Base RI'!V13</f>
        <v>3939</v>
      </c>
      <c r="D14" s="10">
        <f t="shared" si="1"/>
        <v>1000</v>
      </c>
      <c r="E14" s="437">
        <f t="shared" si="0"/>
        <v>2000</v>
      </c>
      <c r="F14" s="10">
        <f t="shared" si="0"/>
        <v>939</v>
      </c>
      <c r="G14" s="437">
        <f t="shared" si="0"/>
        <v>0</v>
      </c>
      <c r="H14" s="41">
        <f t="shared" si="0"/>
        <v>0</v>
      </c>
      <c r="I14" s="10">
        <f t="shared" si="0"/>
        <v>0</v>
      </c>
      <c r="J14" s="10">
        <f t="shared" si="2"/>
        <v>0</v>
      </c>
      <c r="K14" s="114">
        <f t="shared" si="3"/>
        <v>1293197.6861167001</v>
      </c>
      <c r="L14" s="12"/>
    </row>
    <row r="15" spans="1:12" x14ac:dyDescent="0.25">
      <c r="A15" s="49">
        <f>'A) Base RI'!A14</f>
        <v>5408</v>
      </c>
      <c r="B15" s="296" t="str">
        <f>'A) Base RI'!B14</f>
        <v>Noville</v>
      </c>
      <c r="C15" s="10">
        <f>'A) Base RI'!V14</f>
        <v>1113</v>
      </c>
      <c r="D15" s="10">
        <f t="shared" si="1"/>
        <v>1000</v>
      </c>
      <c r="E15" s="437">
        <f t="shared" si="0"/>
        <v>113</v>
      </c>
      <c r="F15" s="10">
        <f t="shared" si="0"/>
        <v>0</v>
      </c>
      <c r="G15" s="437">
        <f t="shared" si="0"/>
        <v>0</v>
      </c>
      <c r="H15" s="41">
        <f t="shared" si="0"/>
        <v>0</v>
      </c>
      <c r="I15" s="10">
        <f t="shared" si="0"/>
        <v>0</v>
      </c>
      <c r="J15" s="10">
        <f t="shared" si="2"/>
        <v>0</v>
      </c>
      <c r="K15" s="114">
        <f t="shared" si="3"/>
        <v>164384.45674044263</v>
      </c>
    </row>
    <row r="16" spans="1:12" x14ac:dyDescent="0.25">
      <c r="A16" s="49">
        <f>'A) Base RI'!A15</f>
        <v>5409</v>
      </c>
      <c r="B16" s="296" t="str">
        <f>'A) Base RI'!B15</f>
        <v>Ollon</v>
      </c>
      <c r="C16" s="10">
        <f>'A) Base RI'!V15</f>
        <v>7461</v>
      </c>
      <c r="D16" s="10">
        <f t="shared" si="1"/>
        <v>1000</v>
      </c>
      <c r="E16" s="437">
        <f t="shared" si="0"/>
        <v>2000</v>
      </c>
      <c r="F16" s="10">
        <f t="shared" si="0"/>
        <v>2000</v>
      </c>
      <c r="G16" s="437">
        <f t="shared" si="0"/>
        <v>2461</v>
      </c>
      <c r="H16" s="41">
        <f t="shared" si="0"/>
        <v>0</v>
      </c>
      <c r="I16" s="10">
        <f t="shared" si="0"/>
        <v>0</v>
      </c>
      <c r="J16" s="10">
        <f t="shared" si="2"/>
        <v>0</v>
      </c>
      <c r="K16" s="114">
        <f t="shared" si="3"/>
        <v>3298278.4708249494</v>
      </c>
    </row>
    <row r="17" spans="1:11" x14ac:dyDescent="0.25">
      <c r="A17" s="49">
        <f>'A) Base RI'!A16</f>
        <v>5410</v>
      </c>
      <c r="B17" s="296" t="str">
        <f>'A) Base RI'!B16</f>
        <v>Ormont-Dessous</v>
      </c>
      <c r="C17" s="10">
        <f>'A) Base RI'!V16</f>
        <v>1121</v>
      </c>
      <c r="D17" s="10">
        <f t="shared" si="1"/>
        <v>1000</v>
      </c>
      <c r="E17" s="437">
        <f t="shared" si="0"/>
        <v>121</v>
      </c>
      <c r="F17" s="10">
        <f t="shared" si="0"/>
        <v>0</v>
      </c>
      <c r="G17" s="437">
        <f t="shared" si="0"/>
        <v>0</v>
      </c>
      <c r="H17" s="41">
        <f t="shared" si="0"/>
        <v>0</v>
      </c>
      <c r="I17" s="10">
        <f t="shared" si="0"/>
        <v>0</v>
      </c>
      <c r="J17" s="10">
        <f t="shared" si="2"/>
        <v>0</v>
      </c>
      <c r="K17" s="114">
        <f t="shared" si="3"/>
        <v>167181.63983903418</v>
      </c>
    </row>
    <row r="18" spans="1:11" x14ac:dyDescent="0.25">
      <c r="A18" s="49">
        <f>'A) Base RI'!A17</f>
        <v>5411</v>
      </c>
      <c r="B18" s="296" t="str">
        <f>'A) Base RI'!B17</f>
        <v>Ormont-Dessus</v>
      </c>
      <c r="C18" s="10">
        <f>'A) Base RI'!V17</f>
        <v>1446</v>
      </c>
      <c r="D18" s="10">
        <f t="shared" si="1"/>
        <v>1000</v>
      </c>
      <c r="E18" s="437">
        <f t="shared" si="0"/>
        <v>446</v>
      </c>
      <c r="F18" s="10">
        <f t="shared" si="0"/>
        <v>0</v>
      </c>
      <c r="G18" s="437">
        <f t="shared" si="0"/>
        <v>0</v>
      </c>
      <c r="H18" s="41">
        <f t="shared" si="0"/>
        <v>0</v>
      </c>
      <c r="I18" s="10">
        <f t="shared" si="0"/>
        <v>0</v>
      </c>
      <c r="J18" s="10">
        <f t="shared" si="2"/>
        <v>0</v>
      </c>
      <c r="K18" s="114">
        <f t="shared" si="3"/>
        <v>280817.20321931585</v>
      </c>
    </row>
    <row r="19" spans="1:11" x14ac:dyDescent="0.25">
      <c r="A19" s="49">
        <f>'A) Base RI'!A18</f>
        <v>5412</v>
      </c>
      <c r="B19" s="296" t="str">
        <f>'A) Base RI'!B18</f>
        <v>Rennaz</v>
      </c>
      <c r="C19" s="10">
        <f>'A) Base RI'!V18</f>
        <v>826</v>
      </c>
      <c r="D19" s="10">
        <f t="shared" si="1"/>
        <v>826</v>
      </c>
      <c r="E19" s="437">
        <f t="shared" si="0"/>
        <v>0</v>
      </c>
      <c r="F19" s="10">
        <f t="shared" si="0"/>
        <v>0</v>
      </c>
      <c r="G19" s="437">
        <f t="shared" si="0"/>
        <v>0</v>
      </c>
      <c r="H19" s="41">
        <f t="shared" si="0"/>
        <v>0</v>
      </c>
      <c r="I19" s="10">
        <f t="shared" si="0"/>
        <v>0</v>
      </c>
      <c r="J19" s="10">
        <f t="shared" si="2"/>
        <v>0</v>
      </c>
      <c r="K19" s="114">
        <f t="shared" si="3"/>
        <v>103146.12676056336</v>
      </c>
    </row>
    <row r="20" spans="1:11" x14ac:dyDescent="0.25">
      <c r="A20" s="49">
        <f>'A) Base RI'!A19</f>
        <v>5413</v>
      </c>
      <c r="B20" s="296" t="str">
        <f>'A) Base RI'!B19</f>
        <v>Roche</v>
      </c>
      <c r="C20" s="10">
        <f>'A) Base RI'!V19</f>
        <v>1775</v>
      </c>
      <c r="D20" s="10">
        <f t="shared" si="1"/>
        <v>1000</v>
      </c>
      <c r="E20" s="437">
        <f t="shared" si="0"/>
        <v>775</v>
      </c>
      <c r="F20" s="10">
        <f t="shared" si="0"/>
        <v>0</v>
      </c>
      <c r="G20" s="437">
        <f t="shared" si="0"/>
        <v>0</v>
      </c>
      <c r="H20" s="41">
        <f t="shared" si="0"/>
        <v>0</v>
      </c>
      <c r="I20" s="10">
        <f t="shared" si="0"/>
        <v>0</v>
      </c>
      <c r="J20" s="10">
        <f t="shared" si="2"/>
        <v>0</v>
      </c>
      <c r="K20" s="114">
        <f t="shared" si="3"/>
        <v>395851.35814889334</v>
      </c>
    </row>
    <row r="21" spans="1:11" x14ac:dyDescent="0.25">
      <c r="A21" s="49">
        <f>'A) Base RI'!A20</f>
        <v>5414</v>
      </c>
      <c r="B21" s="296" t="str">
        <f>'A) Base RI'!B20</f>
        <v>Villeneuve</v>
      </c>
      <c r="C21" s="10">
        <f>'A) Base RI'!V20</f>
        <v>5771</v>
      </c>
      <c r="D21" s="10">
        <f t="shared" si="1"/>
        <v>1000</v>
      </c>
      <c r="E21" s="437">
        <f t="shared" si="0"/>
        <v>2000</v>
      </c>
      <c r="F21" s="10">
        <f t="shared" si="0"/>
        <v>2000</v>
      </c>
      <c r="G21" s="437">
        <f t="shared" si="0"/>
        <v>771</v>
      </c>
      <c r="H21" s="41">
        <f t="shared" si="0"/>
        <v>0</v>
      </c>
      <c r="I21" s="10">
        <f t="shared" si="0"/>
        <v>0</v>
      </c>
      <c r="J21" s="10">
        <f t="shared" si="2"/>
        <v>0</v>
      </c>
      <c r="K21" s="114">
        <f t="shared" si="3"/>
        <v>2285298.5915492955</v>
      </c>
    </row>
    <row r="22" spans="1:11" x14ac:dyDescent="0.25">
      <c r="A22" s="49">
        <f>'A) Base RI'!A21</f>
        <v>5415</v>
      </c>
      <c r="B22" s="296" t="str">
        <f>'A) Base RI'!B21</f>
        <v>Yvorne</v>
      </c>
      <c r="C22" s="10">
        <f>'A) Base RI'!V21</f>
        <v>1066</v>
      </c>
      <c r="D22" s="10">
        <f t="shared" si="1"/>
        <v>1000</v>
      </c>
      <c r="E22" s="437">
        <f t="shared" si="0"/>
        <v>66</v>
      </c>
      <c r="F22" s="10">
        <f t="shared" si="0"/>
        <v>0</v>
      </c>
      <c r="G22" s="437">
        <f t="shared" si="0"/>
        <v>0</v>
      </c>
      <c r="H22" s="41">
        <f t="shared" si="0"/>
        <v>0</v>
      </c>
      <c r="I22" s="10">
        <f t="shared" si="0"/>
        <v>0</v>
      </c>
      <c r="J22" s="10">
        <f t="shared" si="2"/>
        <v>0</v>
      </c>
      <c r="K22" s="114">
        <f t="shared" si="3"/>
        <v>147951.0060362173</v>
      </c>
    </row>
    <row r="23" spans="1:11" x14ac:dyDescent="0.25">
      <c r="A23" s="49">
        <f>'A) Base RI'!A22</f>
        <v>5421</v>
      </c>
      <c r="B23" s="296" t="str">
        <f>'A) Base RI'!B22</f>
        <v>Apples</v>
      </c>
      <c r="C23" s="10">
        <f>'A) Base RI'!V22</f>
        <v>1469</v>
      </c>
      <c r="D23" s="10">
        <f t="shared" si="1"/>
        <v>1000</v>
      </c>
      <c r="E23" s="437">
        <f t="shared" si="0"/>
        <v>469</v>
      </c>
      <c r="F23" s="10">
        <f t="shared" si="0"/>
        <v>0</v>
      </c>
      <c r="G23" s="437">
        <f t="shared" si="0"/>
        <v>0</v>
      </c>
      <c r="H23" s="41">
        <f t="shared" si="0"/>
        <v>0</v>
      </c>
      <c r="I23" s="10">
        <f t="shared" si="0"/>
        <v>0</v>
      </c>
      <c r="J23" s="10">
        <f t="shared" si="2"/>
        <v>0</v>
      </c>
      <c r="K23" s="114">
        <f t="shared" si="3"/>
        <v>288859.10462776653</v>
      </c>
    </row>
    <row r="24" spans="1:11" x14ac:dyDescent="0.25">
      <c r="A24" s="49">
        <f>'A) Base RI'!A23</f>
        <v>5422</v>
      </c>
      <c r="B24" s="296" t="str">
        <f>'A) Base RI'!B23</f>
        <v>Aubonne</v>
      </c>
      <c r="C24" s="10">
        <f>'A) Base RI'!V23</f>
        <v>3242</v>
      </c>
      <c r="D24" s="10">
        <f t="shared" si="1"/>
        <v>1000</v>
      </c>
      <c r="E24" s="437">
        <f t="shared" si="1"/>
        <v>2000</v>
      </c>
      <c r="F24" s="10">
        <f t="shared" si="1"/>
        <v>242</v>
      </c>
      <c r="G24" s="437">
        <f t="shared" si="1"/>
        <v>0</v>
      </c>
      <c r="H24" s="41">
        <f t="shared" si="1"/>
        <v>0</v>
      </c>
      <c r="I24" s="10">
        <f t="shared" si="1"/>
        <v>0</v>
      </c>
      <c r="J24" s="10">
        <f t="shared" si="2"/>
        <v>0</v>
      </c>
      <c r="K24" s="114">
        <f t="shared" si="3"/>
        <v>945048.28973843041</v>
      </c>
    </row>
    <row r="25" spans="1:11" x14ac:dyDescent="0.25">
      <c r="A25" s="49">
        <f>'A) Base RI'!A24</f>
        <v>5423</v>
      </c>
      <c r="B25" s="296" t="str">
        <f>'A) Base RI'!B24</f>
        <v>Ballens</v>
      </c>
      <c r="C25" s="10">
        <f>'A) Base RI'!V24</f>
        <v>536</v>
      </c>
      <c r="D25" s="10">
        <f t="shared" si="1"/>
        <v>536</v>
      </c>
      <c r="E25" s="437">
        <f t="shared" si="1"/>
        <v>0</v>
      </c>
      <c r="F25" s="10">
        <f t="shared" si="1"/>
        <v>0</v>
      </c>
      <c r="G25" s="437">
        <f t="shared" si="1"/>
        <v>0</v>
      </c>
      <c r="H25" s="41">
        <f t="shared" si="1"/>
        <v>0</v>
      </c>
      <c r="I25" s="10">
        <f t="shared" si="1"/>
        <v>0</v>
      </c>
      <c r="J25" s="10">
        <f t="shared" si="2"/>
        <v>0</v>
      </c>
      <c r="K25" s="114">
        <f t="shared" si="3"/>
        <v>66932.595573440631</v>
      </c>
    </row>
    <row r="26" spans="1:11" x14ac:dyDescent="0.25">
      <c r="A26" s="49">
        <f>'A) Base RI'!A25</f>
        <v>5424</v>
      </c>
      <c r="B26" s="296" t="str">
        <f>'A) Base RI'!B25</f>
        <v>Berolle</v>
      </c>
      <c r="C26" s="10">
        <f>'A) Base RI'!V25</f>
        <v>307</v>
      </c>
      <c r="D26" s="10">
        <f t="shared" si="1"/>
        <v>307</v>
      </c>
      <c r="E26" s="437">
        <f t="shared" si="1"/>
        <v>0</v>
      </c>
      <c r="F26" s="10">
        <f t="shared" si="1"/>
        <v>0</v>
      </c>
      <c r="G26" s="437">
        <f t="shared" si="1"/>
        <v>0</v>
      </c>
      <c r="H26" s="41">
        <f t="shared" si="1"/>
        <v>0</v>
      </c>
      <c r="I26" s="10">
        <f t="shared" si="1"/>
        <v>0</v>
      </c>
      <c r="J26" s="10">
        <f t="shared" si="2"/>
        <v>0</v>
      </c>
      <c r="K26" s="114">
        <f t="shared" si="3"/>
        <v>38336.393360160961</v>
      </c>
    </row>
    <row r="27" spans="1:11" x14ac:dyDescent="0.25">
      <c r="A27" s="49">
        <f>'A) Base RI'!A26</f>
        <v>5425</v>
      </c>
      <c r="B27" s="296" t="str">
        <f>'A) Base RI'!B26</f>
        <v>Bière</v>
      </c>
      <c r="C27" s="10">
        <f>'A) Base RI'!V26</f>
        <v>1595</v>
      </c>
      <c r="D27" s="10">
        <f t="shared" si="1"/>
        <v>1000</v>
      </c>
      <c r="E27" s="437">
        <f t="shared" si="1"/>
        <v>595</v>
      </c>
      <c r="F27" s="10">
        <f t="shared" si="1"/>
        <v>0</v>
      </c>
      <c r="G27" s="437">
        <f t="shared" si="1"/>
        <v>0</v>
      </c>
      <c r="H27" s="41">
        <f t="shared" si="1"/>
        <v>0</v>
      </c>
      <c r="I27" s="10">
        <f t="shared" si="1"/>
        <v>0</v>
      </c>
      <c r="J27" s="10">
        <f t="shared" si="2"/>
        <v>0</v>
      </c>
      <c r="K27" s="114">
        <f t="shared" si="3"/>
        <v>332914.7384305835</v>
      </c>
    </row>
    <row r="28" spans="1:11" x14ac:dyDescent="0.25">
      <c r="A28" s="49">
        <f>'A) Base RI'!A27</f>
        <v>5426</v>
      </c>
      <c r="B28" s="296" t="str">
        <f>'A) Base RI'!B27</f>
        <v>Bougy-Villars</v>
      </c>
      <c r="C28" s="10">
        <f>'A) Base RI'!V27</f>
        <v>490</v>
      </c>
      <c r="D28" s="10">
        <f t="shared" si="1"/>
        <v>490</v>
      </c>
      <c r="E28" s="437">
        <f t="shared" si="1"/>
        <v>0</v>
      </c>
      <c r="F28" s="10">
        <f t="shared" si="1"/>
        <v>0</v>
      </c>
      <c r="G28" s="437">
        <f t="shared" si="1"/>
        <v>0</v>
      </c>
      <c r="H28" s="41">
        <f t="shared" si="1"/>
        <v>0</v>
      </c>
      <c r="I28" s="10">
        <f t="shared" si="1"/>
        <v>0</v>
      </c>
      <c r="J28" s="10">
        <f t="shared" si="2"/>
        <v>0</v>
      </c>
      <c r="K28" s="114">
        <f t="shared" si="3"/>
        <v>61188.38028169013</v>
      </c>
    </row>
    <row r="29" spans="1:11" x14ac:dyDescent="0.25">
      <c r="A29" s="49">
        <f>'A) Base RI'!A28</f>
        <v>5427</v>
      </c>
      <c r="B29" s="296" t="str">
        <f>'A) Base RI'!B28</f>
        <v>Féchy</v>
      </c>
      <c r="C29" s="10">
        <f>'A) Base RI'!V28</f>
        <v>860</v>
      </c>
      <c r="D29" s="10">
        <f t="shared" si="1"/>
        <v>860</v>
      </c>
      <c r="E29" s="437">
        <f t="shared" si="1"/>
        <v>0</v>
      </c>
      <c r="F29" s="10">
        <f t="shared" si="1"/>
        <v>0</v>
      </c>
      <c r="G29" s="437">
        <f t="shared" si="1"/>
        <v>0</v>
      </c>
      <c r="H29" s="41">
        <f t="shared" si="1"/>
        <v>0</v>
      </c>
      <c r="I29" s="10">
        <f t="shared" si="1"/>
        <v>0</v>
      </c>
      <c r="J29" s="10">
        <f t="shared" si="2"/>
        <v>0</v>
      </c>
      <c r="K29" s="114">
        <f t="shared" si="3"/>
        <v>107391.85110663982</v>
      </c>
    </row>
    <row r="30" spans="1:11" x14ac:dyDescent="0.25">
      <c r="A30" s="49">
        <f>'A) Base RI'!A29</f>
        <v>5428</v>
      </c>
      <c r="B30" s="296" t="str">
        <f>'A) Base RI'!B29</f>
        <v>Gimel</v>
      </c>
      <c r="C30" s="10">
        <f>'A) Base RI'!V29</f>
        <v>2186</v>
      </c>
      <c r="D30" s="10">
        <f t="shared" si="1"/>
        <v>1000</v>
      </c>
      <c r="E30" s="437">
        <f t="shared" si="1"/>
        <v>1186</v>
      </c>
      <c r="F30" s="10">
        <f t="shared" si="1"/>
        <v>0</v>
      </c>
      <c r="G30" s="437">
        <f t="shared" si="1"/>
        <v>0</v>
      </c>
      <c r="H30" s="41">
        <f t="shared" si="1"/>
        <v>0</v>
      </c>
      <c r="I30" s="10">
        <f t="shared" si="1"/>
        <v>0</v>
      </c>
      <c r="J30" s="10">
        <f t="shared" si="2"/>
        <v>0</v>
      </c>
      <c r="K30" s="114">
        <f t="shared" si="3"/>
        <v>539556.63983903406</v>
      </c>
    </row>
    <row r="31" spans="1:11" x14ac:dyDescent="0.25">
      <c r="A31" s="49">
        <f>'A) Base RI'!A30</f>
        <v>5429</v>
      </c>
      <c r="B31" s="296" t="str">
        <f>'A) Base RI'!B30</f>
        <v>Longirod</v>
      </c>
      <c r="C31" s="10">
        <f>'A) Base RI'!V30</f>
        <v>478</v>
      </c>
      <c r="D31" s="10">
        <f t="shared" si="1"/>
        <v>478</v>
      </c>
      <c r="E31" s="437">
        <f t="shared" si="1"/>
        <v>0</v>
      </c>
      <c r="F31" s="10">
        <f t="shared" si="1"/>
        <v>0</v>
      </c>
      <c r="G31" s="437">
        <f t="shared" si="1"/>
        <v>0</v>
      </c>
      <c r="H31" s="41">
        <f t="shared" si="1"/>
        <v>0</v>
      </c>
      <c r="I31" s="10">
        <f t="shared" si="1"/>
        <v>0</v>
      </c>
      <c r="J31" s="10">
        <f t="shared" si="2"/>
        <v>0</v>
      </c>
      <c r="K31" s="114">
        <f t="shared" si="3"/>
        <v>59689.889336016087</v>
      </c>
    </row>
    <row r="32" spans="1:11" x14ac:dyDescent="0.25">
      <c r="A32" s="49">
        <f>'A) Base RI'!A31</f>
        <v>5430</v>
      </c>
      <c r="B32" s="296" t="str">
        <f>'A) Base RI'!B31</f>
        <v>Marchissy</v>
      </c>
      <c r="C32" s="10">
        <f>'A) Base RI'!V31</f>
        <v>463</v>
      </c>
      <c r="D32" s="10">
        <f t="shared" si="1"/>
        <v>463</v>
      </c>
      <c r="E32" s="437">
        <f t="shared" si="1"/>
        <v>0</v>
      </c>
      <c r="F32" s="10">
        <f t="shared" si="1"/>
        <v>0</v>
      </c>
      <c r="G32" s="437">
        <f t="shared" si="1"/>
        <v>0</v>
      </c>
      <c r="H32" s="41">
        <f t="shared" si="1"/>
        <v>0</v>
      </c>
      <c r="I32" s="10">
        <f t="shared" si="1"/>
        <v>0</v>
      </c>
      <c r="J32" s="10">
        <f t="shared" si="2"/>
        <v>0</v>
      </c>
      <c r="K32" s="114">
        <f t="shared" si="3"/>
        <v>57816.775653923534</v>
      </c>
    </row>
    <row r="33" spans="1:11" x14ac:dyDescent="0.25">
      <c r="A33" s="49">
        <f>'A) Base RI'!A32</f>
        <v>5431</v>
      </c>
      <c r="B33" s="296" t="str">
        <f>'A) Base RI'!B32</f>
        <v>Mollens</v>
      </c>
      <c r="C33" s="10">
        <f>'A) Base RI'!V32</f>
        <v>283</v>
      </c>
      <c r="D33" s="10">
        <f t="shared" si="1"/>
        <v>283</v>
      </c>
      <c r="E33" s="437">
        <f t="shared" si="1"/>
        <v>0</v>
      </c>
      <c r="F33" s="10">
        <f t="shared" si="1"/>
        <v>0</v>
      </c>
      <c r="G33" s="437">
        <f t="shared" si="1"/>
        <v>0</v>
      </c>
      <c r="H33" s="41">
        <f t="shared" si="1"/>
        <v>0</v>
      </c>
      <c r="I33" s="10">
        <f t="shared" si="1"/>
        <v>0</v>
      </c>
      <c r="J33" s="10">
        <f t="shared" si="2"/>
        <v>0</v>
      </c>
      <c r="K33" s="114">
        <f t="shared" si="3"/>
        <v>35339.411468812868</v>
      </c>
    </row>
    <row r="34" spans="1:11" x14ac:dyDescent="0.25">
      <c r="A34" s="49">
        <f>'A) Base RI'!A33</f>
        <v>5432</v>
      </c>
      <c r="B34" s="296" t="str">
        <f>'A) Base RI'!B33</f>
        <v>Montherod</v>
      </c>
      <c r="C34" s="10">
        <f>'A) Base RI'!V33</f>
        <v>536</v>
      </c>
      <c r="D34" s="10">
        <f t="shared" si="1"/>
        <v>536</v>
      </c>
      <c r="E34" s="437">
        <f t="shared" si="1"/>
        <v>0</v>
      </c>
      <c r="F34" s="10">
        <f t="shared" si="1"/>
        <v>0</v>
      </c>
      <c r="G34" s="437">
        <f t="shared" si="1"/>
        <v>0</v>
      </c>
      <c r="H34" s="41">
        <f t="shared" si="1"/>
        <v>0</v>
      </c>
      <c r="I34" s="10">
        <f t="shared" si="1"/>
        <v>0</v>
      </c>
      <c r="J34" s="10">
        <f t="shared" si="2"/>
        <v>0</v>
      </c>
      <c r="K34" s="114">
        <f t="shared" si="3"/>
        <v>66932.595573440631</v>
      </c>
    </row>
    <row r="35" spans="1:11" x14ac:dyDescent="0.25">
      <c r="A35" s="49">
        <f>'A) Base RI'!A34</f>
        <v>5434</v>
      </c>
      <c r="B35" s="296" t="str">
        <f>'A) Base RI'!B34</f>
        <v>Saint-George</v>
      </c>
      <c r="C35" s="10">
        <f>'A) Base RI'!V34</f>
        <v>1031</v>
      </c>
      <c r="D35" s="10">
        <f t="shared" si="1"/>
        <v>1000</v>
      </c>
      <c r="E35" s="437">
        <f t="shared" si="1"/>
        <v>31</v>
      </c>
      <c r="F35" s="10">
        <f t="shared" si="1"/>
        <v>0</v>
      </c>
      <c r="G35" s="437">
        <f t="shared" si="1"/>
        <v>0</v>
      </c>
      <c r="H35" s="41">
        <f t="shared" si="1"/>
        <v>0</v>
      </c>
      <c r="I35" s="10">
        <f t="shared" si="1"/>
        <v>0</v>
      </c>
      <c r="J35" s="10">
        <f t="shared" si="2"/>
        <v>0</v>
      </c>
      <c r="K35" s="114">
        <f t="shared" si="3"/>
        <v>135713.32997987926</v>
      </c>
    </row>
    <row r="36" spans="1:11" x14ac:dyDescent="0.25">
      <c r="A36" s="49">
        <f>'A) Base RI'!A35</f>
        <v>5435</v>
      </c>
      <c r="B36" s="296" t="str">
        <f>'A) Base RI'!B35</f>
        <v>Saint-Livres</v>
      </c>
      <c r="C36" s="10">
        <f>'A) Base RI'!V35</f>
        <v>690</v>
      </c>
      <c r="D36" s="10">
        <f t="shared" si="1"/>
        <v>690</v>
      </c>
      <c r="E36" s="437">
        <f t="shared" si="1"/>
        <v>0</v>
      </c>
      <c r="F36" s="10">
        <f t="shared" si="1"/>
        <v>0</v>
      </c>
      <c r="G36" s="437">
        <f t="shared" si="1"/>
        <v>0</v>
      </c>
      <c r="H36" s="41">
        <f t="shared" si="1"/>
        <v>0</v>
      </c>
      <c r="I36" s="10">
        <f t="shared" si="1"/>
        <v>0</v>
      </c>
      <c r="J36" s="10">
        <f t="shared" si="2"/>
        <v>0</v>
      </c>
      <c r="K36" s="114">
        <f t="shared" si="3"/>
        <v>86163.229376257528</v>
      </c>
    </row>
    <row r="37" spans="1:11" x14ac:dyDescent="0.25">
      <c r="A37" s="49">
        <f>'A) Base RI'!A36</f>
        <v>5436</v>
      </c>
      <c r="B37" s="296" t="str">
        <f>'A) Base RI'!B36</f>
        <v>Saint-Oyens</v>
      </c>
      <c r="C37" s="10">
        <f>'A) Base RI'!V36</f>
        <v>448</v>
      </c>
      <c r="D37" s="10">
        <f t="shared" si="1"/>
        <v>448</v>
      </c>
      <c r="E37" s="437">
        <f t="shared" si="1"/>
        <v>0</v>
      </c>
      <c r="F37" s="10">
        <f t="shared" si="1"/>
        <v>0</v>
      </c>
      <c r="G37" s="437">
        <f t="shared" si="1"/>
        <v>0</v>
      </c>
      <c r="H37" s="41">
        <f t="shared" si="1"/>
        <v>0</v>
      </c>
      <c r="I37" s="10">
        <f t="shared" si="1"/>
        <v>0</v>
      </c>
      <c r="J37" s="10">
        <f t="shared" si="2"/>
        <v>0</v>
      </c>
      <c r="K37" s="114">
        <f t="shared" si="3"/>
        <v>55943.661971830981</v>
      </c>
    </row>
    <row r="38" spans="1:11" x14ac:dyDescent="0.25">
      <c r="A38" s="49">
        <f>'A) Base RI'!A37</f>
        <v>5437</v>
      </c>
      <c r="B38" s="296" t="str">
        <f>'A) Base RI'!B37</f>
        <v>Saubraz</v>
      </c>
      <c r="C38" s="10">
        <f>'A) Base RI'!V37</f>
        <v>418</v>
      </c>
      <c r="D38" s="10">
        <f t="shared" si="1"/>
        <v>418</v>
      </c>
      <c r="E38" s="437">
        <f t="shared" si="1"/>
        <v>0</v>
      </c>
      <c r="F38" s="10">
        <f t="shared" si="1"/>
        <v>0</v>
      </c>
      <c r="G38" s="437">
        <f t="shared" si="1"/>
        <v>0</v>
      </c>
      <c r="H38" s="41">
        <f t="shared" si="1"/>
        <v>0</v>
      </c>
      <c r="I38" s="10">
        <f t="shared" si="1"/>
        <v>0</v>
      </c>
      <c r="J38" s="10">
        <f t="shared" si="2"/>
        <v>0</v>
      </c>
      <c r="K38" s="114">
        <f t="shared" si="3"/>
        <v>52197.434607645868</v>
      </c>
    </row>
    <row r="39" spans="1:11" x14ac:dyDescent="0.25">
      <c r="A39" s="49">
        <f>'A) Base RI'!A38</f>
        <v>5451</v>
      </c>
      <c r="B39" s="296" t="str">
        <f>'A) Base RI'!B38</f>
        <v>Avenches</v>
      </c>
      <c r="C39" s="10">
        <f>'A) Base RI'!V38</f>
        <v>4282</v>
      </c>
      <c r="D39" s="10">
        <f t="shared" si="1"/>
        <v>1000</v>
      </c>
      <c r="E39" s="437">
        <f t="shared" si="1"/>
        <v>2000</v>
      </c>
      <c r="F39" s="10">
        <f t="shared" si="1"/>
        <v>1282</v>
      </c>
      <c r="G39" s="437">
        <f t="shared" si="1"/>
        <v>0</v>
      </c>
      <c r="H39" s="41">
        <f t="shared" si="1"/>
        <v>0</v>
      </c>
      <c r="I39" s="10">
        <f t="shared" si="1"/>
        <v>0</v>
      </c>
      <c r="J39" s="10">
        <f t="shared" si="2"/>
        <v>0</v>
      </c>
      <c r="K39" s="114">
        <f t="shared" si="3"/>
        <v>1464525.1509054324</v>
      </c>
    </row>
    <row r="40" spans="1:11" x14ac:dyDescent="0.25">
      <c r="A40" s="49">
        <f>'A) Base RI'!A39</f>
        <v>5456</v>
      </c>
      <c r="B40" s="296" t="str">
        <f>'A) Base RI'!B39</f>
        <v>Cudrefin</v>
      </c>
      <c r="C40" s="10">
        <f>'A) Base RI'!V39</f>
        <v>1633</v>
      </c>
      <c r="D40" s="10">
        <f t="shared" si="1"/>
        <v>1000</v>
      </c>
      <c r="E40" s="437">
        <f t="shared" si="1"/>
        <v>633</v>
      </c>
      <c r="F40" s="10">
        <f t="shared" si="1"/>
        <v>0</v>
      </c>
      <c r="G40" s="437">
        <f t="shared" si="1"/>
        <v>0</v>
      </c>
      <c r="H40" s="41">
        <f t="shared" si="1"/>
        <v>0</v>
      </c>
      <c r="I40" s="10">
        <f t="shared" si="1"/>
        <v>0</v>
      </c>
      <c r="J40" s="10">
        <f t="shared" si="2"/>
        <v>0</v>
      </c>
      <c r="K40" s="114">
        <f t="shared" si="3"/>
        <v>346201.35814889334</v>
      </c>
    </row>
    <row r="41" spans="1:11" x14ac:dyDescent="0.25">
      <c r="A41" s="49">
        <f>'A) Base RI'!A40</f>
        <v>5458</v>
      </c>
      <c r="B41" s="296" t="str">
        <f>'A) Base RI'!B40</f>
        <v>Faoug</v>
      </c>
      <c r="C41" s="10">
        <f>'A) Base RI'!V40</f>
        <v>904</v>
      </c>
      <c r="D41" s="10">
        <f t="shared" si="1"/>
        <v>904</v>
      </c>
      <c r="E41" s="437">
        <f t="shared" si="1"/>
        <v>0</v>
      </c>
      <c r="F41" s="10">
        <f t="shared" si="1"/>
        <v>0</v>
      </c>
      <c r="G41" s="437">
        <f t="shared" si="1"/>
        <v>0</v>
      </c>
      <c r="H41" s="41">
        <f t="shared" si="1"/>
        <v>0</v>
      </c>
      <c r="I41" s="10">
        <f t="shared" si="1"/>
        <v>0</v>
      </c>
      <c r="J41" s="10">
        <f t="shared" si="2"/>
        <v>0</v>
      </c>
      <c r="K41" s="114">
        <f t="shared" si="3"/>
        <v>112886.31790744465</v>
      </c>
    </row>
    <row r="42" spans="1:11" x14ac:dyDescent="0.25">
      <c r="A42" s="49">
        <f>'A) Base RI'!A41</f>
        <v>5464</v>
      </c>
      <c r="B42" s="296" t="str">
        <f>'A) Base RI'!B41</f>
        <v>Vully-les-Lacs</v>
      </c>
      <c r="C42" s="10">
        <f>'A) Base RI'!V41</f>
        <v>3163</v>
      </c>
      <c r="D42" s="10">
        <f t="shared" si="1"/>
        <v>1000</v>
      </c>
      <c r="E42" s="437">
        <f t="shared" si="1"/>
        <v>2000</v>
      </c>
      <c r="F42" s="10">
        <f t="shared" si="1"/>
        <v>163</v>
      </c>
      <c r="G42" s="437">
        <f t="shared" si="1"/>
        <v>0</v>
      </c>
      <c r="H42" s="41">
        <f t="shared" si="1"/>
        <v>0</v>
      </c>
      <c r="I42" s="10">
        <f t="shared" si="1"/>
        <v>0</v>
      </c>
      <c r="J42" s="10">
        <f t="shared" si="2"/>
        <v>0</v>
      </c>
      <c r="K42" s="114">
        <f t="shared" si="3"/>
        <v>905588.02816901391</v>
      </c>
    </row>
    <row r="43" spans="1:11" x14ac:dyDescent="0.25">
      <c r="A43" s="49">
        <f>'A) Base RI'!A42</f>
        <v>5471</v>
      </c>
      <c r="B43" s="296" t="str">
        <f>'A) Base RI'!B42</f>
        <v>Bettens</v>
      </c>
      <c r="C43" s="10">
        <f>'A) Base RI'!V42</f>
        <v>592</v>
      </c>
      <c r="D43" s="10">
        <f t="shared" si="1"/>
        <v>592</v>
      </c>
      <c r="E43" s="437">
        <f t="shared" si="1"/>
        <v>0</v>
      </c>
      <c r="F43" s="10">
        <f t="shared" si="1"/>
        <v>0</v>
      </c>
      <c r="G43" s="437">
        <f t="shared" si="1"/>
        <v>0</v>
      </c>
      <c r="H43" s="41">
        <f t="shared" si="1"/>
        <v>0</v>
      </c>
      <c r="I43" s="10">
        <f t="shared" si="1"/>
        <v>0</v>
      </c>
      <c r="J43" s="10">
        <f t="shared" si="2"/>
        <v>0</v>
      </c>
      <c r="K43" s="114">
        <f t="shared" si="3"/>
        <v>73925.553319919505</v>
      </c>
    </row>
    <row r="44" spans="1:11" x14ac:dyDescent="0.25">
      <c r="A44" s="49">
        <f>'A) Base RI'!A43</f>
        <v>5472</v>
      </c>
      <c r="B44" s="296" t="str">
        <f>'A) Base RI'!B43</f>
        <v>Bournens</v>
      </c>
      <c r="C44" s="10">
        <f>'A) Base RI'!V43</f>
        <v>404</v>
      </c>
      <c r="D44" s="10">
        <f t="shared" si="1"/>
        <v>404</v>
      </c>
      <c r="E44" s="437">
        <f t="shared" si="1"/>
        <v>0</v>
      </c>
      <c r="F44" s="10">
        <f t="shared" si="1"/>
        <v>0</v>
      </c>
      <c r="G44" s="437">
        <f t="shared" si="1"/>
        <v>0</v>
      </c>
      <c r="H44" s="41">
        <f t="shared" si="1"/>
        <v>0</v>
      </c>
      <c r="I44" s="10">
        <f t="shared" si="1"/>
        <v>0</v>
      </c>
      <c r="J44" s="10">
        <f t="shared" si="2"/>
        <v>0</v>
      </c>
      <c r="K44" s="114">
        <f t="shared" si="3"/>
        <v>50449.195171026149</v>
      </c>
    </row>
    <row r="45" spans="1:11" x14ac:dyDescent="0.25">
      <c r="A45" s="49">
        <f>'A) Base RI'!A44</f>
        <v>5473</v>
      </c>
      <c r="B45" s="296" t="str">
        <f>'A) Base RI'!B44</f>
        <v>Boussens</v>
      </c>
      <c r="C45" s="10">
        <f>'A) Base RI'!V44</f>
        <v>968</v>
      </c>
      <c r="D45" s="10">
        <f t="shared" si="1"/>
        <v>968</v>
      </c>
      <c r="E45" s="437">
        <f t="shared" si="1"/>
        <v>0</v>
      </c>
      <c r="F45" s="10">
        <f t="shared" si="1"/>
        <v>0</v>
      </c>
      <c r="G45" s="437">
        <f t="shared" si="1"/>
        <v>0</v>
      </c>
      <c r="H45" s="41">
        <f t="shared" si="1"/>
        <v>0</v>
      </c>
      <c r="I45" s="10">
        <f t="shared" si="1"/>
        <v>0</v>
      </c>
      <c r="J45" s="10">
        <f t="shared" si="2"/>
        <v>0</v>
      </c>
      <c r="K45" s="114">
        <f t="shared" si="3"/>
        <v>120878.26961770622</v>
      </c>
    </row>
    <row r="46" spans="1:11" x14ac:dyDescent="0.25">
      <c r="A46" s="49">
        <f>'A) Base RI'!A45</f>
        <v>5474</v>
      </c>
      <c r="B46" s="296" t="str">
        <f>'A) Base RI'!B45</f>
        <v>La Chaux (Cossonay)</v>
      </c>
      <c r="C46" s="10">
        <f>'A) Base RI'!V45</f>
        <v>410</v>
      </c>
      <c r="D46" s="10">
        <f t="shared" si="1"/>
        <v>410</v>
      </c>
      <c r="E46" s="437">
        <f t="shared" si="1"/>
        <v>0</v>
      </c>
      <c r="F46" s="10">
        <f t="shared" si="1"/>
        <v>0</v>
      </c>
      <c r="G46" s="437">
        <f t="shared" si="1"/>
        <v>0</v>
      </c>
      <c r="H46" s="41">
        <f t="shared" si="1"/>
        <v>0</v>
      </c>
      <c r="I46" s="10">
        <f t="shared" si="1"/>
        <v>0</v>
      </c>
      <c r="J46" s="10">
        <f t="shared" si="2"/>
        <v>0</v>
      </c>
      <c r="K46" s="114">
        <f t="shared" si="3"/>
        <v>51198.44064386317</v>
      </c>
    </row>
    <row r="47" spans="1:11" x14ac:dyDescent="0.25">
      <c r="A47" s="49">
        <f>'A) Base RI'!A46</f>
        <v>5475</v>
      </c>
      <c r="B47" s="296" t="str">
        <f>'A) Base RI'!B46</f>
        <v>Chavannes-le-Veyron</v>
      </c>
      <c r="C47" s="10">
        <f>'A) Base RI'!V46</f>
        <v>142</v>
      </c>
      <c r="D47" s="10">
        <f t="shared" si="1"/>
        <v>142</v>
      </c>
      <c r="E47" s="437">
        <f t="shared" si="1"/>
        <v>0</v>
      </c>
      <c r="F47" s="10">
        <f t="shared" si="1"/>
        <v>0</v>
      </c>
      <c r="G47" s="437">
        <f t="shared" si="1"/>
        <v>0</v>
      </c>
      <c r="H47" s="41">
        <f t="shared" si="1"/>
        <v>0</v>
      </c>
      <c r="I47" s="10">
        <f t="shared" si="1"/>
        <v>0</v>
      </c>
      <c r="J47" s="10">
        <f t="shared" si="2"/>
        <v>0</v>
      </c>
      <c r="K47" s="114">
        <f t="shared" si="3"/>
        <v>17732.142857142855</v>
      </c>
    </row>
    <row r="48" spans="1:11" x14ac:dyDescent="0.25">
      <c r="A48" s="49">
        <f>'A) Base RI'!A47</f>
        <v>5476</v>
      </c>
      <c r="B48" s="296" t="str">
        <f>'A) Base RI'!B47</f>
        <v>Chevilly</v>
      </c>
      <c r="C48" s="10">
        <f>'A) Base RI'!V47</f>
        <v>314</v>
      </c>
      <c r="D48" s="10">
        <f t="shared" si="1"/>
        <v>314</v>
      </c>
      <c r="E48" s="437">
        <f t="shared" si="1"/>
        <v>0</v>
      </c>
      <c r="F48" s="10">
        <f t="shared" si="1"/>
        <v>0</v>
      </c>
      <c r="G48" s="437">
        <f t="shared" si="1"/>
        <v>0</v>
      </c>
      <c r="H48" s="41">
        <f t="shared" si="1"/>
        <v>0</v>
      </c>
      <c r="I48" s="10">
        <f t="shared" si="1"/>
        <v>0</v>
      </c>
      <c r="J48" s="10">
        <f t="shared" si="2"/>
        <v>0</v>
      </c>
      <c r="K48" s="114">
        <f t="shared" si="3"/>
        <v>39210.513078470816</v>
      </c>
    </row>
    <row r="49" spans="1:11" x14ac:dyDescent="0.25">
      <c r="A49" s="49">
        <f>'A) Base RI'!A48</f>
        <v>5477</v>
      </c>
      <c r="B49" s="296" t="str">
        <f>'A) Base RI'!B48</f>
        <v>Cossonay</v>
      </c>
      <c r="C49" s="10">
        <f>'A) Base RI'!V48</f>
        <v>3871</v>
      </c>
      <c r="D49" s="10">
        <f t="shared" si="1"/>
        <v>1000</v>
      </c>
      <c r="E49" s="437">
        <f t="shared" si="1"/>
        <v>2000</v>
      </c>
      <c r="F49" s="10">
        <f t="shared" si="1"/>
        <v>871</v>
      </c>
      <c r="G49" s="437">
        <f t="shared" si="1"/>
        <v>0</v>
      </c>
      <c r="H49" s="41">
        <f t="shared" si="1"/>
        <v>0</v>
      </c>
      <c r="I49" s="10">
        <f t="shared" si="1"/>
        <v>0</v>
      </c>
      <c r="J49" s="10">
        <f t="shared" si="2"/>
        <v>0</v>
      </c>
      <c r="K49" s="114">
        <f t="shared" si="3"/>
        <v>1259231.8913480884</v>
      </c>
    </row>
    <row r="50" spans="1:11" x14ac:dyDescent="0.25">
      <c r="A50" s="49">
        <f>'A) Base RI'!A49</f>
        <v>5478</v>
      </c>
      <c r="B50" s="296" t="str">
        <f>'A) Base RI'!B49</f>
        <v>Cottens</v>
      </c>
      <c r="C50" s="10">
        <f>'A) Base RI'!V49</f>
        <v>486</v>
      </c>
      <c r="D50" s="10">
        <f t="shared" si="1"/>
        <v>486</v>
      </c>
      <c r="E50" s="437">
        <f t="shared" si="1"/>
        <v>0</v>
      </c>
      <c r="F50" s="10">
        <f t="shared" si="1"/>
        <v>0</v>
      </c>
      <c r="G50" s="437">
        <f t="shared" si="1"/>
        <v>0</v>
      </c>
      <c r="H50" s="41">
        <f t="shared" si="1"/>
        <v>0</v>
      </c>
      <c r="I50" s="10">
        <f t="shared" si="1"/>
        <v>0</v>
      </c>
      <c r="J50" s="10">
        <f t="shared" si="2"/>
        <v>0</v>
      </c>
      <c r="K50" s="114">
        <f t="shared" si="3"/>
        <v>60688.883299798785</v>
      </c>
    </row>
    <row r="51" spans="1:11" x14ac:dyDescent="0.25">
      <c r="A51" s="49">
        <f>'A) Base RI'!A50</f>
        <v>5479</v>
      </c>
      <c r="B51" s="296" t="str">
        <f>'A) Base RI'!B50</f>
        <v>Cuarnens</v>
      </c>
      <c r="C51" s="10">
        <f>'A) Base RI'!V50</f>
        <v>479</v>
      </c>
      <c r="D51" s="10">
        <f t="shared" si="1"/>
        <v>479</v>
      </c>
      <c r="E51" s="437">
        <f t="shared" si="1"/>
        <v>0</v>
      </c>
      <c r="F51" s="10">
        <f t="shared" si="1"/>
        <v>0</v>
      </c>
      <c r="G51" s="437">
        <f t="shared" si="1"/>
        <v>0</v>
      </c>
      <c r="H51" s="41">
        <f t="shared" si="1"/>
        <v>0</v>
      </c>
      <c r="I51" s="10">
        <f t="shared" si="1"/>
        <v>0</v>
      </c>
      <c r="J51" s="10">
        <f t="shared" si="2"/>
        <v>0</v>
      </c>
      <c r="K51" s="114">
        <f t="shared" si="3"/>
        <v>59814.763581488922</v>
      </c>
    </row>
    <row r="52" spans="1:11" x14ac:dyDescent="0.25">
      <c r="A52" s="49">
        <f>'A) Base RI'!A51</f>
        <v>5480</v>
      </c>
      <c r="B52" s="296" t="str">
        <f>'A) Base RI'!B51</f>
        <v>Daillens</v>
      </c>
      <c r="C52" s="10">
        <f>'A) Base RI'!V51</f>
        <v>1027</v>
      </c>
      <c r="D52" s="10">
        <f t="shared" si="1"/>
        <v>1000</v>
      </c>
      <c r="E52" s="437">
        <f t="shared" si="1"/>
        <v>27</v>
      </c>
      <c r="F52" s="10">
        <f t="shared" si="1"/>
        <v>0</v>
      </c>
      <c r="G52" s="437">
        <f t="shared" si="1"/>
        <v>0</v>
      </c>
      <c r="H52" s="41">
        <f t="shared" si="1"/>
        <v>0</v>
      </c>
      <c r="I52" s="10">
        <f t="shared" si="1"/>
        <v>0</v>
      </c>
      <c r="J52" s="10">
        <f t="shared" si="2"/>
        <v>0</v>
      </c>
      <c r="K52" s="114">
        <f t="shared" si="3"/>
        <v>134314.73843058347</v>
      </c>
    </row>
    <row r="53" spans="1:11" x14ac:dyDescent="0.25">
      <c r="A53" s="49">
        <f>'A) Base RI'!A52</f>
        <v>5481</v>
      </c>
      <c r="B53" s="296" t="str">
        <f>'A) Base RI'!B52</f>
        <v>Dizy</v>
      </c>
      <c r="C53" s="10">
        <f>'A) Base RI'!V52</f>
        <v>223</v>
      </c>
      <c r="D53" s="10">
        <f t="shared" si="1"/>
        <v>223</v>
      </c>
      <c r="E53" s="437">
        <f t="shared" si="1"/>
        <v>0</v>
      </c>
      <c r="F53" s="10">
        <f t="shared" si="1"/>
        <v>0</v>
      </c>
      <c r="G53" s="437">
        <f t="shared" si="1"/>
        <v>0</v>
      </c>
      <c r="H53" s="41">
        <f t="shared" si="1"/>
        <v>0</v>
      </c>
      <c r="I53" s="10">
        <f t="shared" si="1"/>
        <v>0</v>
      </c>
      <c r="J53" s="10">
        <f t="shared" si="2"/>
        <v>0</v>
      </c>
      <c r="K53" s="114">
        <f t="shared" si="3"/>
        <v>27846.956740442653</v>
      </c>
    </row>
    <row r="54" spans="1:11" x14ac:dyDescent="0.25">
      <c r="A54" s="49">
        <f>'A) Base RI'!A53</f>
        <v>5482</v>
      </c>
      <c r="B54" s="296" t="str">
        <f>'A) Base RI'!B53</f>
        <v>Eclépens</v>
      </c>
      <c r="C54" s="10">
        <f>'A) Base RI'!V53</f>
        <v>1211</v>
      </c>
      <c r="D54" s="10">
        <f t="shared" si="1"/>
        <v>1000</v>
      </c>
      <c r="E54" s="437">
        <f t="shared" si="1"/>
        <v>211</v>
      </c>
      <c r="F54" s="10">
        <f t="shared" si="1"/>
        <v>0</v>
      </c>
      <c r="G54" s="437">
        <f t="shared" si="1"/>
        <v>0</v>
      </c>
      <c r="H54" s="41">
        <f t="shared" si="1"/>
        <v>0</v>
      </c>
      <c r="I54" s="10">
        <f t="shared" si="1"/>
        <v>0</v>
      </c>
      <c r="J54" s="10">
        <f t="shared" si="2"/>
        <v>0</v>
      </c>
      <c r="K54" s="114">
        <f t="shared" si="3"/>
        <v>198649.9496981891</v>
      </c>
    </row>
    <row r="55" spans="1:11" x14ac:dyDescent="0.25">
      <c r="A55" s="49">
        <f>'A) Base RI'!A54</f>
        <v>5483</v>
      </c>
      <c r="B55" s="296" t="str">
        <f>'A) Base RI'!B54</f>
        <v>Ferreyres</v>
      </c>
      <c r="C55" s="10">
        <f>'A) Base RI'!V54</f>
        <v>310</v>
      </c>
      <c r="D55" s="10">
        <f t="shared" si="1"/>
        <v>310</v>
      </c>
      <c r="E55" s="437">
        <f t="shared" si="1"/>
        <v>0</v>
      </c>
      <c r="F55" s="10">
        <f t="shared" si="1"/>
        <v>0</v>
      </c>
      <c r="G55" s="437">
        <f t="shared" si="1"/>
        <v>0</v>
      </c>
      <c r="H55" s="41">
        <f t="shared" si="1"/>
        <v>0</v>
      </c>
      <c r="I55" s="10">
        <f t="shared" si="1"/>
        <v>0</v>
      </c>
      <c r="J55" s="10">
        <f t="shared" si="2"/>
        <v>0</v>
      </c>
      <c r="K55" s="114">
        <f t="shared" si="3"/>
        <v>38711.016096579471</v>
      </c>
    </row>
    <row r="56" spans="1:11" x14ac:dyDescent="0.25">
      <c r="A56" s="49">
        <f>'A) Base RI'!A55</f>
        <v>5484</v>
      </c>
      <c r="B56" s="296" t="str">
        <f>'A) Base RI'!B55</f>
        <v>Gollion</v>
      </c>
      <c r="C56" s="10">
        <f>'A) Base RI'!V55</f>
        <v>939</v>
      </c>
      <c r="D56" s="10">
        <f t="shared" si="1"/>
        <v>939</v>
      </c>
      <c r="E56" s="437">
        <f t="shared" si="1"/>
        <v>0</v>
      </c>
      <c r="F56" s="10">
        <f t="shared" si="1"/>
        <v>0</v>
      </c>
      <c r="G56" s="437">
        <f t="shared" si="1"/>
        <v>0</v>
      </c>
      <c r="H56" s="41">
        <f t="shared" si="1"/>
        <v>0</v>
      </c>
      <c r="I56" s="10">
        <f t="shared" si="1"/>
        <v>0</v>
      </c>
      <c r="J56" s="10">
        <f t="shared" si="2"/>
        <v>0</v>
      </c>
      <c r="K56" s="114">
        <f t="shared" si="3"/>
        <v>117256.91649899395</v>
      </c>
    </row>
    <row r="57" spans="1:11" x14ac:dyDescent="0.25">
      <c r="A57" s="49">
        <f>'A) Base RI'!A56</f>
        <v>5485</v>
      </c>
      <c r="B57" s="296" t="str">
        <f>'A) Base RI'!B56</f>
        <v>Grancy</v>
      </c>
      <c r="C57" s="10">
        <f>'A) Base RI'!V56</f>
        <v>398</v>
      </c>
      <c r="D57" s="10">
        <f t="shared" si="1"/>
        <v>398</v>
      </c>
      <c r="E57" s="437">
        <f t="shared" si="1"/>
        <v>0</v>
      </c>
      <c r="F57" s="10">
        <f t="shared" si="1"/>
        <v>0</v>
      </c>
      <c r="G57" s="437">
        <f t="shared" si="1"/>
        <v>0</v>
      </c>
      <c r="H57" s="41">
        <f t="shared" si="1"/>
        <v>0</v>
      </c>
      <c r="I57" s="10">
        <f t="shared" si="1"/>
        <v>0</v>
      </c>
      <c r="J57" s="10">
        <f t="shared" si="2"/>
        <v>0</v>
      </c>
      <c r="K57" s="114">
        <f t="shared" si="3"/>
        <v>49699.949698189128</v>
      </c>
    </row>
    <row r="58" spans="1:11" x14ac:dyDescent="0.25">
      <c r="A58" s="49">
        <f>'A) Base RI'!A57</f>
        <v>5486</v>
      </c>
      <c r="B58" s="296" t="str">
        <f>'A) Base RI'!B57</f>
        <v>L'Isle</v>
      </c>
      <c r="C58" s="10">
        <f>'A) Base RI'!V57</f>
        <v>1005</v>
      </c>
      <c r="D58" s="10">
        <f t="shared" si="1"/>
        <v>1000</v>
      </c>
      <c r="E58" s="437">
        <f t="shared" si="1"/>
        <v>5</v>
      </c>
      <c r="F58" s="10">
        <f t="shared" si="1"/>
        <v>0</v>
      </c>
      <c r="G58" s="437">
        <f t="shared" si="1"/>
        <v>0</v>
      </c>
      <c r="H58" s="41">
        <f t="shared" si="1"/>
        <v>0</v>
      </c>
      <c r="I58" s="10">
        <f t="shared" si="1"/>
        <v>0</v>
      </c>
      <c r="J58" s="10">
        <f t="shared" si="2"/>
        <v>0</v>
      </c>
      <c r="K58" s="114">
        <f t="shared" si="3"/>
        <v>126622.48490945672</v>
      </c>
    </row>
    <row r="59" spans="1:11" x14ac:dyDescent="0.25">
      <c r="A59" s="49">
        <f>'A) Base RI'!A58</f>
        <v>5487</v>
      </c>
      <c r="B59" s="296" t="str">
        <f>'A) Base RI'!B58</f>
        <v>Lussery-Villars</v>
      </c>
      <c r="C59" s="10">
        <f>'A) Base RI'!V58</f>
        <v>462</v>
      </c>
      <c r="D59" s="10">
        <f t="shared" si="1"/>
        <v>462</v>
      </c>
      <c r="E59" s="437">
        <f t="shared" si="1"/>
        <v>0</v>
      </c>
      <c r="F59" s="10">
        <f t="shared" si="1"/>
        <v>0</v>
      </c>
      <c r="G59" s="437">
        <f t="shared" si="1"/>
        <v>0</v>
      </c>
      <c r="H59" s="41">
        <f t="shared" si="1"/>
        <v>0</v>
      </c>
      <c r="I59" s="10">
        <f t="shared" si="1"/>
        <v>0</v>
      </c>
      <c r="J59" s="10">
        <f t="shared" si="2"/>
        <v>0</v>
      </c>
      <c r="K59" s="114">
        <f t="shared" si="3"/>
        <v>57691.901408450693</v>
      </c>
    </row>
    <row r="60" spans="1:11" x14ac:dyDescent="0.25">
      <c r="A60" s="49">
        <f>'A) Base RI'!A59</f>
        <v>5488</v>
      </c>
      <c r="B60" s="296" t="str">
        <f>'A) Base RI'!B59</f>
        <v>Mauraz</v>
      </c>
      <c r="C60" s="10">
        <f>'A) Base RI'!V59</f>
        <v>59</v>
      </c>
      <c r="D60" s="10">
        <f t="shared" si="1"/>
        <v>59</v>
      </c>
      <c r="E60" s="437">
        <f t="shared" si="1"/>
        <v>0</v>
      </c>
      <c r="F60" s="10">
        <f t="shared" si="1"/>
        <v>0</v>
      </c>
      <c r="G60" s="437">
        <f t="shared" si="1"/>
        <v>0</v>
      </c>
      <c r="H60" s="41">
        <f t="shared" si="1"/>
        <v>0</v>
      </c>
      <c r="I60" s="10">
        <f t="shared" si="1"/>
        <v>0</v>
      </c>
      <c r="J60" s="10">
        <f t="shared" si="2"/>
        <v>0</v>
      </c>
      <c r="K60" s="114">
        <f t="shared" si="3"/>
        <v>7367.5804828973833</v>
      </c>
    </row>
    <row r="61" spans="1:11" x14ac:dyDescent="0.25">
      <c r="A61" s="49">
        <f>'A) Base RI'!A60</f>
        <v>5489</v>
      </c>
      <c r="B61" s="296" t="str">
        <f>'A) Base RI'!B60</f>
        <v>Mex</v>
      </c>
      <c r="C61" s="10">
        <f>'A) Base RI'!V60</f>
        <v>725</v>
      </c>
      <c r="D61" s="10">
        <f t="shared" si="1"/>
        <v>725</v>
      </c>
      <c r="E61" s="437">
        <f t="shared" si="1"/>
        <v>0</v>
      </c>
      <c r="F61" s="10">
        <f t="shared" si="1"/>
        <v>0</v>
      </c>
      <c r="G61" s="437">
        <f t="shared" si="1"/>
        <v>0</v>
      </c>
      <c r="H61" s="41">
        <f t="shared" si="1"/>
        <v>0</v>
      </c>
      <c r="I61" s="10">
        <f t="shared" si="1"/>
        <v>0</v>
      </c>
      <c r="J61" s="10">
        <f t="shared" si="2"/>
        <v>0</v>
      </c>
      <c r="K61" s="114">
        <f t="shared" si="3"/>
        <v>90533.827967806821</v>
      </c>
    </row>
    <row r="62" spans="1:11" x14ac:dyDescent="0.25">
      <c r="A62" s="49">
        <f>'A) Base RI'!A61</f>
        <v>5490</v>
      </c>
      <c r="B62" s="296" t="str">
        <f>'A) Base RI'!B61</f>
        <v>Moiry</v>
      </c>
      <c r="C62" s="10">
        <f>'A) Base RI'!V61</f>
        <v>310</v>
      </c>
      <c r="D62" s="10">
        <f t="shared" si="1"/>
        <v>310</v>
      </c>
      <c r="E62" s="437">
        <f t="shared" si="1"/>
        <v>0</v>
      </c>
      <c r="F62" s="10">
        <f t="shared" si="1"/>
        <v>0</v>
      </c>
      <c r="G62" s="437">
        <f t="shared" si="1"/>
        <v>0</v>
      </c>
      <c r="H62" s="41">
        <f t="shared" si="1"/>
        <v>0</v>
      </c>
      <c r="I62" s="10">
        <f t="shared" si="1"/>
        <v>0</v>
      </c>
      <c r="J62" s="10">
        <f t="shared" si="2"/>
        <v>0</v>
      </c>
      <c r="K62" s="114">
        <f t="shared" si="3"/>
        <v>38711.016096579471</v>
      </c>
    </row>
    <row r="63" spans="1:11" x14ac:dyDescent="0.25">
      <c r="A63" s="49">
        <f>'A) Base RI'!A62</f>
        <v>5491</v>
      </c>
      <c r="B63" s="296" t="str">
        <f>'A) Base RI'!B62</f>
        <v>Mont-la-Ville</v>
      </c>
      <c r="C63" s="10">
        <f>'A) Base RI'!V62</f>
        <v>466</v>
      </c>
      <c r="D63" s="10">
        <f t="shared" si="1"/>
        <v>466</v>
      </c>
      <c r="E63" s="437">
        <f t="shared" si="1"/>
        <v>0</v>
      </c>
      <c r="F63" s="10">
        <f t="shared" si="1"/>
        <v>0</v>
      </c>
      <c r="G63" s="437">
        <f t="shared" si="1"/>
        <v>0</v>
      </c>
      <c r="H63" s="41">
        <f t="shared" si="1"/>
        <v>0</v>
      </c>
      <c r="I63" s="10">
        <f t="shared" si="1"/>
        <v>0</v>
      </c>
      <c r="J63" s="10">
        <f t="shared" si="2"/>
        <v>0</v>
      </c>
      <c r="K63" s="114">
        <f t="shared" si="3"/>
        <v>58191.398390342045</v>
      </c>
    </row>
    <row r="64" spans="1:11" x14ac:dyDescent="0.25">
      <c r="A64" s="49">
        <f>'A) Base RI'!A63</f>
        <v>5492</v>
      </c>
      <c r="B64" s="296" t="str">
        <f>'A) Base RI'!B63</f>
        <v>Montricher</v>
      </c>
      <c r="C64" s="10">
        <f>'A) Base RI'!V63</f>
        <v>940</v>
      </c>
      <c r="D64" s="10">
        <f t="shared" ref="D64:I106" si="4">IF($C64&gt;D$4,IF($C64&lt;D$5,$C64-D$4,D$5-D$4),0)</f>
        <v>940</v>
      </c>
      <c r="E64" s="437">
        <f t="shared" si="4"/>
        <v>0</v>
      </c>
      <c r="F64" s="10">
        <f t="shared" si="4"/>
        <v>0</v>
      </c>
      <c r="G64" s="437">
        <f t="shared" si="4"/>
        <v>0</v>
      </c>
      <c r="H64" s="41">
        <f t="shared" si="4"/>
        <v>0</v>
      </c>
      <c r="I64" s="10">
        <f t="shared" si="4"/>
        <v>0</v>
      </c>
      <c r="J64" s="10">
        <f t="shared" si="2"/>
        <v>0</v>
      </c>
      <c r="K64" s="114">
        <f t="shared" si="3"/>
        <v>117381.79074446678</v>
      </c>
    </row>
    <row r="65" spans="1:11" x14ac:dyDescent="0.25">
      <c r="A65" s="49">
        <f>'A) Base RI'!A64</f>
        <v>5493</v>
      </c>
      <c r="B65" s="296" t="str">
        <f>'A) Base RI'!B64</f>
        <v>Orny</v>
      </c>
      <c r="C65" s="10">
        <f>'A) Base RI'!V64</f>
        <v>368</v>
      </c>
      <c r="D65" s="10">
        <f t="shared" si="4"/>
        <v>368</v>
      </c>
      <c r="E65" s="437">
        <f t="shared" si="4"/>
        <v>0</v>
      </c>
      <c r="F65" s="10">
        <f t="shared" si="4"/>
        <v>0</v>
      </c>
      <c r="G65" s="437">
        <f t="shared" si="4"/>
        <v>0</v>
      </c>
      <c r="H65" s="41">
        <f t="shared" si="4"/>
        <v>0</v>
      </c>
      <c r="I65" s="10">
        <f t="shared" si="4"/>
        <v>0</v>
      </c>
      <c r="J65" s="10">
        <f t="shared" si="2"/>
        <v>0</v>
      </c>
      <c r="K65" s="114">
        <f t="shared" si="3"/>
        <v>45953.722334004015</v>
      </c>
    </row>
    <row r="66" spans="1:11" x14ac:dyDescent="0.25">
      <c r="A66" s="49">
        <f>'A) Base RI'!A65</f>
        <v>5494</v>
      </c>
      <c r="B66" s="296" t="str">
        <f>'A) Base RI'!B65</f>
        <v>Pampigny</v>
      </c>
      <c r="C66" s="10">
        <f>'A) Base RI'!V65</f>
        <v>1113</v>
      </c>
      <c r="D66" s="10">
        <f t="shared" si="4"/>
        <v>1000</v>
      </c>
      <c r="E66" s="437">
        <f t="shared" si="4"/>
        <v>113</v>
      </c>
      <c r="F66" s="10">
        <f t="shared" si="4"/>
        <v>0</v>
      </c>
      <c r="G66" s="437">
        <f t="shared" si="4"/>
        <v>0</v>
      </c>
      <c r="H66" s="41">
        <f t="shared" si="4"/>
        <v>0</v>
      </c>
      <c r="I66" s="10">
        <f t="shared" si="4"/>
        <v>0</v>
      </c>
      <c r="J66" s="10">
        <f t="shared" si="2"/>
        <v>0</v>
      </c>
      <c r="K66" s="114">
        <f t="shared" si="3"/>
        <v>164384.45674044263</v>
      </c>
    </row>
    <row r="67" spans="1:11" x14ac:dyDescent="0.25">
      <c r="A67" s="49">
        <f>'A) Base RI'!A66</f>
        <v>5495</v>
      </c>
      <c r="B67" s="296" t="str">
        <f>'A) Base RI'!B66</f>
        <v>Penthalaz</v>
      </c>
      <c r="C67" s="10">
        <f>'A) Base RI'!V66</f>
        <v>3283</v>
      </c>
      <c r="D67" s="10">
        <f t="shared" si="4"/>
        <v>1000</v>
      </c>
      <c r="E67" s="437">
        <f t="shared" si="4"/>
        <v>2000</v>
      </c>
      <c r="F67" s="10">
        <f t="shared" si="4"/>
        <v>283</v>
      </c>
      <c r="G67" s="437">
        <f t="shared" si="4"/>
        <v>0</v>
      </c>
      <c r="H67" s="41">
        <f t="shared" si="4"/>
        <v>0</v>
      </c>
      <c r="I67" s="10">
        <f t="shared" si="4"/>
        <v>0</v>
      </c>
      <c r="J67" s="10">
        <f t="shared" si="2"/>
        <v>0</v>
      </c>
      <c r="K67" s="114">
        <f t="shared" si="3"/>
        <v>965527.66599597572</v>
      </c>
    </row>
    <row r="68" spans="1:11" x14ac:dyDescent="0.25">
      <c r="A68" s="49">
        <f>'A) Base RI'!A67</f>
        <v>5496</v>
      </c>
      <c r="B68" s="296" t="str">
        <f>'A) Base RI'!B67</f>
        <v>Penthaz</v>
      </c>
      <c r="C68" s="10">
        <f>'A) Base RI'!V67</f>
        <v>1747</v>
      </c>
      <c r="D68" s="10">
        <f t="shared" si="4"/>
        <v>1000</v>
      </c>
      <c r="E68" s="437">
        <f t="shared" si="4"/>
        <v>747</v>
      </c>
      <c r="F68" s="10">
        <f t="shared" si="4"/>
        <v>0</v>
      </c>
      <c r="G68" s="437">
        <f t="shared" si="4"/>
        <v>0</v>
      </c>
      <c r="H68" s="41">
        <f t="shared" si="4"/>
        <v>0</v>
      </c>
      <c r="I68" s="10">
        <f t="shared" si="4"/>
        <v>0</v>
      </c>
      <c r="J68" s="10">
        <f t="shared" si="2"/>
        <v>0</v>
      </c>
      <c r="K68" s="114">
        <f t="shared" si="3"/>
        <v>386061.21730382286</v>
      </c>
    </row>
    <row r="69" spans="1:11" x14ac:dyDescent="0.25">
      <c r="A69" s="49">
        <f>'A) Base RI'!A68</f>
        <v>5497</v>
      </c>
      <c r="B69" s="296" t="str">
        <f>'A) Base RI'!B68</f>
        <v>Pompaples</v>
      </c>
      <c r="C69" s="10">
        <f>'A) Base RI'!V68</f>
        <v>847</v>
      </c>
      <c r="D69" s="10">
        <f t="shared" si="4"/>
        <v>847</v>
      </c>
      <c r="E69" s="437">
        <f t="shared" si="4"/>
        <v>0</v>
      </c>
      <c r="F69" s="10">
        <f t="shared" si="4"/>
        <v>0</v>
      </c>
      <c r="G69" s="437">
        <f t="shared" si="4"/>
        <v>0</v>
      </c>
      <c r="H69" s="41">
        <f t="shared" si="4"/>
        <v>0</v>
      </c>
      <c r="I69" s="10">
        <f t="shared" si="4"/>
        <v>0</v>
      </c>
      <c r="J69" s="10">
        <f t="shared" si="2"/>
        <v>0</v>
      </c>
      <c r="K69" s="114">
        <f t="shared" si="3"/>
        <v>105768.48591549294</v>
      </c>
    </row>
    <row r="70" spans="1:11" x14ac:dyDescent="0.25">
      <c r="A70" s="49">
        <f>'A) Base RI'!A69</f>
        <v>5498</v>
      </c>
      <c r="B70" s="296" t="str">
        <f>'A) Base RI'!B69</f>
        <v>La Sarraz</v>
      </c>
      <c r="C70" s="10">
        <f>'A) Base RI'!V69</f>
        <v>2596</v>
      </c>
      <c r="D70" s="10">
        <f t="shared" si="4"/>
        <v>1000</v>
      </c>
      <c r="E70" s="437">
        <f t="shared" si="4"/>
        <v>1596</v>
      </c>
      <c r="F70" s="10">
        <f t="shared" si="4"/>
        <v>0</v>
      </c>
      <c r="G70" s="437">
        <f t="shared" si="4"/>
        <v>0</v>
      </c>
      <c r="H70" s="41">
        <f t="shared" si="4"/>
        <v>0</v>
      </c>
      <c r="I70" s="10">
        <f t="shared" si="4"/>
        <v>0</v>
      </c>
      <c r="J70" s="10">
        <f t="shared" si="2"/>
        <v>0</v>
      </c>
      <c r="K70" s="114">
        <f t="shared" si="3"/>
        <v>682912.27364185103</v>
      </c>
    </row>
    <row r="71" spans="1:11" x14ac:dyDescent="0.25">
      <c r="A71" s="49">
        <f>'A) Base RI'!A70</f>
        <v>5499</v>
      </c>
      <c r="B71" s="296" t="str">
        <f>'A) Base RI'!B70</f>
        <v>Senarclens</v>
      </c>
      <c r="C71" s="10">
        <f>'A) Base RI'!V70</f>
        <v>488</v>
      </c>
      <c r="D71" s="10">
        <f t="shared" si="4"/>
        <v>488</v>
      </c>
      <c r="E71" s="437">
        <f t="shared" si="4"/>
        <v>0</v>
      </c>
      <c r="F71" s="10">
        <f t="shared" si="4"/>
        <v>0</v>
      </c>
      <c r="G71" s="437">
        <f t="shared" si="4"/>
        <v>0</v>
      </c>
      <c r="H71" s="41">
        <f t="shared" si="4"/>
        <v>0</v>
      </c>
      <c r="I71" s="10">
        <f t="shared" si="4"/>
        <v>0</v>
      </c>
      <c r="J71" s="10">
        <f t="shared" si="2"/>
        <v>0</v>
      </c>
      <c r="K71" s="114">
        <f t="shared" si="3"/>
        <v>60938.631790744461</v>
      </c>
    </row>
    <row r="72" spans="1:11" x14ac:dyDescent="0.25">
      <c r="A72" s="49">
        <f>'A) Base RI'!A71</f>
        <v>5500</v>
      </c>
      <c r="B72" s="296" t="str">
        <f>'A) Base RI'!B71</f>
        <v>Sévery</v>
      </c>
      <c r="C72" s="10">
        <f>'A) Base RI'!V71</f>
        <v>225</v>
      </c>
      <c r="D72" s="10">
        <f t="shared" si="4"/>
        <v>225</v>
      </c>
      <c r="E72" s="437">
        <f t="shared" si="4"/>
        <v>0</v>
      </c>
      <c r="F72" s="10">
        <f t="shared" si="4"/>
        <v>0</v>
      </c>
      <c r="G72" s="437">
        <f t="shared" si="4"/>
        <v>0</v>
      </c>
      <c r="H72" s="41">
        <f t="shared" si="4"/>
        <v>0</v>
      </c>
      <c r="I72" s="10">
        <f t="shared" si="4"/>
        <v>0</v>
      </c>
      <c r="J72" s="10">
        <f t="shared" si="2"/>
        <v>0</v>
      </c>
      <c r="K72" s="114">
        <f t="shared" si="3"/>
        <v>28096.705231388325</v>
      </c>
    </row>
    <row r="73" spans="1:11" x14ac:dyDescent="0.25">
      <c r="A73" s="49">
        <f>'A) Base RI'!A72</f>
        <v>5501</v>
      </c>
      <c r="B73" s="296" t="str">
        <f>'A) Base RI'!B72</f>
        <v>Sullens</v>
      </c>
      <c r="C73" s="10">
        <f>'A) Base RI'!V72</f>
        <v>1036</v>
      </c>
      <c r="D73" s="10">
        <f t="shared" si="4"/>
        <v>1000</v>
      </c>
      <c r="E73" s="437">
        <f t="shared" si="4"/>
        <v>36</v>
      </c>
      <c r="F73" s="10">
        <f t="shared" si="4"/>
        <v>0</v>
      </c>
      <c r="G73" s="437">
        <f t="shared" si="4"/>
        <v>0</v>
      </c>
      <c r="H73" s="41">
        <f t="shared" si="4"/>
        <v>0</v>
      </c>
      <c r="I73" s="10">
        <f t="shared" si="4"/>
        <v>0</v>
      </c>
      <c r="J73" s="10">
        <f t="shared" ref="J73:J136" si="5">IF(C73&gt;$J$4,C73-$J$4,0)</f>
        <v>0</v>
      </c>
      <c r="K73" s="114">
        <f t="shared" ref="K73:K136" si="6">(D73*D$7)+(E73*E$7)+(F73*F$7)+(G73*G$7)+(H73*H$7)+(I73*I$7)+(J73*J$7)</f>
        <v>137461.56941649897</v>
      </c>
    </row>
    <row r="74" spans="1:11" x14ac:dyDescent="0.25">
      <c r="A74" s="49">
        <f>'A) Base RI'!A73</f>
        <v>5503</v>
      </c>
      <c r="B74" s="296" t="str">
        <f>'A) Base RI'!B73</f>
        <v>Vufflens-la-Ville</v>
      </c>
      <c r="C74" s="10">
        <f>'A) Base RI'!V73</f>
        <v>1298</v>
      </c>
      <c r="D74" s="10">
        <f t="shared" si="4"/>
        <v>1000</v>
      </c>
      <c r="E74" s="437">
        <f t="shared" si="4"/>
        <v>298</v>
      </c>
      <c r="F74" s="10">
        <f t="shared" si="4"/>
        <v>0</v>
      </c>
      <c r="G74" s="437">
        <f t="shared" si="4"/>
        <v>0</v>
      </c>
      <c r="H74" s="41">
        <f t="shared" si="4"/>
        <v>0</v>
      </c>
      <c r="I74" s="10">
        <f t="shared" si="4"/>
        <v>0</v>
      </c>
      <c r="J74" s="10">
        <f t="shared" si="5"/>
        <v>0</v>
      </c>
      <c r="K74" s="114">
        <f t="shared" si="6"/>
        <v>229069.31589537219</v>
      </c>
    </row>
    <row r="75" spans="1:11" x14ac:dyDescent="0.25">
      <c r="A75" s="49">
        <f>'A) Base RI'!A74</f>
        <v>5511</v>
      </c>
      <c r="B75" s="296" t="str">
        <f>'A) Base RI'!B74</f>
        <v>Assens</v>
      </c>
      <c r="C75" s="10">
        <f>'A) Base RI'!V74</f>
        <v>1077</v>
      </c>
      <c r="D75" s="10">
        <f t="shared" si="4"/>
        <v>1000</v>
      </c>
      <c r="E75" s="437">
        <f t="shared" si="4"/>
        <v>77</v>
      </c>
      <c r="F75" s="10">
        <f t="shared" si="4"/>
        <v>0</v>
      </c>
      <c r="G75" s="437">
        <f t="shared" si="4"/>
        <v>0</v>
      </c>
      <c r="H75" s="41">
        <f t="shared" si="4"/>
        <v>0</v>
      </c>
      <c r="I75" s="10">
        <f t="shared" si="4"/>
        <v>0</v>
      </c>
      <c r="J75" s="10">
        <f t="shared" si="5"/>
        <v>0</v>
      </c>
      <c r="K75" s="114">
        <f t="shared" si="6"/>
        <v>151797.13279678067</v>
      </c>
    </row>
    <row r="76" spans="1:11" x14ac:dyDescent="0.25">
      <c r="A76" s="49">
        <f>'A) Base RI'!A75</f>
        <v>5512</v>
      </c>
      <c r="B76" s="296" t="str">
        <f>'A) Base RI'!B75</f>
        <v>Bercher</v>
      </c>
      <c r="C76" s="10">
        <f>'A) Base RI'!V75</f>
        <v>1239</v>
      </c>
      <c r="D76" s="10">
        <f t="shared" si="4"/>
        <v>1000</v>
      </c>
      <c r="E76" s="437">
        <f t="shared" si="4"/>
        <v>239</v>
      </c>
      <c r="F76" s="10">
        <f t="shared" si="4"/>
        <v>0</v>
      </c>
      <c r="G76" s="437">
        <f t="shared" si="4"/>
        <v>0</v>
      </c>
      <c r="H76" s="41">
        <f t="shared" si="4"/>
        <v>0</v>
      </c>
      <c r="I76" s="10">
        <f t="shared" si="4"/>
        <v>0</v>
      </c>
      <c r="J76" s="10">
        <f t="shared" si="5"/>
        <v>0</v>
      </c>
      <c r="K76" s="114">
        <f t="shared" si="6"/>
        <v>208440.09054325952</v>
      </c>
    </row>
    <row r="77" spans="1:11" x14ac:dyDescent="0.25">
      <c r="A77" s="49">
        <f>'A) Base RI'!A76</f>
        <v>5513</v>
      </c>
      <c r="B77" s="296" t="str">
        <f>'A) Base RI'!B76</f>
        <v>Bioley-Orjulaz</v>
      </c>
      <c r="C77" s="10">
        <f>'A) Base RI'!V76</f>
        <v>516</v>
      </c>
      <c r="D77" s="10">
        <f t="shared" si="4"/>
        <v>516</v>
      </c>
      <c r="E77" s="437">
        <f t="shared" si="4"/>
        <v>0</v>
      </c>
      <c r="F77" s="10">
        <f t="shared" si="4"/>
        <v>0</v>
      </c>
      <c r="G77" s="437">
        <f t="shared" si="4"/>
        <v>0</v>
      </c>
      <c r="H77" s="41">
        <f t="shared" si="4"/>
        <v>0</v>
      </c>
      <c r="I77" s="10">
        <f t="shared" si="4"/>
        <v>0</v>
      </c>
      <c r="J77" s="10">
        <f t="shared" si="5"/>
        <v>0</v>
      </c>
      <c r="K77" s="114">
        <f t="shared" si="6"/>
        <v>64435.110663983891</v>
      </c>
    </row>
    <row r="78" spans="1:11" x14ac:dyDescent="0.25">
      <c r="A78" s="49">
        <f>'A) Base RI'!A77</f>
        <v>5514</v>
      </c>
      <c r="B78" s="296" t="str">
        <f>'A) Base RI'!B77</f>
        <v>Bottens</v>
      </c>
      <c r="C78" s="10">
        <f>'A) Base RI'!V77</f>
        <v>1298</v>
      </c>
      <c r="D78" s="10">
        <f t="shared" si="4"/>
        <v>1000</v>
      </c>
      <c r="E78" s="437">
        <f t="shared" si="4"/>
        <v>298</v>
      </c>
      <c r="F78" s="10">
        <f t="shared" si="4"/>
        <v>0</v>
      </c>
      <c r="G78" s="437">
        <f t="shared" si="4"/>
        <v>0</v>
      </c>
      <c r="H78" s="41">
        <f t="shared" si="4"/>
        <v>0</v>
      </c>
      <c r="I78" s="10">
        <f t="shared" si="4"/>
        <v>0</v>
      </c>
      <c r="J78" s="10">
        <f t="shared" si="5"/>
        <v>0</v>
      </c>
      <c r="K78" s="114">
        <f t="shared" si="6"/>
        <v>229069.31589537219</v>
      </c>
    </row>
    <row r="79" spans="1:11" x14ac:dyDescent="0.25">
      <c r="A79" s="49">
        <f>'A) Base RI'!A78</f>
        <v>5515</v>
      </c>
      <c r="B79" s="296" t="str">
        <f>'A) Base RI'!B78</f>
        <v>Bretigny-sur-Morrens</v>
      </c>
      <c r="C79" s="10">
        <f>'A) Base RI'!V78</f>
        <v>843</v>
      </c>
      <c r="D79" s="10">
        <f t="shared" si="4"/>
        <v>843</v>
      </c>
      <c r="E79" s="437">
        <f t="shared" si="4"/>
        <v>0</v>
      </c>
      <c r="F79" s="10">
        <f t="shared" si="4"/>
        <v>0</v>
      </c>
      <c r="G79" s="437">
        <f t="shared" si="4"/>
        <v>0</v>
      </c>
      <c r="H79" s="41">
        <f t="shared" si="4"/>
        <v>0</v>
      </c>
      <c r="I79" s="10">
        <f t="shared" si="4"/>
        <v>0</v>
      </c>
      <c r="J79" s="10">
        <f t="shared" si="5"/>
        <v>0</v>
      </c>
      <c r="K79" s="114">
        <f t="shared" si="6"/>
        <v>105268.98893360159</v>
      </c>
    </row>
    <row r="80" spans="1:11" x14ac:dyDescent="0.25">
      <c r="A80" s="49">
        <f>'A) Base RI'!A79</f>
        <v>5516</v>
      </c>
      <c r="B80" s="296" t="str">
        <f>'A) Base RI'!B79</f>
        <v>Cugy</v>
      </c>
      <c r="C80" s="10">
        <f>'A) Base RI'!V79</f>
        <v>2742</v>
      </c>
      <c r="D80" s="10">
        <f t="shared" si="4"/>
        <v>1000</v>
      </c>
      <c r="E80" s="437">
        <f t="shared" si="4"/>
        <v>1742</v>
      </c>
      <c r="F80" s="10">
        <f t="shared" si="4"/>
        <v>0</v>
      </c>
      <c r="G80" s="437">
        <f t="shared" si="4"/>
        <v>0</v>
      </c>
      <c r="H80" s="41">
        <f t="shared" si="4"/>
        <v>0</v>
      </c>
      <c r="I80" s="10">
        <f t="shared" si="4"/>
        <v>0</v>
      </c>
      <c r="J80" s="10">
        <f t="shared" si="5"/>
        <v>0</v>
      </c>
      <c r="K80" s="114">
        <f t="shared" si="6"/>
        <v>733960.86519114685</v>
      </c>
    </row>
    <row r="81" spans="1:11" x14ac:dyDescent="0.25">
      <c r="A81" s="49">
        <f>'A) Base RI'!A80</f>
        <v>5518</v>
      </c>
      <c r="B81" s="296" t="str">
        <f>'A) Base RI'!B80</f>
        <v>Echallens</v>
      </c>
      <c r="C81" s="10">
        <f>'A) Base RI'!V80</f>
        <v>5742</v>
      </c>
      <c r="D81" s="10">
        <f t="shared" si="4"/>
        <v>1000</v>
      </c>
      <c r="E81" s="437">
        <f t="shared" si="4"/>
        <v>2000</v>
      </c>
      <c r="F81" s="10">
        <f t="shared" si="4"/>
        <v>2000</v>
      </c>
      <c r="G81" s="437">
        <f t="shared" si="4"/>
        <v>742</v>
      </c>
      <c r="H81" s="41">
        <f t="shared" si="4"/>
        <v>0</v>
      </c>
      <c r="I81" s="10">
        <f t="shared" si="4"/>
        <v>0</v>
      </c>
      <c r="J81" s="10">
        <f t="shared" si="5"/>
        <v>0</v>
      </c>
      <c r="K81" s="114">
        <f t="shared" si="6"/>
        <v>2267916.0965794763</v>
      </c>
    </row>
    <row r="82" spans="1:11" x14ac:dyDescent="0.25">
      <c r="A82" s="49">
        <f>'A) Base RI'!A81</f>
        <v>5520</v>
      </c>
      <c r="B82" s="296" t="str">
        <f>'A) Base RI'!B81</f>
        <v>Essertines-sur-Yverdon</v>
      </c>
      <c r="C82" s="10">
        <f>'A) Base RI'!V81</f>
        <v>1024</v>
      </c>
      <c r="D82" s="10">
        <f t="shared" si="4"/>
        <v>1000</v>
      </c>
      <c r="E82" s="437">
        <f t="shared" si="4"/>
        <v>24</v>
      </c>
      <c r="F82" s="10">
        <f t="shared" si="4"/>
        <v>0</v>
      </c>
      <c r="G82" s="437">
        <f t="shared" si="4"/>
        <v>0</v>
      </c>
      <c r="H82" s="41">
        <f t="shared" si="4"/>
        <v>0</v>
      </c>
      <c r="I82" s="10">
        <f t="shared" si="4"/>
        <v>0</v>
      </c>
      <c r="J82" s="10">
        <f t="shared" si="5"/>
        <v>0</v>
      </c>
      <c r="K82" s="114">
        <f t="shared" si="6"/>
        <v>133265.79476861167</v>
      </c>
    </row>
    <row r="83" spans="1:11" x14ac:dyDescent="0.25">
      <c r="A83" s="49">
        <f>'A) Base RI'!A82</f>
        <v>5521</v>
      </c>
      <c r="B83" s="296" t="str">
        <f>'A) Base RI'!B82</f>
        <v>Etagnières</v>
      </c>
      <c r="C83" s="10">
        <f>'A) Base RI'!V82</f>
        <v>1118</v>
      </c>
      <c r="D83" s="10">
        <f t="shared" si="4"/>
        <v>1000</v>
      </c>
      <c r="E83" s="437">
        <f t="shared" si="4"/>
        <v>118</v>
      </c>
      <c r="F83" s="10">
        <f t="shared" si="4"/>
        <v>0</v>
      </c>
      <c r="G83" s="437">
        <f t="shared" si="4"/>
        <v>0</v>
      </c>
      <c r="H83" s="41">
        <f t="shared" si="4"/>
        <v>0</v>
      </c>
      <c r="I83" s="10">
        <f t="shared" si="4"/>
        <v>0</v>
      </c>
      <c r="J83" s="10">
        <f t="shared" si="5"/>
        <v>0</v>
      </c>
      <c r="K83" s="114">
        <f t="shared" si="6"/>
        <v>166132.69617706235</v>
      </c>
    </row>
    <row r="84" spans="1:11" x14ac:dyDescent="0.25">
      <c r="A84" s="49">
        <f>'A) Base RI'!A83</f>
        <v>5522</v>
      </c>
      <c r="B84" s="296" t="str">
        <f>'A) Base RI'!B83</f>
        <v>Fey</v>
      </c>
      <c r="C84" s="10">
        <f>'A) Base RI'!V83</f>
        <v>734</v>
      </c>
      <c r="D84" s="10">
        <f t="shared" si="4"/>
        <v>734</v>
      </c>
      <c r="E84" s="437">
        <f t="shared" si="4"/>
        <v>0</v>
      </c>
      <c r="F84" s="10">
        <f t="shared" si="4"/>
        <v>0</v>
      </c>
      <c r="G84" s="437">
        <f t="shared" si="4"/>
        <v>0</v>
      </c>
      <c r="H84" s="41">
        <f t="shared" si="4"/>
        <v>0</v>
      </c>
      <c r="I84" s="10">
        <f t="shared" si="4"/>
        <v>0</v>
      </c>
      <c r="J84" s="10">
        <f t="shared" si="5"/>
        <v>0</v>
      </c>
      <c r="K84" s="114">
        <f t="shared" si="6"/>
        <v>91657.69617706236</v>
      </c>
    </row>
    <row r="85" spans="1:11" x14ac:dyDescent="0.25">
      <c r="A85" s="49">
        <f>'A) Base RI'!A84</f>
        <v>5523</v>
      </c>
      <c r="B85" s="296" t="str">
        <f>'A) Base RI'!B84</f>
        <v>Froideville</v>
      </c>
      <c r="C85" s="10">
        <f>'A) Base RI'!V84</f>
        <v>2576</v>
      </c>
      <c r="D85" s="10">
        <f t="shared" si="4"/>
        <v>1000</v>
      </c>
      <c r="E85" s="437">
        <f t="shared" si="4"/>
        <v>1576</v>
      </c>
      <c r="F85" s="10">
        <f t="shared" si="4"/>
        <v>0</v>
      </c>
      <c r="G85" s="437">
        <f t="shared" si="4"/>
        <v>0</v>
      </c>
      <c r="H85" s="41">
        <f t="shared" si="4"/>
        <v>0</v>
      </c>
      <c r="I85" s="10">
        <f t="shared" si="4"/>
        <v>0</v>
      </c>
      <c r="J85" s="10">
        <f t="shared" si="5"/>
        <v>0</v>
      </c>
      <c r="K85" s="114">
        <f t="shared" si="6"/>
        <v>675919.31589537219</v>
      </c>
    </row>
    <row r="86" spans="1:11" x14ac:dyDescent="0.25">
      <c r="A86" s="49">
        <f>'A) Base RI'!A85</f>
        <v>5527</v>
      </c>
      <c r="B86" s="296" t="str">
        <f>'A) Base RI'!B85</f>
        <v>Morrens</v>
      </c>
      <c r="C86" s="10">
        <f>'A) Base RI'!V85</f>
        <v>1077</v>
      </c>
      <c r="D86" s="10">
        <f t="shared" si="4"/>
        <v>1000</v>
      </c>
      <c r="E86" s="437">
        <f t="shared" si="4"/>
        <v>77</v>
      </c>
      <c r="F86" s="10">
        <f t="shared" si="4"/>
        <v>0</v>
      </c>
      <c r="G86" s="437">
        <f t="shared" si="4"/>
        <v>0</v>
      </c>
      <c r="H86" s="41">
        <f t="shared" si="4"/>
        <v>0</v>
      </c>
      <c r="I86" s="10">
        <f t="shared" si="4"/>
        <v>0</v>
      </c>
      <c r="J86" s="10">
        <f t="shared" si="5"/>
        <v>0</v>
      </c>
      <c r="K86" s="114">
        <f t="shared" si="6"/>
        <v>151797.13279678067</v>
      </c>
    </row>
    <row r="87" spans="1:11" x14ac:dyDescent="0.25">
      <c r="A87" s="49">
        <f>'A) Base RI'!A86</f>
        <v>5529</v>
      </c>
      <c r="B87" s="296" t="str">
        <f>'A) Base RI'!B86</f>
        <v>Oulens-sous-Echallens</v>
      </c>
      <c r="C87" s="10">
        <f>'A) Base RI'!V86</f>
        <v>611</v>
      </c>
      <c r="D87" s="10">
        <f t="shared" si="4"/>
        <v>611</v>
      </c>
      <c r="E87" s="437">
        <f t="shared" si="4"/>
        <v>0</v>
      </c>
      <c r="F87" s="10">
        <f t="shared" si="4"/>
        <v>0</v>
      </c>
      <c r="G87" s="437">
        <f t="shared" si="4"/>
        <v>0</v>
      </c>
      <c r="H87" s="41">
        <f t="shared" si="4"/>
        <v>0</v>
      </c>
      <c r="I87" s="10">
        <f t="shared" si="4"/>
        <v>0</v>
      </c>
      <c r="J87" s="10">
        <f t="shared" si="5"/>
        <v>0</v>
      </c>
      <c r="K87" s="114">
        <f t="shared" si="6"/>
        <v>76298.163983903403</v>
      </c>
    </row>
    <row r="88" spans="1:11" x14ac:dyDescent="0.25">
      <c r="A88" s="49">
        <f>'A) Base RI'!A87</f>
        <v>5530</v>
      </c>
      <c r="B88" s="296" t="str">
        <f>'A) Base RI'!B87</f>
        <v>Pailly</v>
      </c>
      <c r="C88" s="10">
        <f>'A) Base RI'!V87</f>
        <v>561</v>
      </c>
      <c r="D88" s="10">
        <f t="shared" si="4"/>
        <v>561</v>
      </c>
      <c r="E88" s="437">
        <f t="shared" si="4"/>
        <v>0</v>
      </c>
      <c r="F88" s="10">
        <f t="shared" si="4"/>
        <v>0</v>
      </c>
      <c r="G88" s="437">
        <f t="shared" si="4"/>
        <v>0</v>
      </c>
      <c r="H88" s="41">
        <f t="shared" si="4"/>
        <v>0</v>
      </c>
      <c r="I88" s="10">
        <f t="shared" si="4"/>
        <v>0</v>
      </c>
      <c r="J88" s="10">
        <f t="shared" si="5"/>
        <v>0</v>
      </c>
      <c r="K88" s="114">
        <f t="shared" si="6"/>
        <v>70054.451710261565</v>
      </c>
    </row>
    <row r="89" spans="1:11" x14ac:dyDescent="0.25">
      <c r="A89" s="49">
        <f>'A) Base RI'!A88</f>
        <v>5531</v>
      </c>
      <c r="B89" s="296" t="str">
        <f>'A) Base RI'!B88</f>
        <v>Penthéréaz</v>
      </c>
      <c r="C89" s="10">
        <f>'A) Base RI'!V88</f>
        <v>421</v>
      </c>
      <c r="D89" s="10">
        <f t="shared" si="4"/>
        <v>421</v>
      </c>
      <c r="E89" s="437">
        <f t="shared" si="4"/>
        <v>0</v>
      </c>
      <c r="F89" s="10">
        <f t="shared" si="4"/>
        <v>0</v>
      </c>
      <c r="G89" s="437">
        <f t="shared" si="4"/>
        <v>0</v>
      </c>
      <c r="H89" s="41">
        <f t="shared" si="4"/>
        <v>0</v>
      </c>
      <c r="I89" s="10">
        <f t="shared" si="4"/>
        <v>0</v>
      </c>
      <c r="J89" s="10">
        <f t="shared" si="5"/>
        <v>0</v>
      </c>
      <c r="K89" s="114">
        <f t="shared" si="6"/>
        <v>52572.057344064378</v>
      </c>
    </row>
    <row r="90" spans="1:11" x14ac:dyDescent="0.25">
      <c r="A90" s="49">
        <f>'A) Base RI'!A89</f>
        <v>5533</v>
      </c>
      <c r="B90" s="296" t="str">
        <f>'A) Base RI'!B89</f>
        <v>Poliez-Pittet</v>
      </c>
      <c r="C90" s="10">
        <f>'A) Base RI'!V89</f>
        <v>846</v>
      </c>
      <c r="D90" s="10">
        <f t="shared" si="4"/>
        <v>846</v>
      </c>
      <c r="E90" s="437">
        <f t="shared" si="4"/>
        <v>0</v>
      </c>
      <c r="F90" s="10">
        <f t="shared" si="4"/>
        <v>0</v>
      </c>
      <c r="G90" s="437">
        <f t="shared" si="4"/>
        <v>0</v>
      </c>
      <c r="H90" s="41">
        <f t="shared" si="4"/>
        <v>0</v>
      </c>
      <c r="I90" s="10">
        <f t="shared" si="4"/>
        <v>0</v>
      </c>
      <c r="J90" s="10">
        <f t="shared" si="5"/>
        <v>0</v>
      </c>
      <c r="K90" s="114">
        <f t="shared" si="6"/>
        <v>105643.61167002011</v>
      </c>
    </row>
    <row r="91" spans="1:11" x14ac:dyDescent="0.25">
      <c r="A91" s="49">
        <f>'A) Base RI'!A90</f>
        <v>5534</v>
      </c>
      <c r="B91" s="296" t="str">
        <f>'A) Base RI'!B90</f>
        <v>Rueyres</v>
      </c>
      <c r="C91" s="10">
        <f>'A) Base RI'!V90</f>
        <v>255</v>
      </c>
      <c r="D91" s="10">
        <f t="shared" si="4"/>
        <v>255</v>
      </c>
      <c r="E91" s="437">
        <f t="shared" si="4"/>
        <v>0</v>
      </c>
      <c r="F91" s="10">
        <f t="shared" si="4"/>
        <v>0</v>
      </c>
      <c r="G91" s="437">
        <f t="shared" si="4"/>
        <v>0</v>
      </c>
      <c r="H91" s="41">
        <f t="shared" si="4"/>
        <v>0</v>
      </c>
      <c r="I91" s="10">
        <f t="shared" si="4"/>
        <v>0</v>
      </c>
      <c r="J91" s="10">
        <f t="shared" si="5"/>
        <v>0</v>
      </c>
      <c r="K91" s="114">
        <f t="shared" si="6"/>
        <v>31842.932595573435</v>
      </c>
    </row>
    <row r="92" spans="1:11" x14ac:dyDescent="0.25">
      <c r="A92" s="49">
        <f>'A) Base RI'!A91</f>
        <v>5535</v>
      </c>
      <c r="B92" s="296" t="str">
        <f>'A) Base RI'!B91</f>
        <v>Saint-Barthélemy</v>
      </c>
      <c r="C92" s="10">
        <f>'A) Base RI'!V91</f>
        <v>778</v>
      </c>
      <c r="D92" s="10">
        <f t="shared" si="4"/>
        <v>778</v>
      </c>
      <c r="E92" s="437">
        <f t="shared" si="4"/>
        <v>0</v>
      </c>
      <c r="F92" s="10">
        <f t="shared" si="4"/>
        <v>0</v>
      </c>
      <c r="G92" s="437">
        <f t="shared" si="4"/>
        <v>0</v>
      </c>
      <c r="H92" s="41">
        <f t="shared" si="4"/>
        <v>0</v>
      </c>
      <c r="I92" s="10">
        <f t="shared" si="4"/>
        <v>0</v>
      </c>
      <c r="J92" s="10">
        <f t="shared" si="5"/>
        <v>0</v>
      </c>
      <c r="K92" s="114">
        <f t="shared" si="6"/>
        <v>97152.162977867192</v>
      </c>
    </row>
    <row r="93" spans="1:11" x14ac:dyDescent="0.25">
      <c r="A93" s="49">
        <f>'A) Base RI'!A92</f>
        <v>5537</v>
      </c>
      <c r="B93" s="296" t="str">
        <f>'A) Base RI'!B92</f>
        <v>Villars-le-Terroir</v>
      </c>
      <c r="C93" s="10">
        <f>'A) Base RI'!V92</f>
        <v>1213</v>
      </c>
      <c r="D93" s="10">
        <f t="shared" si="4"/>
        <v>1000</v>
      </c>
      <c r="E93" s="437">
        <f t="shared" si="4"/>
        <v>213</v>
      </c>
      <c r="F93" s="10">
        <f t="shared" si="4"/>
        <v>0</v>
      </c>
      <c r="G93" s="437">
        <f t="shared" si="4"/>
        <v>0</v>
      </c>
      <c r="H93" s="41">
        <f t="shared" si="4"/>
        <v>0</v>
      </c>
      <c r="I93" s="10">
        <f t="shared" si="4"/>
        <v>0</v>
      </c>
      <c r="J93" s="10">
        <f t="shared" si="5"/>
        <v>0</v>
      </c>
      <c r="K93" s="114">
        <f t="shared" si="6"/>
        <v>199349.24547283701</v>
      </c>
    </row>
    <row r="94" spans="1:11" x14ac:dyDescent="0.25">
      <c r="A94" s="49">
        <f>'A) Base RI'!A93</f>
        <v>5539</v>
      </c>
      <c r="B94" s="296" t="str">
        <f>'A) Base RI'!B93</f>
        <v>Vuarrens</v>
      </c>
      <c r="C94" s="10">
        <f>'A) Base RI'!V93</f>
        <v>1001</v>
      </c>
      <c r="D94" s="10">
        <f t="shared" si="4"/>
        <v>1000</v>
      </c>
      <c r="E94" s="437">
        <f t="shared" si="4"/>
        <v>1</v>
      </c>
      <c r="F94" s="10">
        <f t="shared" si="4"/>
        <v>0</v>
      </c>
      <c r="G94" s="437">
        <f t="shared" si="4"/>
        <v>0</v>
      </c>
      <c r="H94" s="41">
        <f t="shared" si="4"/>
        <v>0</v>
      </c>
      <c r="I94" s="10">
        <f t="shared" si="4"/>
        <v>0</v>
      </c>
      <c r="J94" s="10">
        <f t="shared" si="5"/>
        <v>0</v>
      </c>
      <c r="K94" s="114">
        <f t="shared" si="6"/>
        <v>125223.89336016095</v>
      </c>
    </row>
    <row r="95" spans="1:11" x14ac:dyDescent="0.25">
      <c r="A95" s="49">
        <f>'A) Base RI'!A94</f>
        <v>5540</v>
      </c>
      <c r="B95" s="296" t="str">
        <f>'A) Base RI'!B94</f>
        <v>Montilliez</v>
      </c>
      <c r="C95" s="10">
        <f>'A) Base RI'!V94</f>
        <v>1781</v>
      </c>
      <c r="D95" s="10">
        <f t="shared" si="4"/>
        <v>1000</v>
      </c>
      <c r="E95" s="437">
        <f t="shared" si="4"/>
        <v>781</v>
      </c>
      <c r="F95" s="10">
        <f t="shared" si="4"/>
        <v>0</v>
      </c>
      <c r="G95" s="437">
        <f t="shared" si="4"/>
        <v>0</v>
      </c>
      <c r="H95" s="41">
        <f t="shared" si="4"/>
        <v>0</v>
      </c>
      <c r="I95" s="10">
        <f t="shared" si="4"/>
        <v>0</v>
      </c>
      <c r="J95" s="10">
        <f t="shared" si="5"/>
        <v>0</v>
      </c>
      <c r="K95" s="114">
        <f t="shared" si="6"/>
        <v>397949.24547283695</v>
      </c>
    </row>
    <row r="96" spans="1:11" x14ac:dyDescent="0.25">
      <c r="A96" s="49">
        <f>'A) Base RI'!A95</f>
        <v>5541</v>
      </c>
      <c r="B96" s="296" t="str">
        <f>'A) Base RI'!B95</f>
        <v>Goumoëns</v>
      </c>
      <c r="C96" s="10">
        <f>'A) Base RI'!V95</f>
        <v>1119</v>
      </c>
      <c r="D96" s="10">
        <f t="shared" si="4"/>
        <v>1000</v>
      </c>
      <c r="E96" s="437">
        <f t="shared" si="4"/>
        <v>119</v>
      </c>
      <c r="F96" s="10">
        <f t="shared" si="4"/>
        <v>0</v>
      </c>
      <c r="G96" s="437">
        <f t="shared" si="4"/>
        <v>0</v>
      </c>
      <c r="H96" s="41">
        <f t="shared" si="4"/>
        <v>0</v>
      </c>
      <c r="I96" s="10">
        <f t="shared" si="4"/>
        <v>0</v>
      </c>
      <c r="J96" s="10">
        <f t="shared" si="5"/>
        <v>0</v>
      </c>
      <c r="K96" s="114">
        <f t="shared" si="6"/>
        <v>166482.3440643863</v>
      </c>
    </row>
    <row r="97" spans="1:11" x14ac:dyDescent="0.25">
      <c r="A97" s="49">
        <f>'A) Base RI'!A96</f>
        <v>5551</v>
      </c>
      <c r="B97" s="296" t="str">
        <f>'A) Base RI'!B96</f>
        <v>Bonvillars</v>
      </c>
      <c r="C97" s="10">
        <f>'A) Base RI'!V96</f>
        <v>505</v>
      </c>
      <c r="D97" s="10">
        <f t="shared" si="4"/>
        <v>505</v>
      </c>
      <c r="E97" s="437">
        <f t="shared" si="4"/>
        <v>0</v>
      </c>
      <c r="F97" s="10">
        <f t="shared" si="4"/>
        <v>0</v>
      </c>
      <c r="G97" s="437">
        <f t="shared" si="4"/>
        <v>0</v>
      </c>
      <c r="H97" s="41">
        <f t="shared" si="4"/>
        <v>0</v>
      </c>
      <c r="I97" s="10">
        <f t="shared" si="4"/>
        <v>0</v>
      </c>
      <c r="J97" s="10">
        <f t="shared" si="5"/>
        <v>0</v>
      </c>
      <c r="K97" s="114">
        <f t="shared" si="6"/>
        <v>63061.49396378269</v>
      </c>
    </row>
    <row r="98" spans="1:11" x14ac:dyDescent="0.25">
      <c r="A98" s="49">
        <f>'A) Base RI'!A97</f>
        <v>5552</v>
      </c>
      <c r="B98" s="296" t="str">
        <f>'A) Base RI'!B97</f>
        <v>Bullet</v>
      </c>
      <c r="C98" s="10">
        <f>'A) Base RI'!V97</f>
        <v>655</v>
      </c>
      <c r="D98" s="10">
        <f t="shared" si="4"/>
        <v>655</v>
      </c>
      <c r="E98" s="437">
        <f t="shared" si="4"/>
        <v>0</v>
      </c>
      <c r="F98" s="10">
        <f t="shared" si="4"/>
        <v>0</v>
      </c>
      <c r="G98" s="437">
        <f t="shared" si="4"/>
        <v>0</v>
      </c>
      <c r="H98" s="41">
        <f t="shared" si="4"/>
        <v>0</v>
      </c>
      <c r="I98" s="10">
        <f t="shared" si="4"/>
        <v>0</v>
      </c>
      <c r="J98" s="10">
        <f t="shared" si="5"/>
        <v>0</v>
      </c>
      <c r="K98" s="114">
        <f t="shared" si="6"/>
        <v>81792.630784708235</v>
      </c>
    </row>
    <row r="99" spans="1:11" x14ac:dyDescent="0.25">
      <c r="A99" s="49">
        <f>'A) Base RI'!A98</f>
        <v>5553</v>
      </c>
      <c r="B99" s="296" t="str">
        <f>'A) Base RI'!B98</f>
        <v>Champagne</v>
      </c>
      <c r="C99" s="10">
        <f>'A) Base RI'!V98</f>
        <v>1034</v>
      </c>
      <c r="D99" s="10">
        <f t="shared" si="4"/>
        <v>1000</v>
      </c>
      <c r="E99" s="437">
        <f t="shared" si="4"/>
        <v>34</v>
      </c>
      <c r="F99" s="10">
        <f t="shared" si="4"/>
        <v>0</v>
      </c>
      <c r="G99" s="437">
        <f t="shared" si="4"/>
        <v>0</v>
      </c>
      <c r="H99" s="41">
        <f t="shared" si="4"/>
        <v>0</v>
      </c>
      <c r="I99" s="10">
        <f t="shared" si="4"/>
        <v>0</v>
      </c>
      <c r="J99" s="10">
        <f t="shared" si="5"/>
        <v>0</v>
      </c>
      <c r="K99" s="114">
        <f t="shared" si="6"/>
        <v>136762.27364185109</v>
      </c>
    </row>
    <row r="100" spans="1:11" x14ac:dyDescent="0.25">
      <c r="A100" s="49">
        <f>'A) Base RI'!A99</f>
        <v>5554</v>
      </c>
      <c r="B100" s="296" t="str">
        <f>'A) Base RI'!B99</f>
        <v>Concise</v>
      </c>
      <c r="C100" s="10">
        <f>'A) Base RI'!V99</f>
        <v>995</v>
      </c>
      <c r="D100" s="10">
        <f t="shared" si="4"/>
        <v>995</v>
      </c>
      <c r="E100" s="437">
        <f t="shared" si="4"/>
        <v>0</v>
      </c>
      <c r="F100" s="10">
        <f t="shared" si="4"/>
        <v>0</v>
      </c>
      <c r="G100" s="437">
        <f t="shared" si="4"/>
        <v>0</v>
      </c>
      <c r="H100" s="41">
        <f t="shared" si="4"/>
        <v>0</v>
      </c>
      <c r="I100" s="10">
        <f t="shared" si="4"/>
        <v>0</v>
      </c>
      <c r="J100" s="10">
        <f t="shared" si="5"/>
        <v>0</v>
      </c>
      <c r="K100" s="114">
        <f t="shared" si="6"/>
        <v>124249.87424547282</v>
      </c>
    </row>
    <row r="101" spans="1:11" x14ac:dyDescent="0.25">
      <c r="A101" s="49">
        <f>'A) Base RI'!A100</f>
        <v>5555</v>
      </c>
      <c r="B101" s="296" t="str">
        <f>'A) Base RI'!B100</f>
        <v>Corcelles-près-Concise</v>
      </c>
      <c r="C101" s="10">
        <f>'A) Base RI'!V100</f>
        <v>401</v>
      </c>
      <c r="D101" s="10">
        <f t="shared" si="4"/>
        <v>401</v>
      </c>
      <c r="E101" s="437">
        <f t="shared" si="4"/>
        <v>0</v>
      </c>
      <c r="F101" s="10">
        <f t="shared" si="4"/>
        <v>0</v>
      </c>
      <c r="G101" s="437">
        <f t="shared" si="4"/>
        <v>0</v>
      </c>
      <c r="H101" s="41">
        <f t="shared" si="4"/>
        <v>0</v>
      </c>
      <c r="I101" s="10">
        <f t="shared" si="4"/>
        <v>0</v>
      </c>
      <c r="J101" s="10">
        <f t="shared" si="5"/>
        <v>0</v>
      </c>
      <c r="K101" s="114">
        <f t="shared" si="6"/>
        <v>50074.572434607639</v>
      </c>
    </row>
    <row r="102" spans="1:11" x14ac:dyDescent="0.25">
      <c r="A102" s="49">
        <f>'A) Base RI'!A101</f>
        <v>5556</v>
      </c>
      <c r="B102" s="296" t="str">
        <f>'A) Base RI'!B101</f>
        <v>Fiez</v>
      </c>
      <c r="C102" s="10">
        <f>'A) Base RI'!V101</f>
        <v>447</v>
      </c>
      <c r="D102" s="10">
        <f t="shared" si="4"/>
        <v>447</v>
      </c>
      <c r="E102" s="437">
        <f t="shared" si="4"/>
        <v>0</v>
      </c>
      <c r="F102" s="10">
        <f t="shared" si="4"/>
        <v>0</v>
      </c>
      <c r="G102" s="437">
        <f t="shared" si="4"/>
        <v>0</v>
      </c>
      <c r="H102" s="41">
        <f t="shared" si="4"/>
        <v>0</v>
      </c>
      <c r="I102" s="10">
        <f t="shared" si="4"/>
        <v>0</v>
      </c>
      <c r="J102" s="10">
        <f t="shared" si="5"/>
        <v>0</v>
      </c>
      <c r="K102" s="114">
        <f t="shared" si="6"/>
        <v>55818.787726358139</v>
      </c>
    </row>
    <row r="103" spans="1:11" x14ac:dyDescent="0.25">
      <c r="A103" s="49">
        <f>'A) Base RI'!A102</f>
        <v>5557</v>
      </c>
      <c r="B103" s="296" t="str">
        <f>'A) Base RI'!B102</f>
        <v>Fontaines-sur-Grandson</v>
      </c>
      <c r="C103" s="10">
        <f>'A) Base RI'!V102</f>
        <v>218</v>
      </c>
      <c r="D103" s="10">
        <f t="shared" si="4"/>
        <v>218</v>
      </c>
      <c r="E103" s="437">
        <f t="shared" si="4"/>
        <v>0</v>
      </c>
      <c r="F103" s="10">
        <f t="shared" si="4"/>
        <v>0</v>
      </c>
      <c r="G103" s="437">
        <f t="shared" si="4"/>
        <v>0</v>
      </c>
      <c r="H103" s="41">
        <f t="shared" si="4"/>
        <v>0</v>
      </c>
      <c r="I103" s="10">
        <f t="shared" si="4"/>
        <v>0</v>
      </c>
      <c r="J103" s="10">
        <f t="shared" si="5"/>
        <v>0</v>
      </c>
      <c r="K103" s="114">
        <f t="shared" si="6"/>
        <v>27222.585513078466</v>
      </c>
    </row>
    <row r="104" spans="1:11" x14ac:dyDescent="0.25">
      <c r="A104" s="49">
        <f>'A) Base RI'!A103</f>
        <v>5559</v>
      </c>
      <c r="B104" s="296" t="str">
        <f>'A) Base RI'!B103</f>
        <v>Giez</v>
      </c>
      <c r="C104" s="10">
        <f>'A) Base RI'!V103</f>
        <v>412</v>
      </c>
      <c r="D104" s="10">
        <f t="shared" si="4"/>
        <v>412</v>
      </c>
      <c r="E104" s="437">
        <f t="shared" si="4"/>
        <v>0</v>
      </c>
      <c r="F104" s="10">
        <f t="shared" si="4"/>
        <v>0</v>
      </c>
      <c r="G104" s="437">
        <f t="shared" si="4"/>
        <v>0</v>
      </c>
      <c r="H104" s="41">
        <f t="shared" si="4"/>
        <v>0</v>
      </c>
      <c r="I104" s="10">
        <f t="shared" si="4"/>
        <v>0</v>
      </c>
      <c r="J104" s="10">
        <f t="shared" si="5"/>
        <v>0</v>
      </c>
      <c r="K104" s="114">
        <f t="shared" si="6"/>
        <v>51448.189134808847</v>
      </c>
    </row>
    <row r="105" spans="1:11" x14ac:dyDescent="0.25">
      <c r="A105" s="49">
        <f>'A) Base RI'!A104</f>
        <v>5560</v>
      </c>
      <c r="B105" s="296" t="str">
        <f>'A) Base RI'!B104</f>
        <v>Grandevent</v>
      </c>
      <c r="C105" s="10">
        <f>'A) Base RI'!V104</f>
        <v>238</v>
      </c>
      <c r="D105" s="10">
        <f t="shared" si="4"/>
        <v>238</v>
      </c>
      <c r="E105" s="437">
        <f t="shared" si="4"/>
        <v>0</v>
      </c>
      <c r="F105" s="10">
        <f t="shared" si="4"/>
        <v>0</v>
      </c>
      <c r="G105" s="437">
        <f t="shared" si="4"/>
        <v>0</v>
      </c>
      <c r="H105" s="41">
        <f t="shared" si="4"/>
        <v>0</v>
      </c>
      <c r="I105" s="10">
        <f t="shared" si="4"/>
        <v>0</v>
      </c>
      <c r="J105" s="10">
        <f t="shared" si="5"/>
        <v>0</v>
      </c>
      <c r="K105" s="114">
        <f t="shared" si="6"/>
        <v>29720.070422535206</v>
      </c>
    </row>
    <row r="106" spans="1:11" x14ac:dyDescent="0.25">
      <c r="A106" s="49">
        <f>'A) Base RI'!A105</f>
        <v>5561</v>
      </c>
      <c r="B106" s="296" t="str">
        <f>'A) Base RI'!B105</f>
        <v>Grandson</v>
      </c>
      <c r="C106" s="10">
        <f>'A) Base RI'!V105</f>
        <v>3360</v>
      </c>
      <c r="D106" s="10">
        <f t="shared" si="4"/>
        <v>1000</v>
      </c>
      <c r="E106" s="437">
        <f t="shared" si="4"/>
        <v>2000</v>
      </c>
      <c r="F106" s="10">
        <f t="shared" si="4"/>
        <v>360</v>
      </c>
      <c r="G106" s="437">
        <f t="shared" ref="E106:I157" si="7">IF($C106&gt;G$4,IF($C106&lt;G$5,$C106-G$4,G$5-G$4),0)</f>
        <v>0</v>
      </c>
      <c r="H106" s="41">
        <f t="shared" si="7"/>
        <v>0</v>
      </c>
      <c r="I106" s="10">
        <f t="shared" si="7"/>
        <v>0</v>
      </c>
      <c r="J106" s="10">
        <f t="shared" si="5"/>
        <v>0</v>
      </c>
      <c r="K106" s="114">
        <f t="shared" si="6"/>
        <v>1003988.9336016095</v>
      </c>
    </row>
    <row r="107" spans="1:11" x14ac:dyDescent="0.25">
      <c r="A107" s="49">
        <f>'A) Base RI'!A106</f>
        <v>5562</v>
      </c>
      <c r="B107" s="296" t="str">
        <f>'A) Base RI'!B106</f>
        <v>Mauborget</v>
      </c>
      <c r="C107" s="10">
        <f>'A) Base RI'!V106</f>
        <v>122</v>
      </c>
      <c r="D107" s="10">
        <f t="shared" ref="D107:D170" si="8">IF($C107&gt;D$4,IF($C107&lt;D$5,$C107-D$4,D$5-D$4),0)</f>
        <v>122</v>
      </c>
      <c r="E107" s="437">
        <f t="shared" si="7"/>
        <v>0</v>
      </c>
      <c r="F107" s="10">
        <f t="shared" si="7"/>
        <v>0</v>
      </c>
      <c r="G107" s="437">
        <f t="shared" si="7"/>
        <v>0</v>
      </c>
      <c r="H107" s="41">
        <f t="shared" si="7"/>
        <v>0</v>
      </c>
      <c r="I107" s="10">
        <f t="shared" si="7"/>
        <v>0</v>
      </c>
      <c r="J107" s="10">
        <f t="shared" si="5"/>
        <v>0</v>
      </c>
      <c r="K107" s="114">
        <f t="shared" si="6"/>
        <v>15234.657947686115</v>
      </c>
    </row>
    <row r="108" spans="1:11" x14ac:dyDescent="0.25">
      <c r="A108" s="49">
        <f>'A) Base RI'!A107</f>
        <v>5563</v>
      </c>
      <c r="B108" s="296" t="str">
        <f>'A) Base RI'!B107</f>
        <v>Mutrux</v>
      </c>
      <c r="C108" s="10">
        <f>'A) Base RI'!V107</f>
        <v>158</v>
      </c>
      <c r="D108" s="10">
        <f t="shared" si="8"/>
        <v>158</v>
      </c>
      <c r="E108" s="437">
        <f t="shared" si="7"/>
        <v>0</v>
      </c>
      <c r="F108" s="10">
        <f t="shared" si="7"/>
        <v>0</v>
      </c>
      <c r="G108" s="437">
        <f t="shared" si="7"/>
        <v>0</v>
      </c>
      <c r="H108" s="41">
        <f t="shared" si="7"/>
        <v>0</v>
      </c>
      <c r="I108" s="10">
        <f t="shared" si="7"/>
        <v>0</v>
      </c>
      <c r="J108" s="10">
        <f t="shared" si="5"/>
        <v>0</v>
      </c>
      <c r="K108" s="114">
        <f t="shared" si="6"/>
        <v>19730.130784708246</v>
      </c>
    </row>
    <row r="109" spans="1:11" x14ac:dyDescent="0.25">
      <c r="A109" s="49">
        <f>'A) Base RI'!A108</f>
        <v>5564</v>
      </c>
      <c r="B109" s="296" t="str">
        <f>'A) Base RI'!B108</f>
        <v>Novalles</v>
      </c>
      <c r="C109" s="10">
        <f>'A) Base RI'!V108</f>
        <v>101</v>
      </c>
      <c r="D109" s="10">
        <f t="shared" si="8"/>
        <v>101</v>
      </c>
      <c r="E109" s="437">
        <f t="shared" si="7"/>
        <v>0</v>
      </c>
      <c r="F109" s="10">
        <f t="shared" si="7"/>
        <v>0</v>
      </c>
      <c r="G109" s="437">
        <f t="shared" si="7"/>
        <v>0</v>
      </c>
      <c r="H109" s="41">
        <f t="shared" si="7"/>
        <v>0</v>
      </c>
      <c r="I109" s="10">
        <f t="shared" si="7"/>
        <v>0</v>
      </c>
      <c r="J109" s="10">
        <f t="shared" si="5"/>
        <v>0</v>
      </c>
      <c r="K109" s="114">
        <f t="shared" si="6"/>
        <v>12612.298792756537</v>
      </c>
    </row>
    <row r="110" spans="1:11" x14ac:dyDescent="0.25">
      <c r="A110" s="49">
        <f>'A) Base RI'!A109</f>
        <v>5565</v>
      </c>
      <c r="B110" s="296" t="str">
        <f>'A) Base RI'!B109</f>
        <v>Onnens</v>
      </c>
      <c r="C110" s="10">
        <f>'A) Base RI'!V109</f>
        <v>494</v>
      </c>
      <c r="D110" s="10">
        <f t="shared" si="8"/>
        <v>494</v>
      </c>
      <c r="E110" s="437">
        <f t="shared" si="7"/>
        <v>0</v>
      </c>
      <c r="F110" s="10">
        <f t="shared" si="7"/>
        <v>0</v>
      </c>
      <c r="G110" s="437">
        <f t="shared" si="7"/>
        <v>0</v>
      </c>
      <c r="H110" s="41">
        <f t="shared" si="7"/>
        <v>0</v>
      </c>
      <c r="I110" s="10">
        <f t="shared" si="7"/>
        <v>0</v>
      </c>
      <c r="J110" s="10">
        <f t="shared" si="5"/>
        <v>0</v>
      </c>
      <c r="K110" s="114">
        <f t="shared" si="6"/>
        <v>61687.877263581482</v>
      </c>
    </row>
    <row r="111" spans="1:11" x14ac:dyDescent="0.25">
      <c r="A111" s="49">
        <f>'A) Base RI'!A110</f>
        <v>5566</v>
      </c>
      <c r="B111" s="296" t="str">
        <f>'A) Base RI'!B110</f>
        <v>Provence</v>
      </c>
      <c r="C111" s="10">
        <f>'A) Base RI'!V110</f>
        <v>373</v>
      </c>
      <c r="D111" s="10">
        <f t="shared" si="8"/>
        <v>373</v>
      </c>
      <c r="E111" s="437">
        <f t="shared" si="7"/>
        <v>0</v>
      </c>
      <c r="F111" s="10">
        <f t="shared" si="7"/>
        <v>0</v>
      </c>
      <c r="G111" s="437">
        <f t="shared" si="7"/>
        <v>0</v>
      </c>
      <c r="H111" s="41">
        <f t="shared" si="7"/>
        <v>0</v>
      </c>
      <c r="I111" s="10">
        <f t="shared" si="7"/>
        <v>0</v>
      </c>
      <c r="J111" s="10">
        <f t="shared" si="5"/>
        <v>0</v>
      </c>
      <c r="K111" s="114">
        <f t="shared" si="6"/>
        <v>46578.093561368201</v>
      </c>
    </row>
    <row r="112" spans="1:11" x14ac:dyDescent="0.25">
      <c r="A112" s="49">
        <f>'A) Base RI'!A111</f>
        <v>5568</v>
      </c>
      <c r="B112" s="296" t="str">
        <f>'A) Base RI'!B111</f>
        <v>Sainte-Croix</v>
      </c>
      <c r="C112" s="10">
        <f>'A) Base RI'!V111</f>
        <v>4845</v>
      </c>
      <c r="D112" s="10">
        <f t="shared" si="8"/>
        <v>1000</v>
      </c>
      <c r="E112" s="437">
        <f t="shared" si="7"/>
        <v>2000</v>
      </c>
      <c r="F112" s="10">
        <f t="shared" si="7"/>
        <v>1845</v>
      </c>
      <c r="G112" s="437">
        <f t="shared" si="7"/>
        <v>0</v>
      </c>
      <c r="H112" s="41">
        <f t="shared" si="7"/>
        <v>0</v>
      </c>
      <c r="I112" s="10">
        <f t="shared" si="7"/>
        <v>0</v>
      </c>
      <c r="J112" s="10">
        <f t="shared" si="5"/>
        <v>0</v>
      </c>
      <c r="K112" s="114">
        <f t="shared" si="6"/>
        <v>1745741.9517102614</v>
      </c>
    </row>
    <row r="113" spans="1:11" x14ac:dyDescent="0.25">
      <c r="A113" s="49">
        <f>'A) Base RI'!A112</f>
        <v>5571</v>
      </c>
      <c r="B113" s="296" t="str">
        <f>'A) Base RI'!B112</f>
        <v>Tévenon</v>
      </c>
      <c r="C113" s="10">
        <f>'A) Base RI'!V112</f>
        <v>877</v>
      </c>
      <c r="D113" s="10">
        <f t="shared" si="8"/>
        <v>877</v>
      </c>
      <c r="E113" s="437">
        <f t="shared" si="7"/>
        <v>0</v>
      </c>
      <c r="F113" s="10">
        <f t="shared" si="7"/>
        <v>0</v>
      </c>
      <c r="G113" s="437">
        <f t="shared" si="7"/>
        <v>0</v>
      </c>
      <c r="H113" s="41">
        <f t="shared" si="7"/>
        <v>0</v>
      </c>
      <c r="I113" s="10">
        <f t="shared" si="7"/>
        <v>0</v>
      </c>
      <c r="J113" s="10">
        <f t="shared" si="5"/>
        <v>0</v>
      </c>
      <c r="K113" s="114">
        <f t="shared" si="6"/>
        <v>109514.71327967805</v>
      </c>
    </row>
    <row r="114" spans="1:11" x14ac:dyDescent="0.25">
      <c r="A114" s="49">
        <f>'A) Base RI'!A113</f>
        <v>5581</v>
      </c>
      <c r="B114" s="296" t="str">
        <f>'A) Base RI'!B113</f>
        <v>Belmont-sur-Lausanne</v>
      </c>
      <c r="C114" s="10">
        <f>'A) Base RI'!V113</f>
        <v>3732</v>
      </c>
      <c r="D114" s="10">
        <f t="shared" si="8"/>
        <v>1000</v>
      </c>
      <c r="E114" s="437">
        <f t="shared" si="7"/>
        <v>2000</v>
      </c>
      <c r="F114" s="10">
        <f t="shared" si="7"/>
        <v>732</v>
      </c>
      <c r="G114" s="437">
        <f t="shared" si="7"/>
        <v>0</v>
      </c>
      <c r="H114" s="41">
        <f t="shared" si="7"/>
        <v>0</v>
      </c>
      <c r="I114" s="10">
        <f t="shared" si="7"/>
        <v>0</v>
      </c>
      <c r="J114" s="10">
        <f t="shared" si="5"/>
        <v>0</v>
      </c>
      <c r="K114" s="114">
        <f t="shared" si="6"/>
        <v>1189801.810865191</v>
      </c>
    </row>
    <row r="115" spans="1:11" x14ac:dyDescent="0.25">
      <c r="A115" s="49">
        <f>'A) Base RI'!A114</f>
        <v>5582</v>
      </c>
      <c r="B115" s="296" t="str">
        <f>'A) Base RI'!B114</f>
        <v>Cheseaux-sur-Lausanne</v>
      </c>
      <c r="C115" s="10">
        <f>'A) Base RI'!V114</f>
        <v>4338</v>
      </c>
      <c r="D115" s="10">
        <f t="shared" si="8"/>
        <v>1000</v>
      </c>
      <c r="E115" s="437">
        <f t="shared" si="7"/>
        <v>2000</v>
      </c>
      <c r="F115" s="10">
        <f t="shared" si="7"/>
        <v>1338</v>
      </c>
      <c r="G115" s="437">
        <f t="shared" si="7"/>
        <v>0</v>
      </c>
      <c r="H115" s="41">
        <f t="shared" si="7"/>
        <v>0</v>
      </c>
      <c r="I115" s="10">
        <f t="shared" si="7"/>
        <v>0</v>
      </c>
      <c r="J115" s="10">
        <f t="shared" si="5"/>
        <v>0</v>
      </c>
      <c r="K115" s="114">
        <f t="shared" si="6"/>
        <v>1492496.981891348</v>
      </c>
    </row>
    <row r="116" spans="1:11" x14ac:dyDescent="0.25">
      <c r="A116" s="49">
        <f>'A) Base RI'!A115</f>
        <v>5583</v>
      </c>
      <c r="B116" s="296" t="str">
        <f>'A) Base RI'!B115</f>
        <v>Crissier</v>
      </c>
      <c r="C116" s="10">
        <f>'A) Base RI'!V115</f>
        <v>7905</v>
      </c>
      <c r="D116" s="10">
        <f t="shared" si="8"/>
        <v>1000</v>
      </c>
      <c r="E116" s="437">
        <f t="shared" si="7"/>
        <v>2000</v>
      </c>
      <c r="F116" s="10">
        <f t="shared" si="7"/>
        <v>2000</v>
      </c>
      <c r="G116" s="437">
        <f t="shared" si="7"/>
        <v>2905</v>
      </c>
      <c r="H116" s="41">
        <f t="shared" si="7"/>
        <v>0</v>
      </c>
      <c r="I116" s="10">
        <f t="shared" si="7"/>
        <v>0</v>
      </c>
      <c r="J116" s="10">
        <f t="shared" si="5"/>
        <v>0</v>
      </c>
      <c r="K116" s="114">
        <f t="shared" si="6"/>
        <v>3564410.4627766595</v>
      </c>
    </row>
    <row r="117" spans="1:11" x14ac:dyDescent="0.25">
      <c r="A117" s="49">
        <f>'A) Base RI'!A116</f>
        <v>5584</v>
      </c>
      <c r="B117" s="296" t="str">
        <f>'A) Base RI'!B116</f>
        <v>Epalinges</v>
      </c>
      <c r="C117" s="10">
        <f>'A) Base RI'!V116</f>
        <v>9624</v>
      </c>
      <c r="D117" s="10">
        <f t="shared" si="8"/>
        <v>1000</v>
      </c>
      <c r="E117" s="437">
        <f t="shared" si="7"/>
        <v>2000</v>
      </c>
      <c r="F117" s="10">
        <f t="shared" si="7"/>
        <v>2000</v>
      </c>
      <c r="G117" s="437">
        <f t="shared" si="7"/>
        <v>4000</v>
      </c>
      <c r="H117" s="41">
        <f t="shared" si="7"/>
        <v>624</v>
      </c>
      <c r="I117" s="10">
        <f t="shared" si="7"/>
        <v>0</v>
      </c>
      <c r="J117" s="10">
        <f t="shared" si="5"/>
        <v>0</v>
      </c>
      <c r="K117" s="114">
        <f t="shared" si="6"/>
        <v>4750615.8953722324</v>
      </c>
    </row>
    <row r="118" spans="1:11" x14ac:dyDescent="0.25">
      <c r="A118" s="49">
        <f>'A) Base RI'!A117</f>
        <v>5585</v>
      </c>
      <c r="B118" s="296" t="str">
        <f>'A) Base RI'!B117</f>
        <v>Jouxtens-Mézery</v>
      </c>
      <c r="C118" s="10">
        <f>'A) Base RI'!V117</f>
        <v>1471</v>
      </c>
      <c r="D118" s="10">
        <f t="shared" si="8"/>
        <v>1000</v>
      </c>
      <c r="E118" s="437">
        <f t="shared" si="7"/>
        <v>471</v>
      </c>
      <c r="F118" s="10">
        <f t="shared" si="7"/>
        <v>0</v>
      </c>
      <c r="G118" s="437">
        <f t="shared" si="7"/>
        <v>0</v>
      </c>
      <c r="H118" s="41">
        <f t="shared" si="7"/>
        <v>0</v>
      </c>
      <c r="I118" s="10">
        <f t="shared" si="7"/>
        <v>0</v>
      </c>
      <c r="J118" s="10">
        <f t="shared" si="5"/>
        <v>0</v>
      </c>
      <c r="K118" s="114">
        <f t="shared" si="6"/>
        <v>289558.40040241444</v>
      </c>
    </row>
    <row r="119" spans="1:11" x14ac:dyDescent="0.25">
      <c r="A119" s="49">
        <f>'A) Base RI'!A118</f>
        <v>5586</v>
      </c>
      <c r="B119" s="296" t="str">
        <f>'A) Base RI'!B118</f>
        <v>Lausanne</v>
      </c>
      <c r="C119" s="10">
        <f>'A) Base RI'!V118</f>
        <v>139720</v>
      </c>
      <c r="D119" s="10">
        <f t="shared" si="8"/>
        <v>1000</v>
      </c>
      <c r="E119" s="437">
        <f t="shared" si="7"/>
        <v>2000</v>
      </c>
      <c r="F119" s="10">
        <f t="shared" si="7"/>
        <v>2000</v>
      </c>
      <c r="G119" s="437">
        <f t="shared" si="7"/>
        <v>4000</v>
      </c>
      <c r="H119" s="41">
        <f t="shared" si="7"/>
        <v>3000</v>
      </c>
      <c r="I119" s="10">
        <f t="shared" si="7"/>
        <v>3000</v>
      </c>
      <c r="J119" s="10">
        <f t="shared" si="5"/>
        <v>124720</v>
      </c>
      <c r="K119" s="114">
        <f t="shared" si="6"/>
        <v>140589419.5171026</v>
      </c>
    </row>
    <row r="120" spans="1:11" x14ac:dyDescent="0.25">
      <c r="A120" s="49">
        <f>'A) Base RI'!A119</f>
        <v>5587</v>
      </c>
      <c r="B120" s="296" t="str">
        <f>'A) Base RI'!B119</f>
        <v>Le Mont-sur-Lausanne</v>
      </c>
      <c r="C120" s="10">
        <f>'A) Base RI'!V119</f>
        <v>8516</v>
      </c>
      <c r="D120" s="10">
        <f t="shared" si="8"/>
        <v>1000</v>
      </c>
      <c r="E120" s="437">
        <f t="shared" si="7"/>
        <v>2000</v>
      </c>
      <c r="F120" s="10">
        <f t="shared" si="7"/>
        <v>2000</v>
      </c>
      <c r="G120" s="437">
        <f t="shared" si="7"/>
        <v>3516</v>
      </c>
      <c r="H120" s="41">
        <f t="shared" si="7"/>
        <v>0</v>
      </c>
      <c r="I120" s="10">
        <f t="shared" si="7"/>
        <v>0</v>
      </c>
      <c r="J120" s="10">
        <f t="shared" si="5"/>
        <v>0</v>
      </c>
      <c r="K120" s="114">
        <f t="shared" si="6"/>
        <v>3930641.6498993961</v>
      </c>
    </row>
    <row r="121" spans="1:11" x14ac:dyDescent="0.25">
      <c r="A121" s="49">
        <f>'A) Base RI'!A120</f>
        <v>5588</v>
      </c>
      <c r="B121" s="296" t="str">
        <f>'A) Base RI'!B120</f>
        <v>Paudex</v>
      </c>
      <c r="C121" s="10">
        <f>'A) Base RI'!V120</f>
        <v>1507</v>
      </c>
      <c r="D121" s="10">
        <f t="shared" si="8"/>
        <v>1000</v>
      </c>
      <c r="E121" s="437">
        <f t="shared" si="7"/>
        <v>507</v>
      </c>
      <c r="F121" s="10">
        <f t="shared" si="7"/>
        <v>0</v>
      </c>
      <c r="G121" s="437">
        <f t="shared" si="7"/>
        <v>0</v>
      </c>
      <c r="H121" s="41">
        <f t="shared" si="7"/>
        <v>0</v>
      </c>
      <c r="I121" s="10">
        <f t="shared" si="7"/>
        <v>0</v>
      </c>
      <c r="J121" s="10">
        <f t="shared" si="5"/>
        <v>0</v>
      </c>
      <c r="K121" s="114">
        <f t="shared" si="6"/>
        <v>302145.72434607643</v>
      </c>
    </row>
    <row r="122" spans="1:11" x14ac:dyDescent="0.25">
      <c r="A122" s="49">
        <f>'A) Base RI'!A121</f>
        <v>5589</v>
      </c>
      <c r="B122" s="296" t="str">
        <f>'A) Base RI'!B121</f>
        <v>Prilly</v>
      </c>
      <c r="C122" s="10">
        <f>'A) Base RI'!V121</f>
        <v>12392</v>
      </c>
      <c r="D122" s="10">
        <f t="shared" si="8"/>
        <v>1000</v>
      </c>
      <c r="E122" s="437">
        <f t="shared" si="7"/>
        <v>2000</v>
      </c>
      <c r="F122" s="10">
        <f t="shared" si="7"/>
        <v>2000</v>
      </c>
      <c r="G122" s="437">
        <f t="shared" si="7"/>
        <v>4000</v>
      </c>
      <c r="H122" s="41">
        <f t="shared" si="7"/>
        <v>3000</v>
      </c>
      <c r="I122" s="10">
        <f t="shared" si="7"/>
        <v>392</v>
      </c>
      <c r="J122" s="10">
        <f t="shared" si="5"/>
        <v>0</v>
      </c>
      <c r="K122" s="114">
        <f t="shared" si="6"/>
        <v>7159789.7384305829</v>
      </c>
    </row>
    <row r="123" spans="1:11" x14ac:dyDescent="0.25">
      <c r="A123" s="49">
        <f>'A) Base RI'!A122</f>
        <v>5590</v>
      </c>
      <c r="B123" s="296" t="str">
        <f>'A) Base RI'!B122</f>
        <v>Pully</v>
      </c>
      <c r="C123" s="10">
        <f>'A) Base RI'!V122</f>
        <v>18336</v>
      </c>
      <c r="D123" s="10">
        <f t="shared" si="8"/>
        <v>1000</v>
      </c>
      <c r="E123" s="437">
        <f t="shared" si="7"/>
        <v>2000</v>
      </c>
      <c r="F123" s="10">
        <f t="shared" si="7"/>
        <v>2000</v>
      </c>
      <c r="G123" s="437">
        <f t="shared" si="7"/>
        <v>4000</v>
      </c>
      <c r="H123" s="41">
        <f t="shared" si="7"/>
        <v>3000</v>
      </c>
      <c r="I123" s="10">
        <f t="shared" si="7"/>
        <v>3000</v>
      </c>
      <c r="J123" s="10">
        <f t="shared" si="5"/>
        <v>3336</v>
      </c>
      <c r="K123" s="114">
        <f t="shared" si="6"/>
        <v>13264442.052313881</v>
      </c>
    </row>
    <row r="124" spans="1:11" x14ac:dyDescent="0.25">
      <c r="A124" s="49">
        <f>'A) Base RI'!A123</f>
        <v>5591</v>
      </c>
      <c r="B124" s="296" t="str">
        <f>'A) Base RI'!B123</f>
        <v>Renens</v>
      </c>
      <c r="C124" s="10">
        <f>'A) Base RI'!V123</f>
        <v>20968</v>
      </c>
      <c r="D124" s="10">
        <f t="shared" si="8"/>
        <v>1000</v>
      </c>
      <c r="E124" s="437">
        <f t="shared" si="7"/>
        <v>2000</v>
      </c>
      <c r="F124" s="10">
        <f t="shared" si="7"/>
        <v>2000</v>
      </c>
      <c r="G124" s="437">
        <f t="shared" si="7"/>
        <v>4000</v>
      </c>
      <c r="H124" s="41">
        <f t="shared" si="7"/>
        <v>3000</v>
      </c>
      <c r="I124" s="10">
        <f t="shared" si="7"/>
        <v>3000</v>
      </c>
      <c r="J124" s="10">
        <f t="shared" si="5"/>
        <v>5968</v>
      </c>
      <c r="K124" s="114">
        <f t="shared" si="6"/>
        <v>16025261.77062374</v>
      </c>
    </row>
    <row r="125" spans="1:11" x14ac:dyDescent="0.25">
      <c r="A125" s="49">
        <f>'A) Base RI'!A124</f>
        <v>5592</v>
      </c>
      <c r="B125" s="296" t="str">
        <f>'A) Base RI'!B124</f>
        <v>Romanel-sur-Lausanne</v>
      </c>
      <c r="C125" s="10">
        <f>'A) Base RI'!V124</f>
        <v>3311</v>
      </c>
      <c r="D125" s="10">
        <f t="shared" si="8"/>
        <v>1000</v>
      </c>
      <c r="E125" s="437">
        <f t="shared" si="7"/>
        <v>2000</v>
      </c>
      <c r="F125" s="10">
        <f t="shared" si="7"/>
        <v>311</v>
      </c>
      <c r="G125" s="437">
        <f t="shared" si="7"/>
        <v>0</v>
      </c>
      <c r="H125" s="41">
        <f t="shared" si="7"/>
        <v>0</v>
      </c>
      <c r="I125" s="10">
        <f t="shared" si="7"/>
        <v>0</v>
      </c>
      <c r="J125" s="10">
        <f t="shared" si="5"/>
        <v>0</v>
      </c>
      <c r="K125" s="114">
        <f t="shared" si="6"/>
        <v>979513.58148893341</v>
      </c>
    </row>
    <row r="126" spans="1:11" x14ac:dyDescent="0.25">
      <c r="A126" s="49">
        <f>'A) Base RI'!A125</f>
        <v>5601</v>
      </c>
      <c r="B126" s="296" t="str">
        <f>'A) Base RI'!B125</f>
        <v>Chexbres</v>
      </c>
      <c r="C126" s="10">
        <f>'A) Base RI'!V125</f>
        <v>2238</v>
      </c>
      <c r="D126" s="10">
        <f t="shared" si="8"/>
        <v>1000</v>
      </c>
      <c r="E126" s="437">
        <f t="shared" si="7"/>
        <v>1238</v>
      </c>
      <c r="F126" s="10">
        <f t="shared" si="7"/>
        <v>0</v>
      </c>
      <c r="G126" s="437">
        <f t="shared" si="7"/>
        <v>0</v>
      </c>
      <c r="H126" s="41">
        <f t="shared" si="7"/>
        <v>0</v>
      </c>
      <c r="I126" s="10">
        <f t="shared" si="7"/>
        <v>0</v>
      </c>
      <c r="J126" s="10">
        <f t="shared" si="5"/>
        <v>0</v>
      </c>
      <c r="K126" s="114">
        <f t="shared" si="6"/>
        <v>557738.3299798792</v>
      </c>
    </row>
    <row r="127" spans="1:11" x14ac:dyDescent="0.25">
      <c r="A127" s="49">
        <f>'A) Base RI'!A126</f>
        <v>5604</v>
      </c>
      <c r="B127" s="296" t="str">
        <f>'A) Base RI'!B126</f>
        <v>Forel (Lavaux)</v>
      </c>
      <c r="C127" s="10">
        <f>'A) Base RI'!V126</f>
        <v>2082</v>
      </c>
      <c r="D127" s="10">
        <f t="shared" si="8"/>
        <v>1000</v>
      </c>
      <c r="E127" s="437">
        <f t="shared" si="7"/>
        <v>1082</v>
      </c>
      <c r="F127" s="10">
        <f t="shared" si="7"/>
        <v>0</v>
      </c>
      <c r="G127" s="437">
        <f t="shared" si="7"/>
        <v>0</v>
      </c>
      <c r="H127" s="41">
        <f t="shared" si="7"/>
        <v>0</v>
      </c>
      <c r="I127" s="10">
        <f t="shared" si="7"/>
        <v>0</v>
      </c>
      <c r="J127" s="10">
        <f t="shared" si="5"/>
        <v>0</v>
      </c>
      <c r="K127" s="114">
        <f t="shared" si="6"/>
        <v>503193.25955734402</v>
      </c>
    </row>
    <row r="128" spans="1:11" x14ac:dyDescent="0.25">
      <c r="A128" s="49">
        <f>'A) Base RI'!A127</f>
        <v>5606</v>
      </c>
      <c r="B128" s="296" t="str">
        <f>'A) Base RI'!B127</f>
        <v>Lutry</v>
      </c>
      <c r="C128" s="10">
        <f>'A) Base RI'!V127</f>
        <v>10285</v>
      </c>
      <c r="D128" s="10">
        <f t="shared" si="8"/>
        <v>1000</v>
      </c>
      <c r="E128" s="437">
        <f t="shared" si="7"/>
        <v>2000</v>
      </c>
      <c r="F128" s="10">
        <f t="shared" si="7"/>
        <v>2000</v>
      </c>
      <c r="G128" s="437">
        <f t="shared" si="7"/>
        <v>4000</v>
      </c>
      <c r="H128" s="41">
        <f t="shared" si="7"/>
        <v>1285</v>
      </c>
      <c r="I128" s="10">
        <f t="shared" si="7"/>
        <v>0</v>
      </c>
      <c r="J128" s="10">
        <f t="shared" si="5"/>
        <v>0</v>
      </c>
      <c r="K128" s="114">
        <f t="shared" si="6"/>
        <v>5311900.6539235404</v>
      </c>
    </row>
    <row r="129" spans="1:11" x14ac:dyDescent="0.25">
      <c r="A129" s="49">
        <f>'A) Base RI'!A128</f>
        <v>5607</v>
      </c>
      <c r="B129" s="296" t="str">
        <f>'A) Base RI'!B128</f>
        <v>Puidoux</v>
      </c>
      <c r="C129" s="10">
        <f>'A) Base RI'!V128</f>
        <v>2880</v>
      </c>
      <c r="D129" s="10">
        <f t="shared" si="8"/>
        <v>1000</v>
      </c>
      <c r="E129" s="437">
        <f t="shared" si="7"/>
        <v>1880</v>
      </c>
      <c r="F129" s="10">
        <f t="shared" si="7"/>
        <v>0</v>
      </c>
      <c r="G129" s="437">
        <f t="shared" si="7"/>
        <v>0</v>
      </c>
      <c r="H129" s="41">
        <f t="shared" si="7"/>
        <v>0</v>
      </c>
      <c r="I129" s="10">
        <f t="shared" si="7"/>
        <v>0</v>
      </c>
      <c r="J129" s="10">
        <f t="shared" si="5"/>
        <v>0</v>
      </c>
      <c r="K129" s="114">
        <f t="shared" si="6"/>
        <v>782212.27364185103</v>
      </c>
    </row>
    <row r="130" spans="1:11" x14ac:dyDescent="0.25">
      <c r="A130" s="49">
        <f>'A) Base RI'!A129</f>
        <v>5609</v>
      </c>
      <c r="B130" s="296" t="str">
        <f>'A) Base RI'!B129</f>
        <v>Rivaz</v>
      </c>
      <c r="C130" s="10">
        <f>'A) Base RI'!V129</f>
        <v>358</v>
      </c>
      <c r="D130" s="10">
        <f t="shared" si="8"/>
        <v>358</v>
      </c>
      <c r="E130" s="437">
        <f t="shared" si="7"/>
        <v>0</v>
      </c>
      <c r="F130" s="10">
        <f t="shared" si="7"/>
        <v>0</v>
      </c>
      <c r="G130" s="437">
        <f t="shared" si="7"/>
        <v>0</v>
      </c>
      <c r="H130" s="41">
        <f t="shared" si="7"/>
        <v>0</v>
      </c>
      <c r="I130" s="10">
        <f t="shared" si="7"/>
        <v>0</v>
      </c>
      <c r="J130" s="10">
        <f t="shared" si="5"/>
        <v>0</v>
      </c>
      <c r="K130" s="114">
        <f t="shared" si="6"/>
        <v>44704.979879275648</v>
      </c>
    </row>
    <row r="131" spans="1:11" x14ac:dyDescent="0.25">
      <c r="A131" s="49">
        <f>'A) Base RI'!A130</f>
        <v>5610</v>
      </c>
      <c r="B131" s="296" t="str">
        <f>'A) Base RI'!B130</f>
        <v>St-Saphorin (Lavaux)</v>
      </c>
      <c r="C131" s="10">
        <f>'A) Base RI'!V130</f>
        <v>391</v>
      </c>
      <c r="D131" s="10">
        <f t="shared" si="8"/>
        <v>391</v>
      </c>
      <c r="E131" s="437">
        <f t="shared" si="7"/>
        <v>0</v>
      </c>
      <c r="F131" s="10">
        <f t="shared" si="7"/>
        <v>0</v>
      </c>
      <c r="G131" s="437">
        <f t="shared" si="7"/>
        <v>0</v>
      </c>
      <c r="H131" s="41">
        <f t="shared" si="7"/>
        <v>0</v>
      </c>
      <c r="I131" s="10">
        <f t="shared" si="7"/>
        <v>0</v>
      </c>
      <c r="J131" s="10">
        <f t="shared" si="5"/>
        <v>0</v>
      </c>
      <c r="K131" s="114">
        <f t="shared" si="6"/>
        <v>48825.829979879265</v>
      </c>
    </row>
    <row r="132" spans="1:11" x14ac:dyDescent="0.25">
      <c r="A132" s="49">
        <f>'A) Base RI'!A131</f>
        <v>5611</v>
      </c>
      <c r="B132" s="296" t="str">
        <f>'A) Base RI'!B131</f>
        <v>Savigny</v>
      </c>
      <c r="C132" s="10">
        <f>'A) Base RI'!V131</f>
        <v>3353</v>
      </c>
      <c r="D132" s="10">
        <f t="shared" si="8"/>
        <v>1000</v>
      </c>
      <c r="E132" s="437">
        <f t="shared" si="7"/>
        <v>2000</v>
      </c>
      <c r="F132" s="10">
        <f t="shared" si="7"/>
        <v>353</v>
      </c>
      <c r="G132" s="437">
        <f t="shared" si="7"/>
        <v>0</v>
      </c>
      <c r="H132" s="41">
        <f t="shared" si="7"/>
        <v>0</v>
      </c>
      <c r="I132" s="10">
        <f t="shared" si="7"/>
        <v>0</v>
      </c>
      <c r="J132" s="10">
        <f t="shared" si="5"/>
        <v>0</v>
      </c>
      <c r="K132" s="114">
        <f t="shared" si="6"/>
        <v>1000492.4547283701</v>
      </c>
    </row>
    <row r="133" spans="1:11" x14ac:dyDescent="0.25">
      <c r="A133" s="49">
        <f>'A) Base RI'!A132</f>
        <v>5613</v>
      </c>
      <c r="B133" s="296" t="str">
        <f>'A) Base RI'!B132</f>
        <v>Bourg-en-Lavaux</v>
      </c>
      <c r="C133" s="10">
        <f>'A) Base RI'!V132</f>
        <v>5367</v>
      </c>
      <c r="D133" s="10">
        <f t="shared" si="8"/>
        <v>1000</v>
      </c>
      <c r="E133" s="437">
        <f t="shared" si="7"/>
        <v>2000</v>
      </c>
      <c r="F133" s="10">
        <f t="shared" si="7"/>
        <v>2000</v>
      </c>
      <c r="G133" s="437">
        <f t="shared" si="7"/>
        <v>367</v>
      </c>
      <c r="H133" s="41">
        <f t="shared" si="7"/>
        <v>0</v>
      </c>
      <c r="I133" s="10">
        <f t="shared" si="7"/>
        <v>0</v>
      </c>
      <c r="J133" s="10">
        <f t="shared" si="5"/>
        <v>0</v>
      </c>
      <c r="K133" s="114">
        <f t="shared" si="6"/>
        <v>2043142.4547283698</v>
      </c>
    </row>
    <row r="134" spans="1:11" x14ac:dyDescent="0.25">
      <c r="A134" s="49">
        <f>'A) Base RI'!A133</f>
        <v>5621</v>
      </c>
      <c r="B134" s="296" t="str">
        <f>'A) Base RI'!B133</f>
        <v>Aclens</v>
      </c>
      <c r="C134" s="10">
        <f>'A) Base RI'!V133</f>
        <v>535</v>
      </c>
      <c r="D134" s="10">
        <f t="shared" si="8"/>
        <v>535</v>
      </c>
      <c r="E134" s="437">
        <f t="shared" si="7"/>
        <v>0</v>
      </c>
      <c r="F134" s="10">
        <f t="shared" si="7"/>
        <v>0</v>
      </c>
      <c r="G134" s="437">
        <f t="shared" si="7"/>
        <v>0</v>
      </c>
      <c r="H134" s="41">
        <f t="shared" si="7"/>
        <v>0</v>
      </c>
      <c r="I134" s="10">
        <f t="shared" si="7"/>
        <v>0</v>
      </c>
      <c r="J134" s="10">
        <f t="shared" si="5"/>
        <v>0</v>
      </c>
      <c r="K134" s="114">
        <f t="shared" si="6"/>
        <v>66807.721327967796</v>
      </c>
    </row>
    <row r="135" spans="1:11" x14ac:dyDescent="0.25">
      <c r="A135" s="49">
        <f>'A) Base RI'!A134</f>
        <v>5622</v>
      </c>
      <c r="B135" s="296" t="str">
        <f>'A) Base RI'!B134</f>
        <v>Bremblens</v>
      </c>
      <c r="C135" s="10">
        <f>'A) Base RI'!V134</f>
        <v>548</v>
      </c>
      <c r="D135" s="10">
        <f t="shared" si="8"/>
        <v>548</v>
      </c>
      <c r="E135" s="437">
        <f t="shared" si="7"/>
        <v>0</v>
      </c>
      <c r="F135" s="10">
        <f t="shared" si="7"/>
        <v>0</v>
      </c>
      <c r="G135" s="437">
        <f t="shared" si="7"/>
        <v>0</v>
      </c>
      <c r="H135" s="41">
        <f t="shared" si="7"/>
        <v>0</v>
      </c>
      <c r="I135" s="10">
        <f t="shared" si="7"/>
        <v>0</v>
      </c>
      <c r="J135" s="10">
        <f t="shared" si="5"/>
        <v>0</v>
      </c>
      <c r="K135" s="114">
        <f t="shared" si="6"/>
        <v>68431.086519114673</v>
      </c>
    </row>
    <row r="136" spans="1:11" x14ac:dyDescent="0.25">
      <c r="A136" s="49">
        <f>'A) Base RI'!A135</f>
        <v>5623</v>
      </c>
      <c r="B136" s="296" t="str">
        <f>'A) Base RI'!B135</f>
        <v>Buchillon</v>
      </c>
      <c r="C136" s="10">
        <f>'A) Base RI'!V135</f>
        <v>650</v>
      </c>
      <c r="D136" s="10">
        <f t="shared" si="8"/>
        <v>650</v>
      </c>
      <c r="E136" s="437">
        <f t="shared" si="7"/>
        <v>0</v>
      </c>
      <c r="F136" s="10">
        <f t="shared" si="7"/>
        <v>0</v>
      </c>
      <c r="G136" s="437">
        <f t="shared" si="7"/>
        <v>0</v>
      </c>
      <c r="H136" s="41">
        <f t="shared" si="7"/>
        <v>0</v>
      </c>
      <c r="I136" s="10">
        <f t="shared" si="7"/>
        <v>0</v>
      </c>
      <c r="J136" s="10">
        <f t="shared" si="5"/>
        <v>0</v>
      </c>
      <c r="K136" s="114">
        <f t="shared" si="6"/>
        <v>81168.259557344049</v>
      </c>
    </row>
    <row r="137" spans="1:11" x14ac:dyDescent="0.25">
      <c r="A137" s="49">
        <f>'A) Base RI'!A136</f>
        <v>5624</v>
      </c>
      <c r="B137" s="296" t="str">
        <f>'A) Base RI'!B136</f>
        <v>Bussigny</v>
      </c>
      <c r="C137" s="10">
        <f>'A) Base RI'!V136</f>
        <v>8759</v>
      </c>
      <c r="D137" s="10">
        <f t="shared" si="8"/>
        <v>1000</v>
      </c>
      <c r="E137" s="437">
        <f t="shared" si="7"/>
        <v>2000</v>
      </c>
      <c r="F137" s="10">
        <f t="shared" si="7"/>
        <v>2000</v>
      </c>
      <c r="G137" s="437">
        <f t="shared" si="7"/>
        <v>3759</v>
      </c>
      <c r="H137" s="41">
        <f t="shared" si="7"/>
        <v>0</v>
      </c>
      <c r="I137" s="10">
        <f t="shared" si="7"/>
        <v>0</v>
      </c>
      <c r="J137" s="10">
        <f t="shared" ref="J137:J200" si="9">IF(C137&gt;$J$4,C137-$J$4,0)</f>
        <v>0</v>
      </c>
      <c r="K137" s="114">
        <f t="shared" ref="K137:K200" si="10">(D137*D$7)+(E137*E$7)+(F137*F$7)+(G137*G$7)+(H137*H$7)+(I137*I$7)+(J137*J$7)</f>
        <v>4076294.9698189129</v>
      </c>
    </row>
    <row r="138" spans="1:11" x14ac:dyDescent="0.25">
      <c r="A138" s="49">
        <f>'A) Base RI'!A137</f>
        <v>5625</v>
      </c>
      <c r="B138" s="296" t="str">
        <f>'A) Base RI'!B137</f>
        <v>Bussy-Chardonney</v>
      </c>
      <c r="C138" s="10">
        <f>'A) Base RI'!V137</f>
        <v>376</v>
      </c>
      <c r="D138" s="10">
        <f t="shared" si="8"/>
        <v>376</v>
      </c>
      <c r="E138" s="437">
        <f t="shared" si="7"/>
        <v>0</v>
      </c>
      <c r="F138" s="10">
        <f t="shared" si="7"/>
        <v>0</v>
      </c>
      <c r="G138" s="437">
        <f t="shared" si="7"/>
        <v>0</v>
      </c>
      <c r="H138" s="41">
        <f t="shared" si="7"/>
        <v>0</v>
      </c>
      <c r="I138" s="10">
        <f t="shared" si="7"/>
        <v>0</v>
      </c>
      <c r="J138" s="10">
        <f t="shared" si="9"/>
        <v>0</v>
      </c>
      <c r="K138" s="114">
        <f t="shared" si="10"/>
        <v>46952.716297786712</v>
      </c>
    </row>
    <row r="139" spans="1:11" x14ac:dyDescent="0.25">
      <c r="A139" s="49">
        <f>'A) Base RI'!A138</f>
        <v>5627</v>
      </c>
      <c r="B139" s="296" t="str">
        <f>'A) Base RI'!B138</f>
        <v>Chavannes-près-Renens</v>
      </c>
      <c r="C139" s="10">
        <f>'A) Base RI'!V138</f>
        <v>7741</v>
      </c>
      <c r="D139" s="10">
        <f t="shared" si="8"/>
        <v>1000</v>
      </c>
      <c r="E139" s="437">
        <f t="shared" si="7"/>
        <v>2000</v>
      </c>
      <c r="F139" s="10">
        <f t="shared" si="7"/>
        <v>2000</v>
      </c>
      <c r="G139" s="437">
        <f t="shared" si="7"/>
        <v>2741</v>
      </c>
      <c r="H139" s="41">
        <f t="shared" si="7"/>
        <v>0</v>
      </c>
      <c r="I139" s="10">
        <f t="shared" si="7"/>
        <v>0</v>
      </c>
      <c r="J139" s="10">
        <f t="shared" si="9"/>
        <v>0</v>
      </c>
      <c r="K139" s="114">
        <f t="shared" si="10"/>
        <v>3466109.4567404422</v>
      </c>
    </row>
    <row r="140" spans="1:11" x14ac:dyDescent="0.25">
      <c r="A140" s="49">
        <f>'A) Base RI'!A139</f>
        <v>5628</v>
      </c>
      <c r="B140" s="296" t="str">
        <f>'A) Base RI'!B139</f>
        <v>Chigny</v>
      </c>
      <c r="C140" s="10">
        <f>'A) Base RI'!V139</f>
        <v>358</v>
      </c>
      <c r="D140" s="10">
        <f t="shared" si="8"/>
        <v>358</v>
      </c>
      <c r="E140" s="437">
        <f t="shared" si="7"/>
        <v>0</v>
      </c>
      <c r="F140" s="10">
        <f t="shared" si="7"/>
        <v>0</v>
      </c>
      <c r="G140" s="437">
        <f t="shared" si="7"/>
        <v>0</v>
      </c>
      <c r="H140" s="41">
        <f t="shared" si="7"/>
        <v>0</v>
      </c>
      <c r="I140" s="10">
        <f t="shared" si="7"/>
        <v>0</v>
      </c>
      <c r="J140" s="10">
        <f t="shared" si="9"/>
        <v>0</v>
      </c>
      <c r="K140" s="114">
        <f t="shared" si="10"/>
        <v>44704.979879275648</v>
      </c>
    </row>
    <row r="141" spans="1:11" x14ac:dyDescent="0.25">
      <c r="A141" s="49">
        <f>'A) Base RI'!A140</f>
        <v>5629</v>
      </c>
      <c r="B141" s="296" t="str">
        <f>'A) Base RI'!B140</f>
        <v>Clarmont</v>
      </c>
      <c r="C141" s="10">
        <f>'A) Base RI'!V140</f>
        <v>190</v>
      </c>
      <c r="D141" s="10">
        <f t="shared" si="8"/>
        <v>190</v>
      </c>
      <c r="E141" s="437">
        <f t="shared" si="7"/>
        <v>0</v>
      </c>
      <c r="F141" s="10">
        <f t="shared" si="7"/>
        <v>0</v>
      </c>
      <c r="G141" s="437">
        <f t="shared" si="7"/>
        <v>0</v>
      </c>
      <c r="H141" s="41">
        <f t="shared" si="7"/>
        <v>0</v>
      </c>
      <c r="I141" s="10">
        <f t="shared" si="7"/>
        <v>0</v>
      </c>
      <c r="J141" s="10">
        <f t="shared" si="9"/>
        <v>0</v>
      </c>
      <c r="K141" s="114">
        <f t="shared" si="10"/>
        <v>23726.106639839032</v>
      </c>
    </row>
    <row r="142" spans="1:11" x14ac:dyDescent="0.25">
      <c r="A142" s="49">
        <f>'A) Base RI'!A141</f>
        <v>5631</v>
      </c>
      <c r="B142" s="296" t="str">
        <f>'A) Base RI'!B141</f>
        <v>Denens</v>
      </c>
      <c r="C142" s="10">
        <f>'A) Base RI'!V141</f>
        <v>747</v>
      </c>
      <c r="D142" s="10">
        <f t="shared" si="8"/>
        <v>747</v>
      </c>
      <c r="E142" s="437">
        <f t="shared" si="7"/>
        <v>0</v>
      </c>
      <c r="F142" s="10">
        <f t="shared" si="7"/>
        <v>0</v>
      </c>
      <c r="G142" s="437">
        <f t="shared" si="7"/>
        <v>0</v>
      </c>
      <c r="H142" s="41">
        <f t="shared" si="7"/>
        <v>0</v>
      </c>
      <c r="I142" s="10">
        <f t="shared" si="7"/>
        <v>0</v>
      </c>
      <c r="J142" s="10">
        <f t="shared" si="9"/>
        <v>0</v>
      </c>
      <c r="K142" s="114">
        <f t="shared" si="10"/>
        <v>93281.061368209237</v>
      </c>
    </row>
    <row r="143" spans="1:11" x14ac:dyDescent="0.25">
      <c r="A143" s="49">
        <f>'A) Base RI'!A142</f>
        <v>5632</v>
      </c>
      <c r="B143" s="296" t="str">
        <f>'A) Base RI'!B142</f>
        <v>Denges</v>
      </c>
      <c r="C143" s="10">
        <f>'A) Base RI'!V142</f>
        <v>1610</v>
      </c>
      <c r="D143" s="10">
        <f t="shared" si="8"/>
        <v>1000</v>
      </c>
      <c r="E143" s="437">
        <f t="shared" si="7"/>
        <v>610</v>
      </c>
      <c r="F143" s="10">
        <f t="shared" si="7"/>
        <v>0</v>
      </c>
      <c r="G143" s="437">
        <f t="shared" si="7"/>
        <v>0</v>
      </c>
      <c r="H143" s="41">
        <f t="shared" si="7"/>
        <v>0</v>
      </c>
      <c r="I143" s="10">
        <f t="shared" si="7"/>
        <v>0</v>
      </c>
      <c r="J143" s="10">
        <f t="shared" si="9"/>
        <v>0</v>
      </c>
      <c r="K143" s="114">
        <f t="shared" si="10"/>
        <v>338159.45674044261</v>
      </c>
    </row>
    <row r="144" spans="1:11" x14ac:dyDescent="0.25">
      <c r="A144" s="49">
        <f>'A) Base RI'!A143</f>
        <v>5633</v>
      </c>
      <c r="B144" s="296" t="str">
        <f>'A) Base RI'!B143</f>
        <v>Echandens</v>
      </c>
      <c r="C144" s="10">
        <f>'A) Base RI'!V143</f>
        <v>2789</v>
      </c>
      <c r="D144" s="10">
        <f t="shared" si="8"/>
        <v>1000</v>
      </c>
      <c r="E144" s="437">
        <f t="shared" si="7"/>
        <v>1789</v>
      </c>
      <c r="F144" s="10">
        <f t="shared" si="7"/>
        <v>0</v>
      </c>
      <c r="G144" s="437">
        <f t="shared" si="7"/>
        <v>0</v>
      </c>
      <c r="H144" s="41">
        <f t="shared" si="7"/>
        <v>0</v>
      </c>
      <c r="I144" s="10">
        <f t="shared" si="7"/>
        <v>0</v>
      </c>
      <c r="J144" s="10">
        <f t="shared" si="9"/>
        <v>0</v>
      </c>
      <c r="K144" s="114">
        <f t="shared" si="10"/>
        <v>750394.31589537219</v>
      </c>
    </row>
    <row r="145" spans="1:11" x14ac:dyDescent="0.25">
      <c r="A145" s="49">
        <f>'A) Base RI'!A144</f>
        <v>5634</v>
      </c>
      <c r="B145" s="296" t="str">
        <f>'A) Base RI'!B144</f>
        <v>Echichens</v>
      </c>
      <c r="C145" s="10">
        <f>'A) Base RI'!V144</f>
        <v>3050</v>
      </c>
      <c r="D145" s="10">
        <f t="shared" si="8"/>
        <v>1000</v>
      </c>
      <c r="E145" s="437">
        <f t="shared" si="7"/>
        <v>2000</v>
      </c>
      <c r="F145" s="10">
        <f t="shared" si="7"/>
        <v>50</v>
      </c>
      <c r="G145" s="437">
        <f t="shared" si="7"/>
        <v>0</v>
      </c>
      <c r="H145" s="41">
        <f t="shared" si="7"/>
        <v>0</v>
      </c>
      <c r="I145" s="10">
        <f t="shared" si="7"/>
        <v>0</v>
      </c>
      <c r="J145" s="10">
        <f t="shared" si="9"/>
        <v>0</v>
      </c>
      <c r="K145" s="114">
        <f t="shared" si="10"/>
        <v>849144.86921529158</v>
      </c>
    </row>
    <row r="146" spans="1:11" x14ac:dyDescent="0.25">
      <c r="A146" s="49">
        <f>'A) Base RI'!A145</f>
        <v>5635</v>
      </c>
      <c r="B146" s="296" t="str">
        <f>'A) Base RI'!B145</f>
        <v>Ecublens</v>
      </c>
      <c r="C146" s="10">
        <f>'A) Base RI'!V145</f>
        <v>12939</v>
      </c>
      <c r="D146" s="10">
        <f t="shared" si="8"/>
        <v>1000</v>
      </c>
      <c r="E146" s="437">
        <f t="shared" si="7"/>
        <v>2000</v>
      </c>
      <c r="F146" s="10">
        <f t="shared" si="7"/>
        <v>2000</v>
      </c>
      <c r="G146" s="437">
        <f t="shared" si="7"/>
        <v>4000</v>
      </c>
      <c r="H146" s="41">
        <f t="shared" si="7"/>
        <v>3000</v>
      </c>
      <c r="I146" s="10">
        <f t="shared" si="7"/>
        <v>939</v>
      </c>
      <c r="J146" s="10">
        <f t="shared" si="9"/>
        <v>0</v>
      </c>
      <c r="K146" s="114">
        <f t="shared" si="10"/>
        <v>7706239.4366197176</v>
      </c>
    </row>
    <row r="147" spans="1:11" x14ac:dyDescent="0.25">
      <c r="A147" s="49">
        <f>'A) Base RI'!A146</f>
        <v>5636</v>
      </c>
      <c r="B147" s="296" t="str">
        <f>'A) Base RI'!B146</f>
        <v>Etoy</v>
      </c>
      <c r="C147" s="10">
        <f>'A) Base RI'!V146</f>
        <v>2905</v>
      </c>
      <c r="D147" s="10">
        <f t="shared" si="8"/>
        <v>1000</v>
      </c>
      <c r="E147" s="437">
        <f t="shared" si="7"/>
        <v>1905</v>
      </c>
      <c r="F147" s="10">
        <f t="shared" si="7"/>
        <v>0</v>
      </c>
      <c r="G147" s="437">
        <f t="shared" si="7"/>
        <v>0</v>
      </c>
      <c r="H147" s="41">
        <f t="shared" si="7"/>
        <v>0</v>
      </c>
      <c r="I147" s="10">
        <f t="shared" si="7"/>
        <v>0</v>
      </c>
      <c r="J147" s="10">
        <f t="shared" si="9"/>
        <v>0</v>
      </c>
      <c r="K147" s="114">
        <f t="shared" si="10"/>
        <v>790953.47082494956</v>
      </c>
    </row>
    <row r="148" spans="1:11" x14ac:dyDescent="0.25">
      <c r="A148" s="49">
        <f>'A) Base RI'!A147</f>
        <v>5637</v>
      </c>
      <c r="B148" s="296" t="str">
        <f>'A) Base RI'!B147</f>
        <v>Lavigny</v>
      </c>
      <c r="C148" s="10">
        <f>'A) Base RI'!V147</f>
        <v>999</v>
      </c>
      <c r="D148" s="10">
        <f t="shared" si="8"/>
        <v>999</v>
      </c>
      <c r="E148" s="437">
        <f t="shared" si="7"/>
        <v>0</v>
      </c>
      <c r="F148" s="10">
        <f t="shared" si="7"/>
        <v>0</v>
      </c>
      <c r="G148" s="437">
        <f t="shared" si="7"/>
        <v>0</v>
      </c>
      <c r="H148" s="41">
        <f t="shared" si="7"/>
        <v>0</v>
      </c>
      <c r="I148" s="10">
        <f t="shared" si="7"/>
        <v>0</v>
      </c>
      <c r="J148" s="10">
        <f t="shared" si="9"/>
        <v>0</v>
      </c>
      <c r="K148" s="114">
        <f t="shared" si="10"/>
        <v>124749.37122736417</v>
      </c>
    </row>
    <row r="149" spans="1:11" x14ac:dyDescent="0.25">
      <c r="A149" s="49">
        <f>'A) Base RI'!A148</f>
        <v>5638</v>
      </c>
      <c r="B149" s="296" t="str">
        <f>'A) Base RI'!B148</f>
        <v>Lonay</v>
      </c>
      <c r="C149" s="10">
        <f>'A) Base RI'!V148</f>
        <v>2593</v>
      </c>
      <c r="D149" s="10">
        <f t="shared" si="8"/>
        <v>1000</v>
      </c>
      <c r="E149" s="437">
        <f t="shared" si="7"/>
        <v>1593</v>
      </c>
      <c r="F149" s="10">
        <f t="shared" si="7"/>
        <v>0</v>
      </c>
      <c r="G149" s="437">
        <f t="shared" si="7"/>
        <v>0</v>
      </c>
      <c r="H149" s="41">
        <f t="shared" si="7"/>
        <v>0</v>
      </c>
      <c r="I149" s="10">
        <f t="shared" si="7"/>
        <v>0</v>
      </c>
      <c r="J149" s="10">
        <f t="shared" si="9"/>
        <v>0</v>
      </c>
      <c r="K149" s="114">
        <f t="shared" si="10"/>
        <v>681863.3299798792</v>
      </c>
    </row>
    <row r="150" spans="1:11" x14ac:dyDescent="0.25">
      <c r="A150" s="49">
        <f>'A) Base RI'!A149</f>
        <v>5639</v>
      </c>
      <c r="B150" s="296" t="str">
        <f>'A) Base RI'!B149</f>
        <v>Lully</v>
      </c>
      <c r="C150" s="10">
        <f>'A) Base RI'!V149</f>
        <v>790</v>
      </c>
      <c r="D150" s="10">
        <f t="shared" si="8"/>
        <v>790</v>
      </c>
      <c r="E150" s="437">
        <f t="shared" si="7"/>
        <v>0</v>
      </c>
      <c r="F150" s="10">
        <f t="shared" si="7"/>
        <v>0</v>
      </c>
      <c r="G150" s="437">
        <f t="shared" si="7"/>
        <v>0</v>
      </c>
      <c r="H150" s="41">
        <f t="shared" si="7"/>
        <v>0</v>
      </c>
      <c r="I150" s="10">
        <f t="shared" si="7"/>
        <v>0</v>
      </c>
      <c r="J150" s="10">
        <f t="shared" si="9"/>
        <v>0</v>
      </c>
      <c r="K150" s="114">
        <f t="shared" si="10"/>
        <v>98650.653923541235</v>
      </c>
    </row>
    <row r="151" spans="1:11" x14ac:dyDescent="0.25">
      <c r="A151" s="49">
        <f>'A) Base RI'!A150</f>
        <v>5640</v>
      </c>
      <c r="B151" s="296" t="str">
        <f>'A) Base RI'!B150</f>
        <v>Lussy-sur-Morges</v>
      </c>
      <c r="C151" s="10">
        <f>'A) Base RI'!V150</f>
        <v>687</v>
      </c>
      <c r="D151" s="10">
        <f t="shared" si="8"/>
        <v>687</v>
      </c>
      <c r="E151" s="437">
        <f t="shared" si="7"/>
        <v>0</v>
      </c>
      <c r="F151" s="10">
        <f t="shared" si="7"/>
        <v>0</v>
      </c>
      <c r="G151" s="437">
        <f t="shared" si="7"/>
        <v>0</v>
      </c>
      <c r="H151" s="41">
        <f t="shared" si="7"/>
        <v>0</v>
      </c>
      <c r="I151" s="10">
        <f t="shared" si="7"/>
        <v>0</v>
      </c>
      <c r="J151" s="10">
        <f t="shared" si="9"/>
        <v>0</v>
      </c>
      <c r="K151" s="114">
        <f t="shared" si="10"/>
        <v>85788.606639839025</v>
      </c>
    </row>
    <row r="152" spans="1:11" x14ac:dyDescent="0.25">
      <c r="A152" s="49">
        <f>'A) Base RI'!A151</f>
        <v>5642</v>
      </c>
      <c r="B152" s="296" t="str">
        <f>'A) Base RI'!B151</f>
        <v>Morges</v>
      </c>
      <c r="C152" s="10">
        <f>'A) Base RI'!V151</f>
        <v>15725</v>
      </c>
      <c r="D152" s="10">
        <f t="shared" si="8"/>
        <v>1000</v>
      </c>
      <c r="E152" s="437">
        <f t="shared" si="7"/>
        <v>2000</v>
      </c>
      <c r="F152" s="10">
        <f t="shared" si="7"/>
        <v>2000</v>
      </c>
      <c r="G152" s="437">
        <f t="shared" si="7"/>
        <v>4000</v>
      </c>
      <c r="H152" s="41">
        <f t="shared" si="7"/>
        <v>3000</v>
      </c>
      <c r="I152" s="10">
        <f t="shared" si="7"/>
        <v>3000</v>
      </c>
      <c r="J152" s="10">
        <f t="shared" si="9"/>
        <v>725</v>
      </c>
      <c r="K152" s="114">
        <f t="shared" si="10"/>
        <v>10525650.15090543</v>
      </c>
    </row>
    <row r="153" spans="1:11" x14ac:dyDescent="0.25">
      <c r="A153" s="49">
        <f>'A) Base RI'!A152</f>
        <v>5643</v>
      </c>
      <c r="B153" s="296" t="str">
        <f>'A) Base RI'!B152</f>
        <v>Préverenges</v>
      </c>
      <c r="C153" s="10">
        <f>'A) Base RI'!V152</f>
        <v>5298</v>
      </c>
      <c r="D153" s="10">
        <f t="shared" si="8"/>
        <v>1000</v>
      </c>
      <c r="E153" s="437">
        <f t="shared" si="7"/>
        <v>2000</v>
      </c>
      <c r="F153" s="10">
        <f t="shared" si="7"/>
        <v>2000</v>
      </c>
      <c r="G153" s="437">
        <f t="shared" si="7"/>
        <v>298</v>
      </c>
      <c r="H153" s="41">
        <f t="shared" si="7"/>
        <v>0</v>
      </c>
      <c r="I153" s="10">
        <f t="shared" si="7"/>
        <v>0</v>
      </c>
      <c r="J153" s="10">
        <f t="shared" si="9"/>
        <v>0</v>
      </c>
      <c r="K153" s="114">
        <f t="shared" si="10"/>
        <v>2001784.1046277662</v>
      </c>
    </row>
    <row r="154" spans="1:11" x14ac:dyDescent="0.25">
      <c r="A154" s="49">
        <f>'A) Base RI'!A153</f>
        <v>5644</v>
      </c>
      <c r="B154" s="296" t="str">
        <f>'A) Base RI'!B153</f>
        <v>Reverolle</v>
      </c>
      <c r="C154" s="10">
        <f>'A) Base RI'!V153</f>
        <v>399</v>
      </c>
      <c r="D154" s="10">
        <f t="shared" si="8"/>
        <v>399</v>
      </c>
      <c r="E154" s="437">
        <f t="shared" si="7"/>
        <v>0</v>
      </c>
      <c r="F154" s="10">
        <f t="shared" si="7"/>
        <v>0</v>
      </c>
      <c r="G154" s="437">
        <f t="shared" si="7"/>
        <v>0</v>
      </c>
      <c r="H154" s="41">
        <f t="shared" si="7"/>
        <v>0</v>
      </c>
      <c r="I154" s="10">
        <f t="shared" si="7"/>
        <v>0</v>
      </c>
      <c r="J154" s="10">
        <f t="shared" si="9"/>
        <v>0</v>
      </c>
      <c r="K154" s="114">
        <f t="shared" si="10"/>
        <v>49824.823943661962</v>
      </c>
    </row>
    <row r="155" spans="1:11" x14ac:dyDescent="0.25">
      <c r="A155" s="49">
        <f>'A) Base RI'!A154</f>
        <v>5645</v>
      </c>
      <c r="B155" s="296" t="str">
        <f>'A) Base RI'!B154</f>
        <v>Romanel-sur-Morges</v>
      </c>
      <c r="C155" s="10">
        <f>'A) Base RI'!V154</f>
        <v>458</v>
      </c>
      <c r="D155" s="10">
        <f t="shared" si="8"/>
        <v>458</v>
      </c>
      <c r="E155" s="437">
        <f t="shared" si="7"/>
        <v>0</v>
      </c>
      <c r="F155" s="10">
        <f t="shared" si="7"/>
        <v>0</v>
      </c>
      <c r="G155" s="437">
        <f t="shared" si="7"/>
        <v>0</v>
      </c>
      <c r="H155" s="41">
        <f t="shared" si="7"/>
        <v>0</v>
      </c>
      <c r="I155" s="10">
        <f t="shared" si="7"/>
        <v>0</v>
      </c>
      <c r="J155" s="10">
        <f t="shared" si="9"/>
        <v>0</v>
      </c>
      <c r="K155" s="114">
        <f t="shared" si="10"/>
        <v>57192.404426559347</v>
      </c>
    </row>
    <row r="156" spans="1:11" x14ac:dyDescent="0.25">
      <c r="A156" s="49">
        <f>'A) Base RI'!A155</f>
        <v>5646</v>
      </c>
      <c r="B156" s="296" t="str">
        <f>'A) Base RI'!B155</f>
        <v>Saint-Prex</v>
      </c>
      <c r="C156" s="10">
        <f>'A) Base RI'!V155</f>
        <v>5684</v>
      </c>
      <c r="D156" s="10">
        <f t="shared" si="8"/>
        <v>1000</v>
      </c>
      <c r="E156" s="437">
        <f t="shared" si="7"/>
        <v>2000</v>
      </c>
      <c r="F156" s="10">
        <f t="shared" si="7"/>
        <v>2000</v>
      </c>
      <c r="G156" s="437">
        <f t="shared" si="7"/>
        <v>684</v>
      </c>
      <c r="H156" s="41">
        <f t="shared" si="7"/>
        <v>0</v>
      </c>
      <c r="I156" s="10">
        <f t="shared" si="7"/>
        <v>0</v>
      </c>
      <c r="J156" s="10">
        <f t="shared" si="9"/>
        <v>0</v>
      </c>
      <c r="K156" s="114">
        <f t="shared" si="10"/>
        <v>2233151.1066398388</v>
      </c>
    </row>
    <row r="157" spans="1:11" x14ac:dyDescent="0.25">
      <c r="A157" s="49">
        <f>'A) Base RI'!A156</f>
        <v>5648</v>
      </c>
      <c r="B157" s="296" t="str">
        <f>'A) Base RI'!B156</f>
        <v>Saint-Sulpice</v>
      </c>
      <c r="C157" s="10">
        <f>'A) Base RI'!V156</f>
        <v>4669</v>
      </c>
      <c r="D157" s="10">
        <f t="shared" si="8"/>
        <v>1000</v>
      </c>
      <c r="E157" s="437">
        <f t="shared" si="7"/>
        <v>2000</v>
      </c>
      <c r="F157" s="10">
        <f t="shared" si="7"/>
        <v>1669</v>
      </c>
      <c r="G157" s="437">
        <f t="shared" ref="E157:I208" si="11">IF($C157&gt;G$4,IF($C157&lt;G$5,$C157-G$4,G$5-G$4),0)</f>
        <v>0</v>
      </c>
      <c r="H157" s="41">
        <f t="shared" si="11"/>
        <v>0</v>
      </c>
      <c r="I157" s="10">
        <f t="shared" si="11"/>
        <v>0</v>
      </c>
      <c r="J157" s="10">
        <f t="shared" si="9"/>
        <v>0</v>
      </c>
      <c r="K157" s="114">
        <f t="shared" si="10"/>
        <v>1657830.4828973841</v>
      </c>
    </row>
    <row r="158" spans="1:11" x14ac:dyDescent="0.25">
      <c r="A158" s="49">
        <f>'A) Base RI'!A157</f>
        <v>5649</v>
      </c>
      <c r="B158" s="296" t="str">
        <f>'A) Base RI'!B157</f>
        <v>Tolochenaz</v>
      </c>
      <c r="C158" s="10">
        <f>'A) Base RI'!V157</f>
        <v>1933</v>
      </c>
      <c r="D158" s="10">
        <f t="shared" si="8"/>
        <v>1000</v>
      </c>
      <c r="E158" s="437">
        <f t="shared" si="11"/>
        <v>933</v>
      </c>
      <c r="F158" s="10">
        <f t="shared" si="11"/>
        <v>0</v>
      </c>
      <c r="G158" s="437">
        <f t="shared" si="11"/>
        <v>0</v>
      </c>
      <c r="H158" s="41">
        <f t="shared" si="11"/>
        <v>0</v>
      </c>
      <c r="I158" s="10">
        <f t="shared" si="11"/>
        <v>0</v>
      </c>
      <c r="J158" s="10">
        <f t="shared" si="9"/>
        <v>0</v>
      </c>
      <c r="K158" s="114">
        <f t="shared" si="10"/>
        <v>451095.72434607643</v>
      </c>
    </row>
    <row r="159" spans="1:11" x14ac:dyDescent="0.25">
      <c r="A159" s="49">
        <f>'A) Base RI'!A158</f>
        <v>5650</v>
      </c>
      <c r="B159" s="296" t="str">
        <f>'A) Base RI'!B158</f>
        <v>Vaux-sur-Morges</v>
      </c>
      <c r="C159" s="10">
        <f>'A) Base RI'!V158</f>
        <v>184</v>
      </c>
      <c r="D159" s="10">
        <f t="shared" si="8"/>
        <v>184</v>
      </c>
      <c r="E159" s="437">
        <f t="shared" si="11"/>
        <v>0</v>
      </c>
      <c r="F159" s="10">
        <f t="shared" si="11"/>
        <v>0</v>
      </c>
      <c r="G159" s="437">
        <f t="shared" si="11"/>
        <v>0</v>
      </c>
      <c r="H159" s="41">
        <f t="shared" si="11"/>
        <v>0</v>
      </c>
      <c r="I159" s="10">
        <f t="shared" si="11"/>
        <v>0</v>
      </c>
      <c r="J159" s="10">
        <f t="shared" si="9"/>
        <v>0</v>
      </c>
      <c r="K159" s="114">
        <f t="shared" si="10"/>
        <v>22976.861167002007</v>
      </c>
    </row>
    <row r="160" spans="1:11" x14ac:dyDescent="0.25">
      <c r="A160" s="49">
        <f>'A) Base RI'!A159</f>
        <v>5651</v>
      </c>
      <c r="B160" s="296" t="str">
        <f>'A) Base RI'!B159</f>
        <v>Villars-Sainte-Croix</v>
      </c>
      <c r="C160" s="10">
        <f>'A) Base RI'!V159</f>
        <v>963</v>
      </c>
      <c r="D160" s="10">
        <f t="shared" si="8"/>
        <v>963</v>
      </c>
      <c r="E160" s="437">
        <f t="shared" si="11"/>
        <v>0</v>
      </c>
      <c r="F160" s="10">
        <f t="shared" si="11"/>
        <v>0</v>
      </c>
      <c r="G160" s="437">
        <f t="shared" si="11"/>
        <v>0</v>
      </c>
      <c r="H160" s="41">
        <f t="shared" si="11"/>
        <v>0</v>
      </c>
      <c r="I160" s="10">
        <f t="shared" si="11"/>
        <v>0</v>
      </c>
      <c r="J160" s="10">
        <f t="shared" si="9"/>
        <v>0</v>
      </c>
      <c r="K160" s="114">
        <f t="shared" si="10"/>
        <v>120253.89839034203</v>
      </c>
    </row>
    <row r="161" spans="1:11" x14ac:dyDescent="0.25">
      <c r="A161" s="49">
        <f>'A) Base RI'!A160</f>
        <v>5652</v>
      </c>
      <c r="B161" s="296" t="str">
        <f>'A) Base RI'!B160</f>
        <v>Villars-sous-Yens</v>
      </c>
      <c r="C161" s="10">
        <f>'A) Base RI'!V160</f>
        <v>608</v>
      </c>
      <c r="D161" s="10">
        <f t="shared" si="8"/>
        <v>608</v>
      </c>
      <c r="E161" s="437">
        <f t="shared" si="11"/>
        <v>0</v>
      </c>
      <c r="F161" s="10">
        <f t="shared" si="11"/>
        <v>0</v>
      </c>
      <c r="G161" s="437">
        <f t="shared" si="11"/>
        <v>0</v>
      </c>
      <c r="H161" s="41">
        <f t="shared" si="11"/>
        <v>0</v>
      </c>
      <c r="I161" s="10">
        <f t="shared" si="11"/>
        <v>0</v>
      </c>
      <c r="J161" s="10">
        <f t="shared" si="9"/>
        <v>0</v>
      </c>
      <c r="K161" s="114">
        <f t="shared" si="10"/>
        <v>75923.5412474849</v>
      </c>
    </row>
    <row r="162" spans="1:11" x14ac:dyDescent="0.25">
      <c r="A162" s="49">
        <f>'A) Base RI'!A161</f>
        <v>5653</v>
      </c>
      <c r="B162" s="296" t="str">
        <f>'A) Base RI'!B161</f>
        <v>Vufflens-le-Château</v>
      </c>
      <c r="C162" s="10">
        <f>'A) Base RI'!V161</f>
        <v>886</v>
      </c>
      <c r="D162" s="10">
        <f t="shared" si="8"/>
        <v>886</v>
      </c>
      <c r="E162" s="437">
        <f t="shared" si="11"/>
        <v>0</v>
      </c>
      <c r="F162" s="10">
        <f t="shared" si="11"/>
        <v>0</v>
      </c>
      <c r="G162" s="437">
        <f t="shared" si="11"/>
        <v>0</v>
      </c>
      <c r="H162" s="41">
        <f t="shared" si="11"/>
        <v>0</v>
      </c>
      <c r="I162" s="10">
        <f t="shared" si="11"/>
        <v>0</v>
      </c>
      <c r="J162" s="10">
        <f t="shared" si="9"/>
        <v>0</v>
      </c>
      <c r="K162" s="114">
        <f t="shared" si="10"/>
        <v>110638.58148893359</v>
      </c>
    </row>
    <row r="163" spans="1:11" x14ac:dyDescent="0.25">
      <c r="A163" s="49">
        <f>'A) Base RI'!A162</f>
        <v>5654</v>
      </c>
      <c r="B163" s="296" t="str">
        <f>'A) Base RI'!B162</f>
        <v>Vullierens</v>
      </c>
      <c r="C163" s="10">
        <f>'A) Base RI'!V162</f>
        <v>507</v>
      </c>
      <c r="D163" s="10">
        <f t="shared" si="8"/>
        <v>507</v>
      </c>
      <c r="E163" s="437">
        <f t="shared" si="11"/>
        <v>0</v>
      </c>
      <c r="F163" s="10">
        <f t="shared" si="11"/>
        <v>0</v>
      </c>
      <c r="G163" s="437">
        <f t="shared" si="11"/>
        <v>0</v>
      </c>
      <c r="H163" s="41">
        <f t="shared" si="11"/>
        <v>0</v>
      </c>
      <c r="I163" s="10">
        <f t="shared" si="11"/>
        <v>0</v>
      </c>
      <c r="J163" s="10">
        <f t="shared" si="9"/>
        <v>0</v>
      </c>
      <c r="K163" s="114">
        <f t="shared" si="10"/>
        <v>63311.242454728359</v>
      </c>
    </row>
    <row r="164" spans="1:11" x14ac:dyDescent="0.25">
      <c r="A164" s="49">
        <f>'A) Base RI'!A163</f>
        <v>5655</v>
      </c>
      <c r="B164" s="296" t="str">
        <f>'A) Base RI'!B163</f>
        <v>Yens</v>
      </c>
      <c r="C164" s="10">
        <f>'A) Base RI'!V163</f>
        <v>1429</v>
      </c>
      <c r="D164" s="10">
        <f t="shared" si="8"/>
        <v>1000</v>
      </c>
      <c r="E164" s="437">
        <f t="shared" si="11"/>
        <v>429</v>
      </c>
      <c r="F164" s="10">
        <f t="shared" si="11"/>
        <v>0</v>
      </c>
      <c r="G164" s="437">
        <f t="shared" si="11"/>
        <v>0</v>
      </c>
      <c r="H164" s="41">
        <f t="shared" si="11"/>
        <v>0</v>
      </c>
      <c r="I164" s="10">
        <f t="shared" si="11"/>
        <v>0</v>
      </c>
      <c r="J164" s="10">
        <f t="shared" si="9"/>
        <v>0</v>
      </c>
      <c r="K164" s="114">
        <f t="shared" si="10"/>
        <v>274873.18913480884</v>
      </c>
    </row>
    <row r="165" spans="1:11" x14ac:dyDescent="0.25">
      <c r="A165" s="49">
        <f>'A) Base RI'!A164</f>
        <v>5661</v>
      </c>
      <c r="B165" s="296" t="str">
        <f>'A) Base RI'!B164</f>
        <v>Boulens</v>
      </c>
      <c r="C165" s="10">
        <f>'A) Base RI'!V164</f>
        <v>384</v>
      </c>
      <c r="D165" s="10">
        <f t="shared" si="8"/>
        <v>384</v>
      </c>
      <c r="E165" s="437">
        <f t="shared" si="11"/>
        <v>0</v>
      </c>
      <c r="F165" s="10">
        <f t="shared" si="11"/>
        <v>0</v>
      </c>
      <c r="G165" s="437">
        <f t="shared" si="11"/>
        <v>0</v>
      </c>
      <c r="H165" s="41">
        <f t="shared" si="11"/>
        <v>0</v>
      </c>
      <c r="I165" s="10">
        <f t="shared" si="11"/>
        <v>0</v>
      </c>
      <c r="J165" s="10">
        <f t="shared" si="9"/>
        <v>0</v>
      </c>
      <c r="K165" s="114">
        <f t="shared" si="10"/>
        <v>47951.710261569409</v>
      </c>
    </row>
    <row r="166" spans="1:11" x14ac:dyDescent="0.25">
      <c r="A166" s="49">
        <f>'A) Base RI'!A165</f>
        <v>5663</v>
      </c>
      <c r="B166" s="296" t="str">
        <f>'A) Base RI'!B165</f>
        <v>Bussy-sur-Moudon</v>
      </c>
      <c r="C166" s="10">
        <f>'A) Base RI'!V165</f>
        <v>214</v>
      </c>
      <c r="D166" s="10">
        <f t="shared" si="8"/>
        <v>214</v>
      </c>
      <c r="E166" s="437">
        <f t="shared" si="11"/>
        <v>0</v>
      </c>
      <c r="F166" s="10">
        <f t="shared" si="11"/>
        <v>0</v>
      </c>
      <c r="G166" s="437">
        <f t="shared" si="11"/>
        <v>0</v>
      </c>
      <c r="H166" s="41">
        <f t="shared" si="11"/>
        <v>0</v>
      </c>
      <c r="I166" s="10">
        <f t="shared" si="11"/>
        <v>0</v>
      </c>
      <c r="J166" s="10">
        <f t="shared" si="9"/>
        <v>0</v>
      </c>
      <c r="K166" s="114">
        <f t="shared" si="10"/>
        <v>26723.088531187117</v>
      </c>
    </row>
    <row r="167" spans="1:11" x14ac:dyDescent="0.25">
      <c r="A167" s="49">
        <f>'A) Base RI'!A166</f>
        <v>5665</v>
      </c>
      <c r="B167" s="296" t="str">
        <f>'A) Base RI'!B166</f>
        <v>Chavannes-sur-Moudon</v>
      </c>
      <c r="C167" s="10">
        <f>'A) Base RI'!V166</f>
        <v>216</v>
      </c>
      <c r="D167" s="10">
        <f t="shared" si="8"/>
        <v>216</v>
      </c>
      <c r="E167" s="437">
        <f t="shared" si="11"/>
        <v>0</v>
      </c>
      <c r="F167" s="10">
        <f t="shared" si="11"/>
        <v>0</v>
      </c>
      <c r="G167" s="437">
        <f t="shared" si="11"/>
        <v>0</v>
      </c>
      <c r="H167" s="41">
        <f t="shared" si="11"/>
        <v>0</v>
      </c>
      <c r="I167" s="10">
        <f t="shared" si="11"/>
        <v>0</v>
      </c>
      <c r="J167" s="10">
        <f t="shared" si="9"/>
        <v>0</v>
      </c>
      <c r="K167" s="114">
        <f t="shared" si="10"/>
        <v>26972.837022132793</v>
      </c>
    </row>
    <row r="168" spans="1:11" x14ac:dyDescent="0.25">
      <c r="A168" s="49">
        <f>'A) Base RI'!A167</f>
        <v>5669</v>
      </c>
      <c r="B168" s="296" t="str">
        <f>'A) Base RI'!B167</f>
        <v>Curtilles</v>
      </c>
      <c r="C168" s="10">
        <f>'A) Base RI'!V167</f>
        <v>313</v>
      </c>
      <c r="D168" s="10">
        <f t="shared" si="8"/>
        <v>313</v>
      </c>
      <c r="E168" s="437">
        <f t="shared" si="11"/>
        <v>0</v>
      </c>
      <c r="F168" s="10">
        <f t="shared" si="11"/>
        <v>0</v>
      </c>
      <c r="G168" s="437">
        <f t="shared" si="11"/>
        <v>0</v>
      </c>
      <c r="H168" s="41">
        <f t="shared" si="11"/>
        <v>0</v>
      </c>
      <c r="I168" s="10">
        <f t="shared" si="11"/>
        <v>0</v>
      </c>
      <c r="J168" s="10">
        <f t="shared" si="9"/>
        <v>0</v>
      </c>
      <c r="K168" s="114">
        <f t="shared" si="10"/>
        <v>39085.638832997982</v>
      </c>
    </row>
    <row r="169" spans="1:11" x14ac:dyDescent="0.25">
      <c r="A169" s="49">
        <f>'A) Base RI'!A168</f>
        <v>5671</v>
      </c>
      <c r="B169" s="296" t="str">
        <f>'A) Base RI'!B168</f>
        <v>Dompierre</v>
      </c>
      <c r="C169" s="10">
        <f>'A) Base RI'!V168</f>
        <v>239</v>
      </c>
      <c r="D169" s="10">
        <f t="shared" si="8"/>
        <v>239</v>
      </c>
      <c r="E169" s="437">
        <f t="shared" si="11"/>
        <v>0</v>
      </c>
      <c r="F169" s="10">
        <f t="shared" si="11"/>
        <v>0</v>
      </c>
      <c r="G169" s="437">
        <f t="shared" si="11"/>
        <v>0</v>
      </c>
      <c r="H169" s="41">
        <f t="shared" si="11"/>
        <v>0</v>
      </c>
      <c r="I169" s="10">
        <f t="shared" si="11"/>
        <v>0</v>
      </c>
      <c r="J169" s="10">
        <f t="shared" si="9"/>
        <v>0</v>
      </c>
      <c r="K169" s="114">
        <f t="shared" si="10"/>
        <v>29844.944668008044</v>
      </c>
    </row>
    <row r="170" spans="1:11" x14ac:dyDescent="0.25">
      <c r="A170" s="49">
        <f>'A) Base RI'!A169</f>
        <v>5673</v>
      </c>
      <c r="B170" s="296" t="str">
        <f>'A) Base RI'!B169</f>
        <v>Hermenches</v>
      </c>
      <c r="C170" s="10">
        <f>'A) Base RI'!V169</f>
        <v>364</v>
      </c>
      <c r="D170" s="10">
        <f t="shared" si="8"/>
        <v>364</v>
      </c>
      <c r="E170" s="437">
        <f t="shared" si="11"/>
        <v>0</v>
      </c>
      <c r="F170" s="10">
        <f t="shared" si="11"/>
        <v>0</v>
      </c>
      <c r="G170" s="437">
        <f t="shared" si="11"/>
        <v>0</v>
      </c>
      <c r="H170" s="41">
        <f t="shared" si="11"/>
        <v>0</v>
      </c>
      <c r="I170" s="10">
        <f t="shared" si="11"/>
        <v>0</v>
      </c>
      <c r="J170" s="10">
        <f t="shared" si="9"/>
        <v>0</v>
      </c>
      <c r="K170" s="114">
        <f t="shared" si="10"/>
        <v>45454.225352112669</v>
      </c>
    </row>
    <row r="171" spans="1:11" x14ac:dyDescent="0.25">
      <c r="A171" s="49">
        <f>'A) Base RI'!A170</f>
        <v>5674</v>
      </c>
      <c r="B171" s="296" t="str">
        <f>'A) Base RI'!B170</f>
        <v>Lovatens</v>
      </c>
      <c r="C171" s="10">
        <f>'A) Base RI'!V170</f>
        <v>146</v>
      </c>
      <c r="D171" s="10">
        <f t="shared" ref="D171:D234" si="12">IF($C171&gt;D$4,IF($C171&lt;D$5,$C171-D$4,D$5-D$4),0)</f>
        <v>146</v>
      </c>
      <c r="E171" s="437">
        <f t="shared" si="11"/>
        <v>0</v>
      </c>
      <c r="F171" s="10">
        <f t="shared" si="11"/>
        <v>0</v>
      </c>
      <c r="G171" s="437">
        <f t="shared" si="11"/>
        <v>0</v>
      </c>
      <c r="H171" s="41">
        <f t="shared" si="11"/>
        <v>0</v>
      </c>
      <c r="I171" s="10">
        <f t="shared" si="11"/>
        <v>0</v>
      </c>
      <c r="J171" s="10">
        <f t="shared" si="9"/>
        <v>0</v>
      </c>
      <c r="K171" s="114">
        <f t="shared" si="10"/>
        <v>18231.639839034204</v>
      </c>
    </row>
    <row r="172" spans="1:11" x14ac:dyDescent="0.25">
      <c r="A172" s="49">
        <f>'A) Base RI'!A171</f>
        <v>5675</v>
      </c>
      <c r="B172" s="296" t="str">
        <f>'A) Base RI'!B171</f>
        <v>Lucens</v>
      </c>
      <c r="C172" s="10">
        <f>'A) Base RI'!V171</f>
        <v>4199</v>
      </c>
      <c r="D172" s="10">
        <f t="shared" si="12"/>
        <v>1000</v>
      </c>
      <c r="E172" s="437">
        <f t="shared" si="11"/>
        <v>2000</v>
      </c>
      <c r="F172" s="10">
        <f t="shared" si="11"/>
        <v>1199</v>
      </c>
      <c r="G172" s="437">
        <f t="shared" si="11"/>
        <v>0</v>
      </c>
      <c r="H172" s="41">
        <f t="shared" si="11"/>
        <v>0</v>
      </c>
      <c r="I172" s="10">
        <f t="shared" si="11"/>
        <v>0</v>
      </c>
      <c r="J172" s="10">
        <f t="shared" si="9"/>
        <v>0</v>
      </c>
      <c r="K172" s="114">
        <f t="shared" si="10"/>
        <v>1423066.9014084504</v>
      </c>
    </row>
    <row r="173" spans="1:11" x14ac:dyDescent="0.25">
      <c r="A173" s="49">
        <f>'A) Base RI'!A172</f>
        <v>5678</v>
      </c>
      <c r="B173" s="296" t="str">
        <f>'A) Base RI'!B172</f>
        <v>Moudon</v>
      </c>
      <c r="C173" s="10">
        <f>'A) Base RI'!V172</f>
        <v>6135</v>
      </c>
      <c r="D173" s="10">
        <f t="shared" si="12"/>
        <v>1000</v>
      </c>
      <c r="E173" s="437">
        <f t="shared" si="11"/>
        <v>2000</v>
      </c>
      <c r="F173" s="10">
        <f t="shared" si="11"/>
        <v>2000</v>
      </c>
      <c r="G173" s="437">
        <f t="shared" si="11"/>
        <v>1135</v>
      </c>
      <c r="H173" s="41">
        <f t="shared" si="11"/>
        <v>0</v>
      </c>
      <c r="I173" s="10">
        <f t="shared" si="11"/>
        <v>0</v>
      </c>
      <c r="J173" s="10">
        <f t="shared" si="9"/>
        <v>0</v>
      </c>
      <c r="K173" s="114">
        <f t="shared" si="10"/>
        <v>2503478.8732394362</v>
      </c>
    </row>
    <row r="174" spans="1:11" x14ac:dyDescent="0.25">
      <c r="A174" s="49">
        <f>'A) Base RI'!A173</f>
        <v>5680</v>
      </c>
      <c r="B174" s="296" t="str">
        <f>'A) Base RI'!B173</f>
        <v>Ogens</v>
      </c>
      <c r="C174" s="10">
        <f>'A) Base RI'!V173</f>
        <v>299</v>
      </c>
      <c r="D174" s="10">
        <f t="shared" si="12"/>
        <v>299</v>
      </c>
      <c r="E174" s="437">
        <f t="shared" si="11"/>
        <v>0</v>
      </c>
      <c r="F174" s="10">
        <f t="shared" si="11"/>
        <v>0</v>
      </c>
      <c r="G174" s="437">
        <f t="shared" si="11"/>
        <v>0</v>
      </c>
      <c r="H174" s="41">
        <f t="shared" si="11"/>
        <v>0</v>
      </c>
      <c r="I174" s="10">
        <f t="shared" si="11"/>
        <v>0</v>
      </c>
      <c r="J174" s="10">
        <f t="shared" si="9"/>
        <v>0</v>
      </c>
      <c r="K174" s="114">
        <f t="shared" si="10"/>
        <v>37337.399396378263</v>
      </c>
    </row>
    <row r="175" spans="1:11" x14ac:dyDescent="0.25">
      <c r="A175" s="49">
        <f>'A) Base RI'!A174</f>
        <v>5683</v>
      </c>
      <c r="B175" s="296" t="str">
        <f>'A) Base RI'!B174</f>
        <v>Prévonloup</v>
      </c>
      <c r="C175" s="10">
        <f>'A) Base RI'!V174</f>
        <v>184</v>
      </c>
      <c r="D175" s="10">
        <f t="shared" si="12"/>
        <v>184</v>
      </c>
      <c r="E175" s="437">
        <f t="shared" si="11"/>
        <v>0</v>
      </c>
      <c r="F175" s="10">
        <f t="shared" si="11"/>
        <v>0</v>
      </c>
      <c r="G175" s="437">
        <f t="shared" si="11"/>
        <v>0</v>
      </c>
      <c r="H175" s="41">
        <f t="shared" si="11"/>
        <v>0</v>
      </c>
      <c r="I175" s="10">
        <f t="shared" si="11"/>
        <v>0</v>
      </c>
      <c r="J175" s="10">
        <f t="shared" si="9"/>
        <v>0</v>
      </c>
      <c r="K175" s="114">
        <f t="shared" si="10"/>
        <v>22976.861167002007</v>
      </c>
    </row>
    <row r="176" spans="1:11" x14ac:dyDescent="0.25">
      <c r="A176" s="49">
        <f>'A) Base RI'!A175</f>
        <v>5684</v>
      </c>
      <c r="B176" s="296" t="str">
        <f>'A) Base RI'!B175</f>
        <v>Rossenges</v>
      </c>
      <c r="C176" s="10">
        <f>'A) Base RI'!V175</f>
        <v>65</v>
      </c>
      <c r="D176" s="10">
        <f t="shared" si="12"/>
        <v>65</v>
      </c>
      <c r="E176" s="437">
        <f t="shared" si="11"/>
        <v>0</v>
      </c>
      <c r="F176" s="10">
        <f t="shared" si="11"/>
        <v>0</v>
      </c>
      <c r="G176" s="437">
        <f t="shared" si="11"/>
        <v>0</v>
      </c>
      <c r="H176" s="41">
        <f t="shared" si="11"/>
        <v>0</v>
      </c>
      <c r="I176" s="10">
        <f t="shared" si="11"/>
        <v>0</v>
      </c>
      <c r="J176" s="10">
        <f t="shared" si="9"/>
        <v>0</v>
      </c>
      <c r="K176" s="114">
        <f t="shared" si="10"/>
        <v>8116.8259557344054</v>
      </c>
    </row>
    <row r="177" spans="1:11" x14ac:dyDescent="0.25">
      <c r="A177" s="49">
        <f>'A) Base RI'!A176</f>
        <v>5688</v>
      </c>
      <c r="B177" s="296" t="str">
        <f>'A) Base RI'!B176</f>
        <v>Syens</v>
      </c>
      <c r="C177" s="10">
        <f>'A) Base RI'!V176</f>
        <v>159</v>
      </c>
      <c r="D177" s="10">
        <f t="shared" si="12"/>
        <v>159</v>
      </c>
      <c r="E177" s="437">
        <f t="shared" si="11"/>
        <v>0</v>
      </c>
      <c r="F177" s="10">
        <f t="shared" si="11"/>
        <v>0</v>
      </c>
      <c r="G177" s="437">
        <f t="shared" si="11"/>
        <v>0</v>
      </c>
      <c r="H177" s="41">
        <f t="shared" si="11"/>
        <v>0</v>
      </c>
      <c r="I177" s="10">
        <f t="shared" si="11"/>
        <v>0</v>
      </c>
      <c r="J177" s="10">
        <f t="shared" si="9"/>
        <v>0</v>
      </c>
      <c r="K177" s="114">
        <f t="shared" si="10"/>
        <v>19855.005030181084</v>
      </c>
    </row>
    <row r="178" spans="1:11" x14ac:dyDescent="0.25">
      <c r="A178" s="49">
        <f>'A) Base RI'!A177</f>
        <v>5690</v>
      </c>
      <c r="B178" s="296" t="str">
        <f>'A) Base RI'!B177</f>
        <v>Villars-le-Comte</v>
      </c>
      <c r="C178" s="10">
        <f>'A) Base RI'!V177</f>
        <v>132</v>
      </c>
      <c r="D178" s="10">
        <f t="shared" si="12"/>
        <v>132</v>
      </c>
      <c r="E178" s="437">
        <f t="shared" si="11"/>
        <v>0</v>
      </c>
      <c r="F178" s="10">
        <f t="shared" si="11"/>
        <v>0</v>
      </c>
      <c r="G178" s="437">
        <f t="shared" si="11"/>
        <v>0</v>
      </c>
      <c r="H178" s="41">
        <f t="shared" si="11"/>
        <v>0</v>
      </c>
      <c r="I178" s="10">
        <f t="shared" si="11"/>
        <v>0</v>
      </c>
      <c r="J178" s="10">
        <f t="shared" si="9"/>
        <v>0</v>
      </c>
      <c r="K178" s="114">
        <f t="shared" si="10"/>
        <v>16483.400402414485</v>
      </c>
    </row>
    <row r="179" spans="1:11" x14ac:dyDescent="0.25">
      <c r="A179" s="49">
        <f>'A) Base RI'!A178</f>
        <v>5692</v>
      </c>
      <c r="B179" s="296" t="str">
        <f>'A) Base RI'!B178</f>
        <v>Vucherens</v>
      </c>
      <c r="C179" s="10">
        <f>'A) Base RI'!V178</f>
        <v>577</v>
      </c>
      <c r="D179" s="10">
        <f t="shared" si="12"/>
        <v>577</v>
      </c>
      <c r="E179" s="437">
        <f t="shared" si="11"/>
        <v>0</v>
      </c>
      <c r="F179" s="10">
        <f t="shared" si="11"/>
        <v>0</v>
      </c>
      <c r="G179" s="437">
        <f t="shared" si="11"/>
        <v>0</v>
      </c>
      <c r="H179" s="41">
        <f t="shared" si="11"/>
        <v>0</v>
      </c>
      <c r="I179" s="10">
        <f t="shared" si="11"/>
        <v>0</v>
      </c>
      <c r="J179" s="10">
        <f t="shared" si="9"/>
        <v>0</v>
      </c>
      <c r="K179" s="114">
        <f t="shared" si="10"/>
        <v>72052.439637826945</v>
      </c>
    </row>
    <row r="180" spans="1:11" x14ac:dyDescent="0.25">
      <c r="A180" s="49">
        <f>'A) Base RI'!A179</f>
        <v>5693</v>
      </c>
      <c r="B180" s="296" t="str">
        <f>'A) Base RI'!B179</f>
        <v>Montanaire</v>
      </c>
      <c r="C180" s="10">
        <f>'A) Base RI'!V179</f>
        <v>2685</v>
      </c>
      <c r="D180" s="10">
        <f t="shared" si="12"/>
        <v>1000</v>
      </c>
      <c r="E180" s="437">
        <f t="shared" si="11"/>
        <v>1685</v>
      </c>
      <c r="F180" s="10">
        <f t="shared" si="11"/>
        <v>0</v>
      </c>
      <c r="G180" s="437">
        <f t="shared" si="11"/>
        <v>0</v>
      </c>
      <c r="H180" s="41">
        <f t="shared" si="11"/>
        <v>0</v>
      </c>
      <c r="I180" s="10">
        <f t="shared" si="11"/>
        <v>0</v>
      </c>
      <c r="J180" s="10">
        <f t="shared" si="9"/>
        <v>0</v>
      </c>
      <c r="K180" s="114">
        <f t="shared" si="10"/>
        <v>714030.93561368203</v>
      </c>
    </row>
    <row r="181" spans="1:11" x14ac:dyDescent="0.25">
      <c r="A181" s="49">
        <f>'A) Base RI'!A180</f>
        <v>5701</v>
      </c>
      <c r="B181" s="296" t="str">
        <f>'A) Base RI'!B180</f>
        <v>Arnex-sur-Nyon</v>
      </c>
      <c r="C181" s="10">
        <f>'A) Base RI'!V180</f>
        <v>235</v>
      </c>
      <c r="D181" s="10">
        <f t="shared" si="12"/>
        <v>235</v>
      </c>
      <c r="E181" s="437">
        <f t="shared" si="11"/>
        <v>0</v>
      </c>
      <c r="F181" s="10">
        <f t="shared" si="11"/>
        <v>0</v>
      </c>
      <c r="G181" s="437">
        <f t="shared" si="11"/>
        <v>0</v>
      </c>
      <c r="H181" s="41">
        <f t="shared" si="11"/>
        <v>0</v>
      </c>
      <c r="I181" s="10">
        <f t="shared" si="11"/>
        <v>0</v>
      </c>
      <c r="J181" s="10">
        <f t="shared" si="9"/>
        <v>0</v>
      </c>
      <c r="K181" s="114">
        <f t="shared" si="10"/>
        <v>29345.447686116695</v>
      </c>
    </row>
    <row r="182" spans="1:11" x14ac:dyDescent="0.25">
      <c r="A182" s="49">
        <f>'A) Base RI'!A181</f>
        <v>5702</v>
      </c>
      <c r="B182" s="296" t="str">
        <f>'A) Base RI'!B181</f>
        <v>Arzier-Le Muids</v>
      </c>
      <c r="C182" s="10">
        <f>'A) Base RI'!V181</f>
        <v>2697</v>
      </c>
      <c r="D182" s="10">
        <f t="shared" si="12"/>
        <v>1000</v>
      </c>
      <c r="E182" s="437">
        <f t="shared" si="11"/>
        <v>1697</v>
      </c>
      <c r="F182" s="10">
        <f t="shared" si="11"/>
        <v>0</v>
      </c>
      <c r="G182" s="437">
        <f t="shared" si="11"/>
        <v>0</v>
      </c>
      <c r="H182" s="41">
        <f t="shared" si="11"/>
        <v>0</v>
      </c>
      <c r="I182" s="10">
        <f t="shared" si="11"/>
        <v>0</v>
      </c>
      <c r="J182" s="10">
        <f t="shared" si="9"/>
        <v>0</v>
      </c>
      <c r="K182" s="114">
        <f t="shared" si="10"/>
        <v>718226.71026156936</v>
      </c>
    </row>
    <row r="183" spans="1:11" x14ac:dyDescent="0.25">
      <c r="A183" s="49">
        <f>'A) Base RI'!A182</f>
        <v>5703</v>
      </c>
      <c r="B183" s="296" t="str">
        <f>'A) Base RI'!B182</f>
        <v>Bassins</v>
      </c>
      <c r="C183" s="10">
        <f>'A) Base RI'!V182</f>
        <v>1347</v>
      </c>
      <c r="D183" s="10">
        <f t="shared" si="12"/>
        <v>1000</v>
      </c>
      <c r="E183" s="437">
        <f t="shared" si="11"/>
        <v>347</v>
      </c>
      <c r="F183" s="10">
        <f t="shared" si="11"/>
        <v>0</v>
      </c>
      <c r="G183" s="437">
        <f t="shared" si="11"/>
        <v>0</v>
      </c>
      <c r="H183" s="41">
        <f t="shared" si="11"/>
        <v>0</v>
      </c>
      <c r="I183" s="10">
        <f t="shared" si="11"/>
        <v>0</v>
      </c>
      <c r="J183" s="10">
        <f t="shared" si="9"/>
        <v>0</v>
      </c>
      <c r="K183" s="114">
        <f t="shared" si="10"/>
        <v>246202.06237424543</v>
      </c>
    </row>
    <row r="184" spans="1:11" x14ac:dyDescent="0.25">
      <c r="A184" s="49">
        <f>'A) Base RI'!A183</f>
        <v>5704</v>
      </c>
      <c r="B184" s="296" t="str">
        <f>'A) Base RI'!B183</f>
        <v>Begnins</v>
      </c>
      <c r="C184" s="10">
        <f>'A) Base RI'!V183</f>
        <v>1952</v>
      </c>
      <c r="D184" s="10">
        <f t="shared" si="12"/>
        <v>1000</v>
      </c>
      <c r="E184" s="437">
        <f t="shared" si="11"/>
        <v>952</v>
      </c>
      <c r="F184" s="10">
        <f t="shared" si="11"/>
        <v>0</v>
      </c>
      <c r="G184" s="437">
        <f t="shared" si="11"/>
        <v>0</v>
      </c>
      <c r="H184" s="41">
        <f t="shared" si="11"/>
        <v>0</v>
      </c>
      <c r="I184" s="10">
        <f t="shared" si="11"/>
        <v>0</v>
      </c>
      <c r="J184" s="10">
        <f t="shared" si="9"/>
        <v>0</v>
      </c>
      <c r="K184" s="114">
        <f t="shared" si="10"/>
        <v>457739.03420523135</v>
      </c>
    </row>
    <row r="185" spans="1:11" x14ac:dyDescent="0.25">
      <c r="A185" s="49">
        <f>'A) Base RI'!A184</f>
        <v>5705</v>
      </c>
      <c r="B185" s="296" t="str">
        <f>'A) Base RI'!B184</f>
        <v>Bogis-Bossey</v>
      </c>
      <c r="C185" s="10">
        <f>'A) Base RI'!V184</f>
        <v>867</v>
      </c>
      <c r="D185" s="10">
        <f t="shared" si="12"/>
        <v>867</v>
      </c>
      <c r="E185" s="437">
        <f t="shared" si="11"/>
        <v>0</v>
      </c>
      <c r="F185" s="10">
        <f t="shared" si="11"/>
        <v>0</v>
      </c>
      <c r="G185" s="437">
        <f t="shared" si="11"/>
        <v>0</v>
      </c>
      <c r="H185" s="41">
        <f t="shared" si="11"/>
        <v>0</v>
      </c>
      <c r="I185" s="10">
        <f t="shared" si="11"/>
        <v>0</v>
      </c>
      <c r="J185" s="10">
        <f t="shared" si="9"/>
        <v>0</v>
      </c>
      <c r="K185" s="114">
        <f t="shared" si="10"/>
        <v>108265.97082494968</v>
      </c>
    </row>
    <row r="186" spans="1:11" x14ac:dyDescent="0.25">
      <c r="A186" s="49">
        <f>'A) Base RI'!A185</f>
        <v>5706</v>
      </c>
      <c r="B186" s="296" t="str">
        <f>'A) Base RI'!B185</f>
        <v>Borex</v>
      </c>
      <c r="C186" s="10">
        <f>'A) Base RI'!V185</f>
        <v>1140</v>
      </c>
      <c r="D186" s="10">
        <f t="shared" si="12"/>
        <v>1000</v>
      </c>
      <c r="E186" s="437">
        <f t="shared" si="11"/>
        <v>140</v>
      </c>
      <c r="F186" s="10">
        <f t="shared" si="11"/>
        <v>0</v>
      </c>
      <c r="G186" s="437">
        <f t="shared" si="11"/>
        <v>0</v>
      </c>
      <c r="H186" s="41">
        <f t="shared" si="11"/>
        <v>0</v>
      </c>
      <c r="I186" s="10">
        <f t="shared" si="11"/>
        <v>0</v>
      </c>
      <c r="J186" s="10">
        <f t="shared" si="9"/>
        <v>0</v>
      </c>
      <c r="K186" s="114">
        <f t="shared" si="10"/>
        <v>173824.9496981891</v>
      </c>
    </row>
    <row r="187" spans="1:11" x14ac:dyDescent="0.25">
      <c r="A187" s="49">
        <f>'A) Base RI'!A186</f>
        <v>5707</v>
      </c>
      <c r="B187" s="296" t="str">
        <f>'A) Base RI'!B186</f>
        <v>Chavannes-de-Bogis</v>
      </c>
      <c r="C187" s="10">
        <f>'A) Base RI'!V186</f>
        <v>1281</v>
      </c>
      <c r="D187" s="10">
        <f t="shared" si="12"/>
        <v>1000</v>
      </c>
      <c r="E187" s="437">
        <f t="shared" si="11"/>
        <v>281</v>
      </c>
      <c r="F187" s="10">
        <f t="shared" si="11"/>
        <v>0</v>
      </c>
      <c r="G187" s="437">
        <f t="shared" si="11"/>
        <v>0</v>
      </c>
      <c r="H187" s="41">
        <f t="shared" si="11"/>
        <v>0</v>
      </c>
      <c r="I187" s="10">
        <f t="shared" si="11"/>
        <v>0</v>
      </c>
      <c r="J187" s="10">
        <f t="shared" si="9"/>
        <v>0</v>
      </c>
      <c r="K187" s="114">
        <f t="shared" si="10"/>
        <v>223125.30181086517</v>
      </c>
    </row>
    <row r="188" spans="1:11" x14ac:dyDescent="0.25">
      <c r="A188" s="49">
        <f>'A) Base RI'!A187</f>
        <v>5708</v>
      </c>
      <c r="B188" s="296" t="str">
        <f>'A) Base RI'!B187</f>
        <v>Chavannes-des-Bois</v>
      </c>
      <c r="C188" s="10">
        <f>'A) Base RI'!V187</f>
        <v>964</v>
      </c>
      <c r="D188" s="10">
        <f t="shared" si="12"/>
        <v>964</v>
      </c>
      <c r="E188" s="437">
        <f t="shared" si="11"/>
        <v>0</v>
      </c>
      <c r="F188" s="10">
        <f t="shared" si="11"/>
        <v>0</v>
      </c>
      <c r="G188" s="437">
        <f t="shared" si="11"/>
        <v>0</v>
      </c>
      <c r="H188" s="41">
        <f t="shared" si="11"/>
        <v>0</v>
      </c>
      <c r="I188" s="10">
        <f t="shared" si="11"/>
        <v>0</v>
      </c>
      <c r="J188" s="10">
        <f t="shared" si="9"/>
        <v>0</v>
      </c>
      <c r="K188" s="114">
        <f t="shared" si="10"/>
        <v>120378.77263581486</v>
      </c>
    </row>
    <row r="189" spans="1:11" x14ac:dyDescent="0.25">
      <c r="A189" s="49">
        <f>'A) Base RI'!A188</f>
        <v>5709</v>
      </c>
      <c r="B189" s="296" t="str">
        <f>'A) Base RI'!B188</f>
        <v>Chéserex</v>
      </c>
      <c r="C189" s="10">
        <f>'A) Base RI'!V188</f>
        <v>1227</v>
      </c>
      <c r="D189" s="10">
        <f t="shared" si="12"/>
        <v>1000</v>
      </c>
      <c r="E189" s="437">
        <f t="shared" si="11"/>
        <v>227</v>
      </c>
      <c r="F189" s="10">
        <f t="shared" si="11"/>
        <v>0</v>
      </c>
      <c r="G189" s="437">
        <f t="shared" si="11"/>
        <v>0</v>
      </c>
      <c r="H189" s="41">
        <f t="shared" si="11"/>
        <v>0</v>
      </c>
      <c r="I189" s="10">
        <f t="shared" si="11"/>
        <v>0</v>
      </c>
      <c r="J189" s="10">
        <f t="shared" si="9"/>
        <v>0</v>
      </c>
      <c r="K189" s="114">
        <f t="shared" si="10"/>
        <v>204244.31589537222</v>
      </c>
    </row>
    <row r="190" spans="1:11" x14ac:dyDescent="0.25">
      <c r="A190" s="49">
        <f>'A) Base RI'!A189</f>
        <v>5710</v>
      </c>
      <c r="B190" s="296" t="str">
        <f>'A) Base RI'!B189</f>
        <v>Coinsins</v>
      </c>
      <c r="C190" s="10">
        <f>'A) Base RI'!V189</f>
        <v>499</v>
      </c>
      <c r="D190" s="10">
        <f t="shared" si="12"/>
        <v>499</v>
      </c>
      <c r="E190" s="437">
        <f t="shared" si="11"/>
        <v>0</v>
      </c>
      <c r="F190" s="10">
        <f t="shared" si="11"/>
        <v>0</v>
      </c>
      <c r="G190" s="437">
        <f t="shared" si="11"/>
        <v>0</v>
      </c>
      <c r="H190" s="41">
        <f t="shared" si="11"/>
        <v>0</v>
      </c>
      <c r="I190" s="10">
        <f t="shared" si="11"/>
        <v>0</v>
      </c>
      <c r="J190" s="10">
        <f t="shared" si="9"/>
        <v>0</v>
      </c>
      <c r="K190" s="114">
        <f t="shared" si="10"/>
        <v>62312.248490945662</v>
      </c>
    </row>
    <row r="191" spans="1:11" x14ac:dyDescent="0.25">
      <c r="A191" s="49">
        <f>'A) Base RI'!A190</f>
        <v>5711</v>
      </c>
      <c r="B191" s="296" t="str">
        <f>'A) Base RI'!B190</f>
        <v>Commugny</v>
      </c>
      <c r="C191" s="10">
        <f>'A) Base RI'!V190</f>
        <v>2877</v>
      </c>
      <c r="D191" s="10">
        <f t="shared" si="12"/>
        <v>1000</v>
      </c>
      <c r="E191" s="437">
        <f t="shared" si="11"/>
        <v>1877</v>
      </c>
      <c r="F191" s="10">
        <f t="shared" si="11"/>
        <v>0</v>
      </c>
      <c r="G191" s="437">
        <f t="shared" si="11"/>
        <v>0</v>
      </c>
      <c r="H191" s="41">
        <f t="shared" si="11"/>
        <v>0</v>
      </c>
      <c r="I191" s="10">
        <f t="shared" si="11"/>
        <v>0</v>
      </c>
      <c r="J191" s="10">
        <f t="shared" si="9"/>
        <v>0</v>
      </c>
      <c r="K191" s="114">
        <f t="shared" si="10"/>
        <v>781163.3299798792</v>
      </c>
    </row>
    <row r="192" spans="1:11" x14ac:dyDescent="0.25">
      <c r="A192" s="49">
        <f>'A) Base RI'!A191</f>
        <v>5712</v>
      </c>
      <c r="B192" s="296" t="str">
        <f>'A) Base RI'!B191</f>
        <v>Coppet</v>
      </c>
      <c r="C192" s="10">
        <f>'A) Base RI'!V191</f>
        <v>3126</v>
      </c>
      <c r="D192" s="10">
        <f t="shared" si="12"/>
        <v>1000</v>
      </c>
      <c r="E192" s="437">
        <f t="shared" si="11"/>
        <v>2000</v>
      </c>
      <c r="F192" s="10">
        <f t="shared" si="11"/>
        <v>126</v>
      </c>
      <c r="G192" s="437">
        <f t="shared" si="11"/>
        <v>0</v>
      </c>
      <c r="H192" s="41">
        <f t="shared" si="11"/>
        <v>0</v>
      </c>
      <c r="I192" s="10">
        <f t="shared" si="11"/>
        <v>0</v>
      </c>
      <c r="J192" s="10">
        <f t="shared" si="9"/>
        <v>0</v>
      </c>
      <c r="K192" s="114">
        <f t="shared" si="10"/>
        <v>887106.63983903406</v>
      </c>
    </row>
    <row r="193" spans="1:11" x14ac:dyDescent="0.25">
      <c r="A193" s="49">
        <f>'A) Base RI'!A192</f>
        <v>5713</v>
      </c>
      <c r="B193" s="296" t="str">
        <f>'A) Base RI'!B192</f>
        <v>Crans-près-Céligny</v>
      </c>
      <c r="C193" s="10">
        <f>'A) Base RI'!V192</f>
        <v>2193</v>
      </c>
      <c r="D193" s="10">
        <f t="shared" si="12"/>
        <v>1000</v>
      </c>
      <c r="E193" s="437">
        <f t="shared" si="11"/>
        <v>1193</v>
      </c>
      <c r="F193" s="10">
        <f t="shared" si="11"/>
        <v>0</v>
      </c>
      <c r="G193" s="437">
        <f t="shared" si="11"/>
        <v>0</v>
      </c>
      <c r="H193" s="41">
        <f t="shared" si="11"/>
        <v>0</v>
      </c>
      <c r="I193" s="10">
        <f t="shared" si="11"/>
        <v>0</v>
      </c>
      <c r="J193" s="10">
        <f t="shared" si="9"/>
        <v>0</v>
      </c>
      <c r="K193" s="114">
        <f t="shared" si="10"/>
        <v>542004.17505030171</v>
      </c>
    </row>
    <row r="194" spans="1:11" x14ac:dyDescent="0.25">
      <c r="A194" s="49">
        <f>'A) Base RI'!A193</f>
        <v>5714</v>
      </c>
      <c r="B194" s="296" t="str">
        <f>'A) Base RI'!B193</f>
        <v>Crassier</v>
      </c>
      <c r="C194" s="10">
        <f>'A) Base RI'!V193</f>
        <v>1175</v>
      </c>
      <c r="D194" s="10">
        <f t="shared" si="12"/>
        <v>1000</v>
      </c>
      <c r="E194" s="437">
        <f t="shared" si="11"/>
        <v>175</v>
      </c>
      <c r="F194" s="10">
        <f t="shared" si="11"/>
        <v>0</v>
      </c>
      <c r="G194" s="437">
        <f t="shared" si="11"/>
        <v>0</v>
      </c>
      <c r="H194" s="41">
        <f t="shared" si="11"/>
        <v>0</v>
      </c>
      <c r="I194" s="10">
        <f t="shared" si="11"/>
        <v>0</v>
      </c>
      <c r="J194" s="10">
        <f t="shared" si="9"/>
        <v>0</v>
      </c>
      <c r="K194" s="114">
        <f t="shared" si="10"/>
        <v>186062.62575452714</v>
      </c>
    </row>
    <row r="195" spans="1:11" x14ac:dyDescent="0.25">
      <c r="A195" s="49">
        <f>'A) Base RI'!A194</f>
        <v>5715</v>
      </c>
      <c r="B195" s="296" t="str">
        <f>'A) Base RI'!B194</f>
        <v>Duillier</v>
      </c>
      <c r="C195" s="10">
        <f>'A) Base RI'!V194</f>
        <v>1085</v>
      </c>
      <c r="D195" s="10">
        <f t="shared" si="12"/>
        <v>1000</v>
      </c>
      <c r="E195" s="437">
        <f t="shared" si="11"/>
        <v>85</v>
      </c>
      <c r="F195" s="10">
        <f t="shared" si="11"/>
        <v>0</v>
      </c>
      <c r="G195" s="437">
        <f t="shared" si="11"/>
        <v>0</v>
      </c>
      <c r="H195" s="41">
        <f t="shared" si="11"/>
        <v>0</v>
      </c>
      <c r="I195" s="10">
        <f t="shared" si="11"/>
        <v>0</v>
      </c>
      <c r="J195" s="10">
        <f t="shared" si="9"/>
        <v>0</v>
      </c>
      <c r="K195" s="114">
        <f t="shared" si="10"/>
        <v>154594.31589537222</v>
      </c>
    </row>
    <row r="196" spans="1:11" x14ac:dyDescent="0.25">
      <c r="A196" s="49">
        <f>'A) Base RI'!A195</f>
        <v>5716</v>
      </c>
      <c r="B196" s="296" t="str">
        <f>'A) Base RI'!B195</f>
        <v>Eysins</v>
      </c>
      <c r="C196" s="10">
        <f>'A) Base RI'!V195</f>
        <v>1618</v>
      </c>
      <c r="D196" s="10">
        <f t="shared" si="12"/>
        <v>1000</v>
      </c>
      <c r="E196" s="437">
        <f t="shared" si="11"/>
        <v>618</v>
      </c>
      <c r="F196" s="10">
        <f t="shared" si="11"/>
        <v>0</v>
      </c>
      <c r="G196" s="437">
        <f t="shared" si="11"/>
        <v>0</v>
      </c>
      <c r="H196" s="41">
        <f t="shared" si="11"/>
        <v>0</v>
      </c>
      <c r="I196" s="10">
        <f t="shared" si="11"/>
        <v>0</v>
      </c>
      <c r="J196" s="10">
        <f t="shared" si="9"/>
        <v>0</v>
      </c>
      <c r="K196" s="114">
        <f t="shared" si="10"/>
        <v>340956.63983903418</v>
      </c>
    </row>
    <row r="197" spans="1:11" x14ac:dyDescent="0.25">
      <c r="A197" s="49">
        <f>'A) Base RI'!A196</f>
        <v>5717</v>
      </c>
      <c r="B197" s="296" t="str">
        <f>'A) Base RI'!B196</f>
        <v>Founex</v>
      </c>
      <c r="C197" s="10">
        <f>'A) Base RI'!V196</f>
        <v>3790</v>
      </c>
      <c r="D197" s="10">
        <f t="shared" si="12"/>
        <v>1000</v>
      </c>
      <c r="E197" s="437">
        <f t="shared" si="11"/>
        <v>2000</v>
      </c>
      <c r="F197" s="10">
        <f t="shared" si="11"/>
        <v>790</v>
      </c>
      <c r="G197" s="437">
        <f t="shared" si="11"/>
        <v>0</v>
      </c>
      <c r="H197" s="41">
        <f t="shared" si="11"/>
        <v>0</v>
      </c>
      <c r="I197" s="10">
        <f t="shared" si="11"/>
        <v>0</v>
      </c>
      <c r="J197" s="10">
        <f t="shared" si="9"/>
        <v>0</v>
      </c>
      <c r="K197" s="114">
        <f t="shared" si="10"/>
        <v>1218772.6358148891</v>
      </c>
    </row>
    <row r="198" spans="1:11" x14ac:dyDescent="0.25">
      <c r="A198" s="49">
        <f>'A) Base RI'!A197</f>
        <v>5718</v>
      </c>
      <c r="B198" s="296" t="str">
        <f>'A) Base RI'!B197</f>
        <v>Genolier</v>
      </c>
      <c r="C198" s="10">
        <f>'A) Base RI'!V197</f>
        <v>1961</v>
      </c>
      <c r="D198" s="10">
        <f t="shared" si="12"/>
        <v>1000</v>
      </c>
      <c r="E198" s="437">
        <f t="shared" si="11"/>
        <v>961</v>
      </c>
      <c r="F198" s="10">
        <f t="shared" si="11"/>
        <v>0</v>
      </c>
      <c r="G198" s="437">
        <f t="shared" si="11"/>
        <v>0</v>
      </c>
      <c r="H198" s="41">
        <f t="shared" si="11"/>
        <v>0</v>
      </c>
      <c r="I198" s="10">
        <f t="shared" si="11"/>
        <v>0</v>
      </c>
      <c r="J198" s="10">
        <f t="shared" si="9"/>
        <v>0</v>
      </c>
      <c r="K198" s="114">
        <f t="shared" si="10"/>
        <v>460885.86519114685</v>
      </c>
    </row>
    <row r="199" spans="1:11" x14ac:dyDescent="0.25">
      <c r="A199" s="49">
        <f>'A) Base RI'!A198</f>
        <v>5719</v>
      </c>
      <c r="B199" s="296" t="str">
        <f>'A) Base RI'!B198</f>
        <v>Gingins</v>
      </c>
      <c r="C199" s="10">
        <f>'A) Base RI'!V198</f>
        <v>1226</v>
      </c>
      <c r="D199" s="10">
        <f t="shared" si="12"/>
        <v>1000</v>
      </c>
      <c r="E199" s="437">
        <f t="shared" si="11"/>
        <v>226</v>
      </c>
      <c r="F199" s="10">
        <f t="shared" si="11"/>
        <v>0</v>
      </c>
      <c r="G199" s="437">
        <f t="shared" si="11"/>
        <v>0</v>
      </c>
      <c r="H199" s="41">
        <f t="shared" si="11"/>
        <v>0</v>
      </c>
      <c r="I199" s="10">
        <f t="shared" si="11"/>
        <v>0</v>
      </c>
      <c r="J199" s="10">
        <f t="shared" si="9"/>
        <v>0</v>
      </c>
      <c r="K199" s="114">
        <f t="shared" si="10"/>
        <v>203894.66800804826</v>
      </c>
    </row>
    <row r="200" spans="1:11" x14ac:dyDescent="0.25">
      <c r="A200" s="49">
        <f>'A) Base RI'!A199</f>
        <v>5720</v>
      </c>
      <c r="B200" s="296" t="str">
        <f>'A) Base RI'!B199</f>
        <v>Givrins</v>
      </c>
      <c r="C200" s="10">
        <f>'A) Base RI'!V199</f>
        <v>1033</v>
      </c>
      <c r="D200" s="10">
        <f t="shared" si="12"/>
        <v>1000</v>
      </c>
      <c r="E200" s="437">
        <f t="shared" si="11"/>
        <v>33</v>
      </c>
      <c r="F200" s="10">
        <f t="shared" si="11"/>
        <v>0</v>
      </c>
      <c r="G200" s="437">
        <f t="shared" si="11"/>
        <v>0</v>
      </c>
      <c r="H200" s="41">
        <f t="shared" si="11"/>
        <v>0</v>
      </c>
      <c r="I200" s="10">
        <f t="shared" si="11"/>
        <v>0</v>
      </c>
      <c r="J200" s="10">
        <f t="shared" si="9"/>
        <v>0</v>
      </c>
      <c r="K200" s="114">
        <f t="shared" si="10"/>
        <v>136412.62575452714</v>
      </c>
    </row>
    <row r="201" spans="1:11" x14ac:dyDescent="0.25">
      <c r="A201" s="49">
        <f>'A) Base RI'!A200</f>
        <v>5721</v>
      </c>
      <c r="B201" s="296" t="str">
        <f>'A) Base RI'!B200</f>
        <v>Gland</v>
      </c>
      <c r="C201" s="10">
        <f>'A) Base RI'!V200</f>
        <v>13101</v>
      </c>
      <c r="D201" s="10">
        <f t="shared" si="12"/>
        <v>1000</v>
      </c>
      <c r="E201" s="437">
        <f t="shared" si="11"/>
        <v>2000</v>
      </c>
      <c r="F201" s="10">
        <f t="shared" si="11"/>
        <v>2000</v>
      </c>
      <c r="G201" s="437">
        <f t="shared" si="11"/>
        <v>4000</v>
      </c>
      <c r="H201" s="41">
        <f t="shared" si="11"/>
        <v>3000</v>
      </c>
      <c r="I201" s="10">
        <f t="shared" si="11"/>
        <v>1101</v>
      </c>
      <c r="J201" s="10">
        <f t="shared" ref="J201:J264" si="13">IF(C201&gt;$J$4,C201-$J$4,0)</f>
        <v>0</v>
      </c>
      <c r="K201" s="114">
        <f t="shared" ref="K201:K264" si="14">(D201*D$7)+(E201*E$7)+(F201*F$7)+(G201*G$7)+(H201*H$7)+(I201*I$7)+(J201*J$7)</f>
        <v>7868076.4587525139</v>
      </c>
    </row>
    <row r="202" spans="1:11" x14ac:dyDescent="0.25">
      <c r="A202" s="49">
        <f>'A) Base RI'!A201</f>
        <v>5722</v>
      </c>
      <c r="B202" s="296" t="str">
        <f>'A) Base RI'!B201</f>
        <v>Grens</v>
      </c>
      <c r="C202" s="10">
        <f>'A) Base RI'!V201</f>
        <v>391</v>
      </c>
      <c r="D202" s="10">
        <f t="shared" si="12"/>
        <v>391</v>
      </c>
      <c r="E202" s="437">
        <f t="shared" si="11"/>
        <v>0</v>
      </c>
      <c r="F202" s="10">
        <f t="shared" si="11"/>
        <v>0</v>
      </c>
      <c r="G202" s="437">
        <f t="shared" si="11"/>
        <v>0</v>
      </c>
      <c r="H202" s="41">
        <f t="shared" si="11"/>
        <v>0</v>
      </c>
      <c r="I202" s="10">
        <f t="shared" si="11"/>
        <v>0</v>
      </c>
      <c r="J202" s="10">
        <f t="shared" si="13"/>
        <v>0</v>
      </c>
      <c r="K202" s="114">
        <f t="shared" si="14"/>
        <v>48825.829979879265</v>
      </c>
    </row>
    <row r="203" spans="1:11" x14ac:dyDescent="0.25">
      <c r="A203" s="49">
        <f>'A) Base RI'!A202</f>
        <v>5723</v>
      </c>
      <c r="B203" s="296" t="str">
        <f>'A) Base RI'!B202</f>
        <v>Mies</v>
      </c>
      <c r="C203" s="10">
        <f>'A) Base RI'!V202</f>
        <v>2075</v>
      </c>
      <c r="D203" s="10">
        <f t="shared" si="12"/>
        <v>1000</v>
      </c>
      <c r="E203" s="437">
        <f t="shared" si="11"/>
        <v>1075</v>
      </c>
      <c r="F203" s="10">
        <f t="shared" si="11"/>
        <v>0</v>
      </c>
      <c r="G203" s="437">
        <f t="shared" si="11"/>
        <v>0</v>
      </c>
      <c r="H203" s="41">
        <f t="shared" si="11"/>
        <v>0</v>
      </c>
      <c r="I203" s="10">
        <f t="shared" si="11"/>
        <v>0</v>
      </c>
      <c r="J203" s="10">
        <f t="shared" si="13"/>
        <v>0</v>
      </c>
      <c r="K203" s="114">
        <f t="shared" si="14"/>
        <v>500745.72434607637</v>
      </c>
    </row>
    <row r="204" spans="1:11" x14ac:dyDescent="0.25">
      <c r="A204" s="49">
        <f>'A) Base RI'!A203</f>
        <v>5724</v>
      </c>
      <c r="B204" s="296" t="str">
        <f>'A) Base RI'!B203</f>
        <v>Nyon</v>
      </c>
      <c r="C204" s="10">
        <f>'A) Base RI'!V203</f>
        <v>21239</v>
      </c>
      <c r="D204" s="10">
        <f t="shared" si="12"/>
        <v>1000</v>
      </c>
      <c r="E204" s="437">
        <f t="shared" si="11"/>
        <v>2000</v>
      </c>
      <c r="F204" s="10">
        <f t="shared" si="11"/>
        <v>2000</v>
      </c>
      <c r="G204" s="437">
        <f t="shared" si="11"/>
        <v>4000</v>
      </c>
      <c r="H204" s="41">
        <f t="shared" si="11"/>
        <v>3000</v>
      </c>
      <c r="I204" s="10">
        <f t="shared" si="11"/>
        <v>3000</v>
      </c>
      <c r="J204" s="10">
        <f t="shared" si="13"/>
        <v>6239</v>
      </c>
      <c r="K204" s="114">
        <f t="shared" si="14"/>
        <v>16309525.503018107</v>
      </c>
    </row>
    <row r="205" spans="1:11" x14ac:dyDescent="0.25">
      <c r="A205" s="49">
        <f>'A) Base RI'!A204</f>
        <v>5725</v>
      </c>
      <c r="B205" s="296" t="str">
        <f>'A) Base RI'!B204</f>
        <v>Prangins</v>
      </c>
      <c r="C205" s="10">
        <f>'A) Base RI'!V204</f>
        <v>4040</v>
      </c>
      <c r="D205" s="10">
        <f t="shared" si="12"/>
        <v>1000</v>
      </c>
      <c r="E205" s="437">
        <f t="shared" si="11"/>
        <v>2000</v>
      </c>
      <c r="F205" s="10">
        <f t="shared" si="11"/>
        <v>1040</v>
      </c>
      <c r="G205" s="437">
        <f t="shared" si="11"/>
        <v>0</v>
      </c>
      <c r="H205" s="41">
        <f t="shared" si="11"/>
        <v>0</v>
      </c>
      <c r="I205" s="10">
        <f t="shared" si="11"/>
        <v>0</v>
      </c>
      <c r="J205" s="10">
        <f t="shared" si="13"/>
        <v>0</v>
      </c>
      <c r="K205" s="114">
        <f t="shared" si="14"/>
        <v>1343646.8812877261</v>
      </c>
    </row>
    <row r="206" spans="1:11" x14ac:dyDescent="0.25">
      <c r="A206" s="49">
        <f>'A) Base RI'!A205</f>
        <v>5726</v>
      </c>
      <c r="B206" s="296" t="str">
        <f>'A) Base RI'!B205</f>
        <v>La Rippe</v>
      </c>
      <c r="C206" s="10">
        <f>'A) Base RI'!V205</f>
        <v>1161</v>
      </c>
      <c r="D206" s="10">
        <f t="shared" si="12"/>
        <v>1000</v>
      </c>
      <c r="E206" s="437">
        <f t="shared" si="11"/>
        <v>161</v>
      </c>
      <c r="F206" s="10">
        <f t="shared" si="11"/>
        <v>0</v>
      </c>
      <c r="G206" s="437">
        <f t="shared" si="11"/>
        <v>0</v>
      </c>
      <c r="H206" s="41">
        <f t="shared" si="11"/>
        <v>0</v>
      </c>
      <c r="I206" s="10">
        <f t="shared" si="11"/>
        <v>0</v>
      </c>
      <c r="J206" s="10">
        <f t="shared" si="13"/>
        <v>0</v>
      </c>
      <c r="K206" s="114">
        <f t="shared" si="14"/>
        <v>181167.55533199193</v>
      </c>
    </row>
    <row r="207" spans="1:11" x14ac:dyDescent="0.25">
      <c r="A207" s="49">
        <f>'A) Base RI'!A206</f>
        <v>5727</v>
      </c>
      <c r="B207" s="296" t="str">
        <f>'A) Base RI'!B206</f>
        <v>Saint-Cergue</v>
      </c>
      <c r="C207" s="10">
        <f>'A) Base RI'!V206</f>
        <v>2583</v>
      </c>
      <c r="D207" s="10">
        <f t="shared" si="12"/>
        <v>1000</v>
      </c>
      <c r="E207" s="437">
        <f t="shared" si="11"/>
        <v>1583</v>
      </c>
      <c r="F207" s="10">
        <f t="shared" si="11"/>
        <v>0</v>
      </c>
      <c r="G207" s="437">
        <f t="shared" si="11"/>
        <v>0</v>
      </c>
      <c r="H207" s="41">
        <f t="shared" si="11"/>
        <v>0</v>
      </c>
      <c r="I207" s="10">
        <f t="shared" si="11"/>
        <v>0</v>
      </c>
      <c r="J207" s="10">
        <f t="shared" si="13"/>
        <v>0</v>
      </c>
      <c r="K207" s="114">
        <f t="shared" si="14"/>
        <v>678366.85110663972</v>
      </c>
    </row>
    <row r="208" spans="1:11" x14ac:dyDescent="0.25">
      <c r="A208" s="49">
        <f>'A) Base RI'!A207</f>
        <v>5728</v>
      </c>
      <c r="B208" s="296" t="str">
        <f>'A) Base RI'!B207</f>
        <v>Signy-Avenex</v>
      </c>
      <c r="C208" s="10">
        <f>'A) Base RI'!V207</f>
        <v>592</v>
      </c>
      <c r="D208" s="10">
        <f t="shared" si="12"/>
        <v>592</v>
      </c>
      <c r="E208" s="437">
        <f t="shared" si="11"/>
        <v>0</v>
      </c>
      <c r="F208" s="10">
        <f t="shared" si="11"/>
        <v>0</v>
      </c>
      <c r="G208" s="437">
        <f t="shared" ref="E208:I259" si="15">IF($C208&gt;G$4,IF($C208&lt;G$5,$C208-G$4,G$5-G$4),0)</f>
        <v>0</v>
      </c>
      <c r="H208" s="41">
        <f t="shared" si="15"/>
        <v>0</v>
      </c>
      <c r="I208" s="10">
        <f t="shared" si="15"/>
        <v>0</v>
      </c>
      <c r="J208" s="10">
        <f t="shared" si="13"/>
        <v>0</v>
      </c>
      <c r="K208" s="114">
        <f t="shared" si="14"/>
        <v>73925.553319919505</v>
      </c>
    </row>
    <row r="209" spans="1:11" x14ac:dyDescent="0.25">
      <c r="A209" s="49">
        <f>'A) Base RI'!A208</f>
        <v>5729</v>
      </c>
      <c r="B209" s="296" t="str">
        <f>'A) Base RI'!B208</f>
        <v>Tannay</v>
      </c>
      <c r="C209" s="10">
        <f>'A) Base RI'!V208</f>
        <v>1593</v>
      </c>
      <c r="D209" s="10">
        <f t="shared" si="12"/>
        <v>1000</v>
      </c>
      <c r="E209" s="437">
        <f t="shared" si="15"/>
        <v>593</v>
      </c>
      <c r="F209" s="10">
        <f t="shared" si="15"/>
        <v>0</v>
      </c>
      <c r="G209" s="437">
        <f t="shared" si="15"/>
        <v>0</v>
      </c>
      <c r="H209" s="41">
        <f t="shared" si="15"/>
        <v>0</v>
      </c>
      <c r="I209" s="10">
        <f t="shared" si="15"/>
        <v>0</v>
      </c>
      <c r="J209" s="10">
        <f t="shared" si="13"/>
        <v>0</v>
      </c>
      <c r="K209" s="114">
        <f t="shared" si="14"/>
        <v>332215.44265593553</v>
      </c>
    </row>
    <row r="210" spans="1:11" x14ac:dyDescent="0.25">
      <c r="A210" s="49">
        <f>'A) Base RI'!A209</f>
        <v>5730</v>
      </c>
      <c r="B210" s="296" t="str">
        <f>'A) Base RI'!B209</f>
        <v>Trélex</v>
      </c>
      <c r="C210" s="10">
        <f>'A) Base RI'!V209</f>
        <v>1408</v>
      </c>
      <c r="D210" s="10">
        <f t="shared" si="12"/>
        <v>1000</v>
      </c>
      <c r="E210" s="437">
        <f t="shared" si="15"/>
        <v>408</v>
      </c>
      <c r="F210" s="10">
        <f t="shared" si="15"/>
        <v>0</v>
      </c>
      <c r="G210" s="437">
        <f t="shared" si="15"/>
        <v>0</v>
      </c>
      <c r="H210" s="41">
        <f t="shared" si="15"/>
        <v>0</v>
      </c>
      <c r="I210" s="10">
        <f t="shared" si="15"/>
        <v>0</v>
      </c>
      <c r="J210" s="10">
        <f t="shared" si="13"/>
        <v>0</v>
      </c>
      <c r="K210" s="114">
        <f t="shared" si="14"/>
        <v>267530.58350100601</v>
      </c>
    </row>
    <row r="211" spans="1:11" x14ac:dyDescent="0.25">
      <c r="A211" s="49">
        <f>'A) Base RI'!A210</f>
        <v>5731</v>
      </c>
      <c r="B211" s="296" t="str">
        <f>'A) Base RI'!B210</f>
        <v>Le Vaud</v>
      </c>
      <c r="C211" s="10">
        <f>'A) Base RI'!V210</f>
        <v>1319</v>
      </c>
      <c r="D211" s="10">
        <f t="shared" si="12"/>
        <v>1000</v>
      </c>
      <c r="E211" s="437">
        <f t="shared" si="15"/>
        <v>319</v>
      </c>
      <c r="F211" s="10">
        <f t="shared" si="15"/>
        <v>0</v>
      </c>
      <c r="G211" s="437">
        <f t="shared" si="15"/>
        <v>0</v>
      </c>
      <c r="H211" s="41">
        <f t="shared" si="15"/>
        <v>0</v>
      </c>
      <c r="I211" s="10">
        <f t="shared" si="15"/>
        <v>0</v>
      </c>
      <c r="J211" s="10">
        <f t="shared" si="13"/>
        <v>0</v>
      </c>
      <c r="K211" s="114">
        <f t="shared" si="14"/>
        <v>236411.92152917502</v>
      </c>
    </row>
    <row r="212" spans="1:11" x14ac:dyDescent="0.25">
      <c r="A212" s="49">
        <f>'A) Base RI'!A211</f>
        <v>5732</v>
      </c>
      <c r="B212" s="296" t="str">
        <f>'A) Base RI'!B211</f>
        <v>Vich</v>
      </c>
      <c r="C212" s="10">
        <f>'A) Base RI'!V211</f>
        <v>1039</v>
      </c>
      <c r="D212" s="10">
        <f t="shared" si="12"/>
        <v>1000</v>
      </c>
      <c r="E212" s="437">
        <f t="shared" si="15"/>
        <v>39</v>
      </c>
      <c r="F212" s="10">
        <f t="shared" si="15"/>
        <v>0</v>
      </c>
      <c r="G212" s="437">
        <f t="shared" si="15"/>
        <v>0</v>
      </c>
      <c r="H212" s="41">
        <f t="shared" si="15"/>
        <v>0</v>
      </c>
      <c r="I212" s="10">
        <f t="shared" si="15"/>
        <v>0</v>
      </c>
      <c r="J212" s="10">
        <f t="shared" si="13"/>
        <v>0</v>
      </c>
      <c r="K212" s="114">
        <f t="shared" si="14"/>
        <v>138510.5130784708</v>
      </c>
    </row>
    <row r="213" spans="1:11" x14ac:dyDescent="0.25">
      <c r="A213" s="49">
        <f>'A) Base RI'!A212</f>
        <v>5741</v>
      </c>
      <c r="B213" s="296" t="str">
        <f>'A) Base RI'!B212</f>
        <v>L'Abergement</v>
      </c>
      <c r="C213" s="10">
        <f>'A) Base RI'!V212</f>
        <v>248</v>
      </c>
      <c r="D213" s="10">
        <f t="shared" si="12"/>
        <v>248</v>
      </c>
      <c r="E213" s="437">
        <f t="shared" si="15"/>
        <v>0</v>
      </c>
      <c r="F213" s="10">
        <f t="shared" si="15"/>
        <v>0</v>
      </c>
      <c r="G213" s="437">
        <f t="shared" si="15"/>
        <v>0</v>
      </c>
      <c r="H213" s="41">
        <f t="shared" si="15"/>
        <v>0</v>
      </c>
      <c r="I213" s="10">
        <f t="shared" si="15"/>
        <v>0</v>
      </c>
      <c r="J213" s="10">
        <f t="shared" si="13"/>
        <v>0</v>
      </c>
      <c r="K213" s="114">
        <f t="shared" si="14"/>
        <v>30968.812877263576</v>
      </c>
    </row>
    <row r="214" spans="1:11" x14ac:dyDescent="0.25">
      <c r="A214" s="49">
        <f>'A) Base RI'!A213</f>
        <v>5742</v>
      </c>
      <c r="B214" s="296" t="str">
        <f>'A) Base RI'!B213</f>
        <v>Agiez</v>
      </c>
      <c r="C214" s="10">
        <f>'A) Base RI'!V213</f>
        <v>327</v>
      </c>
      <c r="D214" s="10">
        <f t="shared" si="12"/>
        <v>327</v>
      </c>
      <c r="E214" s="437">
        <f t="shared" si="15"/>
        <v>0</v>
      </c>
      <c r="F214" s="10">
        <f t="shared" si="15"/>
        <v>0</v>
      </c>
      <c r="G214" s="437">
        <f t="shared" si="15"/>
        <v>0</v>
      </c>
      <c r="H214" s="41">
        <f t="shared" si="15"/>
        <v>0</v>
      </c>
      <c r="I214" s="10">
        <f t="shared" si="15"/>
        <v>0</v>
      </c>
      <c r="J214" s="10">
        <f t="shared" si="13"/>
        <v>0</v>
      </c>
      <c r="K214" s="114">
        <f t="shared" si="14"/>
        <v>40833.8782696177</v>
      </c>
    </row>
    <row r="215" spans="1:11" x14ac:dyDescent="0.25">
      <c r="A215" s="49">
        <f>'A) Base RI'!A214</f>
        <v>5743</v>
      </c>
      <c r="B215" s="296" t="str">
        <f>'A) Base RI'!B214</f>
        <v>Arnex-sur-Orbe</v>
      </c>
      <c r="C215" s="10">
        <f>'A) Base RI'!V214</f>
        <v>631</v>
      </c>
      <c r="D215" s="10">
        <f t="shared" si="12"/>
        <v>631</v>
      </c>
      <c r="E215" s="437">
        <f t="shared" si="15"/>
        <v>0</v>
      </c>
      <c r="F215" s="10">
        <f t="shared" si="15"/>
        <v>0</v>
      </c>
      <c r="G215" s="437">
        <f t="shared" si="15"/>
        <v>0</v>
      </c>
      <c r="H215" s="41">
        <f t="shared" si="15"/>
        <v>0</v>
      </c>
      <c r="I215" s="10">
        <f t="shared" si="15"/>
        <v>0</v>
      </c>
      <c r="J215" s="10">
        <f t="shared" si="13"/>
        <v>0</v>
      </c>
      <c r="K215" s="114">
        <f t="shared" si="14"/>
        <v>78795.64889336015</v>
      </c>
    </row>
    <row r="216" spans="1:11" x14ac:dyDescent="0.25">
      <c r="A216" s="49">
        <f>'A) Base RI'!A215</f>
        <v>5744</v>
      </c>
      <c r="B216" s="296" t="str">
        <f>'A) Base RI'!B215</f>
        <v>Ballaigues</v>
      </c>
      <c r="C216" s="10">
        <f>'A) Base RI'!V215</f>
        <v>1075</v>
      </c>
      <c r="D216" s="10">
        <f t="shared" si="12"/>
        <v>1000</v>
      </c>
      <c r="E216" s="437">
        <f t="shared" si="15"/>
        <v>75</v>
      </c>
      <c r="F216" s="10">
        <f t="shared" si="15"/>
        <v>0</v>
      </c>
      <c r="G216" s="437">
        <f t="shared" si="15"/>
        <v>0</v>
      </c>
      <c r="H216" s="41">
        <f t="shared" si="15"/>
        <v>0</v>
      </c>
      <c r="I216" s="10">
        <f t="shared" si="15"/>
        <v>0</v>
      </c>
      <c r="J216" s="10">
        <f t="shared" si="13"/>
        <v>0</v>
      </c>
      <c r="K216" s="114">
        <f t="shared" si="14"/>
        <v>151097.83702213276</v>
      </c>
    </row>
    <row r="217" spans="1:11" x14ac:dyDescent="0.25">
      <c r="A217" s="49">
        <f>'A) Base RI'!A216</f>
        <v>5745</v>
      </c>
      <c r="B217" s="296" t="str">
        <f>'A) Base RI'!B216</f>
        <v>Baulmes</v>
      </c>
      <c r="C217" s="10">
        <f>'A) Base RI'!V216</f>
        <v>1027</v>
      </c>
      <c r="D217" s="10">
        <f t="shared" si="12"/>
        <v>1000</v>
      </c>
      <c r="E217" s="437">
        <f t="shared" si="15"/>
        <v>27</v>
      </c>
      <c r="F217" s="10">
        <f t="shared" si="15"/>
        <v>0</v>
      </c>
      <c r="G217" s="437">
        <f t="shared" si="15"/>
        <v>0</v>
      </c>
      <c r="H217" s="41">
        <f t="shared" si="15"/>
        <v>0</v>
      </c>
      <c r="I217" s="10">
        <f t="shared" si="15"/>
        <v>0</v>
      </c>
      <c r="J217" s="10">
        <f t="shared" si="13"/>
        <v>0</v>
      </c>
      <c r="K217" s="114">
        <f t="shared" si="14"/>
        <v>134314.73843058347</v>
      </c>
    </row>
    <row r="218" spans="1:11" x14ac:dyDescent="0.25">
      <c r="A218" s="49">
        <f>'A) Base RI'!A217</f>
        <v>5746</v>
      </c>
      <c r="B218" s="296" t="str">
        <f>'A) Base RI'!B217</f>
        <v>Bavois</v>
      </c>
      <c r="C218" s="10">
        <f>'A) Base RI'!V217</f>
        <v>942</v>
      </c>
      <c r="D218" s="10">
        <f t="shared" si="12"/>
        <v>942</v>
      </c>
      <c r="E218" s="437">
        <f t="shared" si="15"/>
        <v>0</v>
      </c>
      <c r="F218" s="10">
        <f t="shared" si="15"/>
        <v>0</v>
      </c>
      <c r="G218" s="437">
        <f t="shared" si="15"/>
        <v>0</v>
      </c>
      <c r="H218" s="41">
        <f t="shared" si="15"/>
        <v>0</v>
      </c>
      <c r="I218" s="10">
        <f t="shared" si="15"/>
        <v>0</v>
      </c>
      <c r="J218" s="10">
        <f t="shared" si="13"/>
        <v>0</v>
      </c>
      <c r="K218" s="114">
        <f t="shared" si="14"/>
        <v>117631.53923541246</v>
      </c>
    </row>
    <row r="219" spans="1:11" x14ac:dyDescent="0.25">
      <c r="A219" s="49">
        <f>'A) Base RI'!A218</f>
        <v>5747</v>
      </c>
      <c r="B219" s="296" t="str">
        <f>'A) Base RI'!B218</f>
        <v>Bofflens</v>
      </c>
      <c r="C219" s="10">
        <f>'A) Base RI'!V218</f>
        <v>196</v>
      </c>
      <c r="D219" s="10">
        <f t="shared" si="12"/>
        <v>196</v>
      </c>
      <c r="E219" s="437">
        <f t="shared" si="15"/>
        <v>0</v>
      </c>
      <c r="F219" s="10">
        <f t="shared" si="15"/>
        <v>0</v>
      </c>
      <c r="G219" s="437">
        <f t="shared" si="15"/>
        <v>0</v>
      </c>
      <c r="H219" s="41">
        <f t="shared" si="15"/>
        <v>0</v>
      </c>
      <c r="I219" s="10">
        <f t="shared" si="15"/>
        <v>0</v>
      </c>
      <c r="J219" s="10">
        <f t="shared" si="13"/>
        <v>0</v>
      </c>
      <c r="K219" s="114">
        <f t="shared" si="14"/>
        <v>24475.352112676053</v>
      </c>
    </row>
    <row r="220" spans="1:11" x14ac:dyDescent="0.25">
      <c r="A220" s="49">
        <f>'A) Base RI'!A219</f>
        <v>5748</v>
      </c>
      <c r="B220" s="296" t="str">
        <f>'A) Base RI'!B219</f>
        <v>Bretonnières</v>
      </c>
      <c r="C220" s="10">
        <f>'A) Base RI'!V219</f>
        <v>265</v>
      </c>
      <c r="D220" s="10">
        <f t="shared" si="12"/>
        <v>265</v>
      </c>
      <c r="E220" s="437">
        <f t="shared" si="15"/>
        <v>0</v>
      </c>
      <c r="F220" s="10">
        <f t="shared" si="15"/>
        <v>0</v>
      </c>
      <c r="G220" s="437">
        <f t="shared" si="15"/>
        <v>0</v>
      </c>
      <c r="H220" s="41">
        <f t="shared" si="15"/>
        <v>0</v>
      </c>
      <c r="I220" s="10">
        <f t="shared" si="15"/>
        <v>0</v>
      </c>
      <c r="J220" s="10">
        <f t="shared" si="13"/>
        <v>0</v>
      </c>
      <c r="K220" s="114">
        <f t="shared" si="14"/>
        <v>33091.675050301805</v>
      </c>
    </row>
    <row r="221" spans="1:11" x14ac:dyDescent="0.25">
      <c r="A221" s="49">
        <f>'A) Base RI'!A220</f>
        <v>5749</v>
      </c>
      <c r="B221" s="296" t="str">
        <f>'A) Base RI'!B220</f>
        <v>Chavornay</v>
      </c>
      <c r="C221" s="10">
        <f>'A) Base RI'!V220</f>
        <v>4996</v>
      </c>
      <c r="D221" s="10">
        <f t="shared" si="12"/>
        <v>1000</v>
      </c>
      <c r="E221" s="437">
        <f t="shared" si="15"/>
        <v>2000</v>
      </c>
      <c r="F221" s="10">
        <f t="shared" si="15"/>
        <v>1996</v>
      </c>
      <c r="G221" s="437">
        <f t="shared" si="15"/>
        <v>0</v>
      </c>
      <c r="H221" s="41">
        <f t="shared" si="15"/>
        <v>0</v>
      </c>
      <c r="I221" s="10">
        <f t="shared" si="15"/>
        <v>0</v>
      </c>
      <c r="J221" s="10">
        <f t="shared" si="13"/>
        <v>0</v>
      </c>
      <c r="K221" s="114">
        <f t="shared" si="14"/>
        <v>1821165.9959758548</v>
      </c>
    </row>
    <row r="222" spans="1:11" x14ac:dyDescent="0.25">
      <c r="A222" s="49">
        <f>'A) Base RI'!A221</f>
        <v>5750</v>
      </c>
      <c r="B222" s="296" t="str">
        <f>'A) Base RI'!B221</f>
        <v>Les Clées</v>
      </c>
      <c r="C222" s="10">
        <f>'A) Base RI'!V221</f>
        <v>185</v>
      </c>
      <c r="D222" s="10">
        <f t="shared" si="12"/>
        <v>185</v>
      </c>
      <c r="E222" s="437">
        <f t="shared" si="15"/>
        <v>0</v>
      </c>
      <c r="F222" s="10">
        <f t="shared" si="15"/>
        <v>0</v>
      </c>
      <c r="G222" s="437">
        <f t="shared" si="15"/>
        <v>0</v>
      </c>
      <c r="H222" s="41">
        <f t="shared" si="15"/>
        <v>0</v>
      </c>
      <c r="I222" s="10">
        <f t="shared" si="15"/>
        <v>0</v>
      </c>
      <c r="J222" s="10">
        <f t="shared" si="13"/>
        <v>0</v>
      </c>
      <c r="K222" s="114">
        <f t="shared" si="14"/>
        <v>23101.735412474845</v>
      </c>
    </row>
    <row r="223" spans="1:11" x14ac:dyDescent="0.25">
      <c r="A223" s="49">
        <f>'A) Base RI'!A222</f>
        <v>5752</v>
      </c>
      <c r="B223" s="296" t="str">
        <f>'A) Base RI'!B222</f>
        <v>Croy</v>
      </c>
      <c r="C223" s="10">
        <f>'A) Base RI'!V222</f>
        <v>404</v>
      </c>
      <c r="D223" s="10">
        <f t="shared" si="12"/>
        <v>404</v>
      </c>
      <c r="E223" s="437">
        <f t="shared" si="15"/>
        <v>0</v>
      </c>
      <c r="F223" s="10">
        <f t="shared" si="15"/>
        <v>0</v>
      </c>
      <c r="G223" s="437">
        <f t="shared" si="15"/>
        <v>0</v>
      </c>
      <c r="H223" s="41">
        <f t="shared" si="15"/>
        <v>0</v>
      </c>
      <c r="I223" s="10">
        <f t="shared" si="15"/>
        <v>0</v>
      </c>
      <c r="J223" s="10">
        <f t="shared" si="13"/>
        <v>0</v>
      </c>
      <c r="K223" s="114">
        <f t="shared" si="14"/>
        <v>50449.195171026149</v>
      </c>
    </row>
    <row r="224" spans="1:11" x14ac:dyDescent="0.25">
      <c r="A224" s="49">
        <f>'A) Base RI'!A223</f>
        <v>5754</v>
      </c>
      <c r="B224" s="296" t="str">
        <f>'A) Base RI'!B223</f>
        <v>Juriens</v>
      </c>
      <c r="C224" s="10">
        <f>'A) Base RI'!V223</f>
        <v>308</v>
      </c>
      <c r="D224" s="10">
        <f t="shared" si="12"/>
        <v>308</v>
      </c>
      <c r="E224" s="437">
        <f t="shared" si="15"/>
        <v>0</v>
      </c>
      <c r="F224" s="10">
        <f t="shared" si="15"/>
        <v>0</v>
      </c>
      <c r="G224" s="437">
        <f t="shared" si="15"/>
        <v>0</v>
      </c>
      <c r="H224" s="41">
        <f t="shared" si="15"/>
        <v>0</v>
      </c>
      <c r="I224" s="10">
        <f t="shared" si="15"/>
        <v>0</v>
      </c>
      <c r="J224" s="10">
        <f t="shared" si="13"/>
        <v>0</v>
      </c>
      <c r="K224" s="114">
        <f t="shared" si="14"/>
        <v>38461.267605633795</v>
      </c>
    </row>
    <row r="225" spans="1:11" x14ac:dyDescent="0.25">
      <c r="A225" s="49">
        <f>'A) Base RI'!A224</f>
        <v>5755</v>
      </c>
      <c r="B225" s="296" t="str">
        <f>'A) Base RI'!B224</f>
        <v>Lignerolle</v>
      </c>
      <c r="C225" s="10">
        <f>'A) Base RI'!V224</f>
        <v>422</v>
      </c>
      <c r="D225" s="10">
        <f t="shared" si="12"/>
        <v>422</v>
      </c>
      <c r="E225" s="437">
        <f t="shared" si="15"/>
        <v>0</v>
      </c>
      <c r="F225" s="10">
        <f t="shared" si="15"/>
        <v>0</v>
      </c>
      <c r="G225" s="437">
        <f t="shared" si="15"/>
        <v>0</v>
      </c>
      <c r="H225" s="41">
        <f t="shared" si="15"/>
        <v>0</v>
      </c>
      <c r="I225" s="10">
        <f t="shared" si="15"/>
        <v>0</v>
      </c>
      <c r="J225" s="10">
        <f t="shared" si="13"/>
        <v>0</v>
      </c>
      <c r="K225" s="114">
        <f t="shared" si="14"/>
        <v>52696.931589537213</v>
      </c>
    </row>
    <row r="226" spans="1:11" x14ac:dyDescent="0.25">
      <c r="A226" s="49">
        <f>'A) Base RI'!A225</f>
        <v>5756</v>
      </c>
      <c r="B226" s="296" t="str">
        <f>'A) Base RI'!B225</f>
        <v>Montcherand</v>
      </c>
      <c r="C226" s="10">
        <f>'A) Base RI'!V225</f>
        <v>489</v>
      </c>
      <c r="D226" s="10">
        <f t="shared" si="12"/>
        <v>489</v>
      </c>
      <c r="E226" s="437">
        <f t="shared" si="15"/>
        <v>0</v>
      </c>
      <c r="F226" s="10">
        <f t="shared" si="15"/>
        <v>0</v>
      </c>
      <c r="G226" s="437">
        <f t="shared" si="15"/>
        <v>0</v>
      </c>
      <c r="H226" s="41">
        <f t="shared" si="15"/>
        <v>0</v>
      </c>
      <c r="I226" s="10">
        <f t="shared" si="15"/>
        <v>0</v>
      </c>
      <c r="J226" s="10">
        <f t="shared" si="13"/>
        <v>0</v>
      </c>
      <c r="K226" s="114">
        <f t="shared" si="14"/>
        <v>61063.506036217295</v>
      </c>
    </row>
    <row r="227" spans="1:11" x14ac:dyDescent="0.25">
      <c r="A227" s="49">
        <f>'A) Base RI'!A226</f>
        <v>5757</v>
      </c>
      <c r="B227" s="296" t="str">
        <f>'A) Base RI'!B226</f>
        <v>Orbe</v>
      </c>
      <c r="C227" s="10">
        <f>'A) Base RI'!V226</f>
        <v>6942</v>
      </c>
      <c r="D227" s="10">
        <f t="shared" si="12"/>
        <v>1000</v>
      </c>
      <c r="E227" s="437">
        <f t="shared" si="15"/>
        <v>2000</v>
      </c>
      <c r="F227" s="10">
        <f t="shared" si="15"/>
        <v>2000</v>
      </c>
      <c r="G227" s="437">
        <f t="shared" si="15"/>
        <v>1942</v>
      </c>
      <c r="H227" s="41">
        <f t="shared" si="15"/>
        <v>0</v>
      </c>
      <c r="I227" s="10">
        <f t="shared" si="15"/>
        <v>0</v>
      </c>
      <c r="J227" s="10">
        <f t="shared" si="13"/>
        <v>0</v>
      </c>
      <c r="K227" s="114">
        <f t="shared" si="14"/>
        <v>2987191.7505030176</v>
      </c>
    </row>
    <row r="228" spans="1:11" x14ac:dyDescent="0.25">
      <c r="A228" s="49">
        <f>'A) Base RI'!A227</f>
        <v>5758</v>
      </c>
      <c r="B228" s="296" t="str">
        <f>'A) Base RI'!B227</f>
        <v>La Praz</v>
      </c>
      <c r="C228" s="10">
        <f>'A) Base RI'!V227</f>
        <v>165</v>
      </c>
      <c r="D228" s="10">
        <f t="shared" si="12"/>
        <v>165</v>
      </c>
      <c r="E228" s="437">
        <f t="shared" si="15"/>
        <v>0</v>
      </c>
      <c r="F228" s="10">
        <f t="shared" si="15"/>
        <v>0</v>
      </c>
      <c r="G228" s="437">
        <f t="shared" si="15"/>
        <v>0</v>
      </c>
      <c r="H228" s="41">
        <f t="shared" si="15"/>
        <v>0</v>
      </c>
      <c r="I228" s="10">
        <f t="shared" si="15"/>
        <v>0</v>
      </c>
      <c r="J228" s="10">
        <f t="shared" si="13"/>
        <v>0</v>
      </c>
      <c r="K228" s="114">
        <f t="shared" si="14"/>
        <v>20604.250503018106</v>
      </c>
    </row>
    <row r="229" spans="1:11" x14ac:dyDescent="0.25">
      <c r="A229" s="49">
        <f>'A) Base RI'!A228</f>
        <v>5759</v>
      </c>
      <c r="B229" s="296" t="str">
        <f>'A) Base RI'!B228</f>
        <v>Premier</v>
      </c>
      <c r="C229" s="10">
        <f>'A) Base RI'!V228</f>
        <v>213</v>
      </c>
      <c r="D229" s="10">
        <f t="shared" si="12"/>
        <v>213</v>
      </c>
      <c r="E229" s="437">
        <f t="shared" si="15"/>
        <v>0</v>
      </c>
      <c r="F229" s="10">
        <f t="shared" si="15"/>
        <v>0</v>
      </c>
      <c r="G229" s="437">
        <f t="shared" si="15"/>
        <v>0</v>
      </c>
      <c r="H229" s="41">
        <f t="shared" si="15"/>
        <v>0</v>
      </c>
      <c r="I229" s="10">
        <f t="shared" si="15"/>
        <v>0</v>
      </c>
      <c r="J229" s="10">
        <f t="shared" si="13"/>
        <v>0</v>
      </c>
      <c r="K229" s="114">
        <f t="shared" si="14"/>
        <v>26598.214285714283</v>
      </c>
    </row>
    <row r="230" spans="1:11" x14ac:dyDescent="0.25">
      <c r="A230" s="49">
        <f>'A) Base RI'!A229</f>
        <v>5760</v>
      </c>
      <c r="B230" s="296" t="str">
        <f>'A) Base RI'!B229</f>
        <v>Rances</v>
      </c>
      <c r="C230" s="10">
        <f>'A) Base RI'!V229</f>
        <v>482</v>
      </c>
      <c r="D230" s="10">
        <f t="shared" si="12"/>
        <v>482</v>
      </c>
      <c r="E230" s="437">
        <f t="shared" si="15"/>
        <v>0</v>
      </c>
      <c r="F230" s="10">
        <f t="shared" si="15"/>
        <v>0</v>
      </c>
      <c r="G230" s="437">
        <f t="shared" si="15"/>
        <v>0</v>
      </c>
      <c r="H230" s="41">
        <f t="shared" si="15"/>
        <v>0</v>
      </c>
      <c r="I230" s="10">
        <f t="shared" si="15"/>
        <v>0</v>
      </c>
      <c r="J230" s="10">
        <f t="shared" si="13"/>
        <v>0</v>
      </c>
      <c r="K230" s="114">
        <f t="shared" si="14"/>
        <v>60189.386317907432</v>
      </c>
    </row>
    <row r="231" spans="1:11" x14ac:dyDescent="0.25">
      <c r="A231" s="49">
        <f>'A) Base RI'!A230</f>
        <v>5761</v>
      </c>
      <c r="B231" s="296" t="str">
        <f>'A) Base RI'!B230</f>
        <v>Romainmôtier-Envy</v>
      </c>
      <c r="C231" s="10">
        <f>'A) Base RI'!V230</f>
        <v>540</v>
      </c>
      <c r="D231" s="10">
        <f t="shared" si="12"/>
        <v>540</v>
      </c>
      <c r="E231" s="437">
        <f t="shared" si="15"/>
        <v>0</v>
      </c>
      <c r="F231" s="10">
        <f t="shared" si="15"/>
        <v>0</v>
      </c>
      <c r="G231" s="437">
        <f t="shared" si="15"/>
        <v>0</v>
      </c>
      <c r="H231" s="41">
        <f t="shared" si="15"/>
        <v>0</v>
      </c>
      <c r="I231" s="10">
        <f t="shared" si="15"/>
        <v>0</v>
      </c>
      <c r="J231" s="10">
        <f t="shared" si="13"/>
        <v>0</v>
      </c>
      <c r="K231" s="114">
        <f t="shared" si="14"/>
        <v>67432.092555331983</v>
      </c>
    </row>
    <row r="232" spans="1:11" x14ac:dyDescent="0.25">
      <c r="A232" s="49">
        <f>'A) Base RI'!A231</f>
        <v>5762</v>
      </c>
      <c r="B232" s="296" t="str">
        <f>'A) Base RI'!B231</f>
        <v>Sergey</v>
      </c>
      <c r="C232" s="10">
        <f>'A) Base RI'!V231</f>
        <v>146</v>
      </c>
      <c r="D232" s="10">
        <f t="shared" si="12"/>
        <v>146</v>
      </c>
      <c r="E232" s="437">
        <f t="shared" si="15"/>
        <v>0</v>
      </c>
      <c r="F232" s="10">
        <f t="shared" si="15"/>
        <v>0</v>
      </c>
      <c r="G232" s="437">
        <f t="shared" si="15"/>
        <v>0</v>
      </c>
      <c r="H232" s="41">
        <f t="shared" si="15"/>
        <v>0</v>
      </c>
      <c r="I232" s="10">
        <f t="shared" si="15"/>
        <v>0</v>
      </c>
      <c r="J232" s="10">
        <f t="shared" si="13"/>
        <v>0</v>
      </c>
      <c r="K232" s="114">
        <f t="shared" si="14"/>
        <v>18231.639839034204</v>
      </c>
    </row>
    <row r="233" spans="1:11" x14ac:dyDescent="0.25">
      <c r="A233" s="49">
        <f>'A) Base RI'!A232</f>
        <v>5763</v>
      </c>
      <c r="B233" s="296" t="str">
        <f>'A) Base RI'!B232</f>
        <v>Valeyres-sous-Rances</v>
      </c>
      <c r="C233" s="10">
        <f>'A) Base RI'!V232</f>
        <v>622</v>
      </c>
      <c r="D233" s="10">
        <f t="shared" si="12"/>
        <v>622</v>
      </c>
      <c r="E233" s="437">
        <f t="shared" si="15"/>
        <v>0</v>
      </c>
      <c r="F233" s="10">
        <f t="shared" si="15"/>
        <v>0</v>
      </c>
      <c r="G233" s="437">
        <f t="shared" si="15"/>
        <v>0</v>
      </c>
      <c r="H233" s="41">
        <f t="shared" si="15"/>
        <v>0</v>
      </c>
      <c r="I233" s="10">
        <f t="shared" si="15"/>
        <v>0</v>
      </c>
      <c r="J233" s="10">
        <f t="shared" si="13"/>
        <v>0</v>
      </c>
      <c r="K233" s="114">
        <f t="shared" si="14"/>
        <v>77671.780684104611</v>
      </c>
    </row>
    <row r="234" spans="1:11" x14ac:dyDescent="0.25">
      <c r="A234" s="49">
        <f>'A) Base RI'!A233</f>
        <v>5764</v>
      </c>
      <c r="B234" s="296" t="str">
        <f>'A) Base RI'!B233</f>
        <v>Vallorbe</v>
      </c>
      <c r="C234" s="10">
        <f>'A) Base RI'!V233</f>
        <v>3852</v>
      </c>
      <c r="D234" s="10">
        <f t="shared" si="12"/>
        <v>1000</v>
      </c>
      <c r="E234" s="437">
        <f t="shared" si="15"/>
        <v>2000</v>
      </c>
      <c r="F234" s="10">
        <f t="shared" si="15"/>
        <v>852</v>
      </c>
      <c r="G234" s="437">
        <f t="shared" si="15"/>
        <v>0</v>
      </c>
      <c r="H234" s="41">
        <f t="shared" si="15"/>
        <v>0</v>
      </c>
      <c r="I234" s="10">
        <f t="shared" si="15"/>
        <v>0</v>
      </c>
      <c r="J234" s="10">
        <f t="shared" si="13"/>
        <v>0</v>
      </c>
      <c r="K234" s="114">
        <f t="shared" si="14"/>
        <v>1249741.4486921527</v>
      </c>
    </row>
    <row r="235" spans="1:11" x14ac:dyDescent="0.25">
      <c r="A235" s="49">
        <f>'A) Base RI'!A234</f>
        <v>5765</v>
      </c>
      <c r="B235" s="296" t="str">
        <f>'A) Base RI'!B234</f>
        <v>Vaulion</v>
      </c>
      <c r="C235" s="10">
        <f>'A) Base RI'!V234</f>
        <v>469</v>
      </c>
      <c r="D235" s="10">
        <f t="shared" ref="D235:D298" si="16">IF($C235&gt;D$4,IF($C235&lt;D$5,$C235-D$4,D$5-D$4),0)</f>
        <v>469</v>
      </c>
      <c r="E235" s="437">
        <f t="shared" si="15"/>
        <v>0</v>
      </c>
      <c r="F235" s="10">
        <f t="shared" si="15"/>
        <v>0</v>
      </c>
      <c r="G235" s="437">
        <f t="shared" si="15"/>
        <v>0</v>
      </c>
      <c r="H235" s="41">
        <f t="shared" si="15"/>
        <v>0</v>
      </c>
      <c r="I235" s="10">
        <f t="shared" si="15"/>
        <v>0</v>
      </c>
      <c r="J235" s="10">
        <f t="shared" si="13"/>
        <v>0</v>
      </c>
      <c r="K235" s="114">
        <f t="shared" si="14"/>
        <v>58566.021126760555</v>
      </c>
    </row>
    <row r="236" spans="1:11" x14ac:dyDescent="0.25">
      <c r="A236" s="49">
        <f>'A) Base RI'!A235</f>
        <v>5766</v>
      </c>
      <c r="B236" s="296" t="str">
        <f>'A) Base RI'!B235</f>
        <v>Vuiteboeuf</v>
      </c>
      <c r="C236" s="10">
        <f>'A) Base RI'!V235</f>
        <v>584</v>
      </c>
      <c r="D236" s="10">
        <f t="shared" si="16"/>
        <v>584</v>
      </c>
      <c r="E236" s="437">
        <f t="shared" si="15"/>
        <v>0</v>
      </c>
      <c r="F236" s="10">
        <f t="shared" si="15"/>
        <v>0</v>
      </c>
      <c r="G236" s="437">
        <f t="shared" si="15"/>
        <v>0</v>
      </c>
      <c r="H236" s="41">
        <f t="shared" si="15"/>
        <v>0</v>
      </c>
      <c r="I236" s="10">
        <f t="shared" si="15"/>
        <v>0</v>
      </c>
      <c r="J236" s="10">
        <f t="shared" si="13"/>
        <v>0</v>
      </c>
      <c r="K236" s="114">
        <f t="shared" si="14"/>
        <v>72926.559356136815</v>
      </c>
    </row>
    <row r="237" spans="1:11" x14ac:dyDescent="0.25">
      <c r="A237" s="49">
        <f>'A) Base RI'!A236</f>
        <v>5785</v>
      </c>
      <c r="B237" s="296" t="str">
        <f>'A) Base RI'!B236</f>
        <v>Corcelles-le-Jorat</v>
      </c>
      <c r="C237" s="10">
        <f>'A) Base RI'!V236</f>
        <v>445</v>
      </c>
      <c r="D237" s="10">
        <f t="shared" si="16"/>
        <v>445</v>
      </c>
      <c r="E237" s="437">
        <f t="shared" si="15"/>
        <v>0</v>
      </c>
      <c r="F237" s="10">
        <f t="shared" si="15"/>
        <v>0</v>
      </c>
      <c r="G237" s="437">
        <f t="shared" si="15"/>
        <v>0</v>
      </c>
      <c r="H237" s="41">
        <f t="shared" si="15"/>
        <v>0</v>
      </c>
      <c r="I237" s="10">
        <f t="shared" si="15"/>
        <v>0</v>
      </c>
      <c r="J237" s="10">
        <f t="shared" si="13"/>
        <v>0</v>
      </c>
      <c r="K237" s="114">
        <f t="shared" si="14"/>
        <v>55569.039235412463</v>
      </c>
    </row>
    <row r="238" spans="1:11" x14ac:dyDescent="0.25">
      <c r="A238" s="49">
        <f>'A) Base RI'!A237</f>
        <v>5788</v>
      </c>
      <c r="B238" s="296" t="str">
        <f>'A) Base RI'!B237</f>
        <v>Essertes</v>
      </c>
      <c r="C238" s="10">
        <f>'A) Base RI'!V237</f>
        <v>374</v>
      </c>
      <c r="D238" s="10">
        <f t="shared" si="16"/>
        <v>374</v>
      </c>
      <c r="E238" s="437">
        <f t="shared" si="15"/>
        <v>0</v>
      </c>
      <c r="F238" s="10">
        <f t="shared" si="15"/>
        <v>0</v>
      </c>
      <c r="G238" s="437">
        <f t="shared" si="15"/>
        <v>0</v>
      </c>
      <c r="H238" s="41">
        <f t="shared" si="15"/>
        <v>0</v>
      </c>
      <c r="I238" s="10">
        <f t="shared" si="15"/>
        <v>0</v>
      </c>
      <c r="J238" s="10">
        <f t="shared" si="13"/>
        <v>0</v>
      </c>
      <c r="K238" s="114">
        <f t="shared" si="14"/>
        <v>46702.967806841036</v>
      </c>
    </row>
    <row r="239" spans="1:11" x14ac:dyDescent="0.25">
      <c r="A239" s="49">
        <f>'A) Base RI'!A238</f>
        <v>5790</v>
      </c>
      <c r="B239" s="296" t="str">
        <f>'A) Base RI'!B238</f>
        <v>Maracon</v>
      </c>
      <c r="C239" s="10">
        <f>'A) Base RI'!V238</f>
        <v>492</v>
      </c>
      <c r="D239" s="10">
        <f t="shared" si="16"/>
        <v>492</v>
      </c>
      <c r="E239" s="437">
        <f t="shared" si="15"/>
        <v>0</v>
      </c>
      <c r="F239" s="10">
        <f t="shared" si="15"/>
        <v>0</v>
      </c>
      <c r="G239" s="437">
        <f t="shared" si="15"/>
        <v>0</v>
      </c>
      <c r="H239" s="41">
        <f t="shared" si="15"/>
        <v>0</v>
      </c>
      <c r="I239" s="10">
        <f t="shared" si="15"/>
        <v>0</v>
      </c>
      <c r="J239" s="10">
        <f t="shared" si="13"/>
        <v>0</v>
      </c>
      <c r="K239" s="114">
        <f t="shared" si="14"/>
        <v>61438.128772635806</v>
      </c>
    </row>
    <row r="240" spans="1:11" x14ac:dyDescent="0.25">
      <c r="A240" s="49">
        <f>'A) Base RI'!A239</f>
        <v>5792</v>
      </c>
      <c r="B240" s="296" t="str">
        <f>'A) Base RI'!B239</f>
        <v>Montpreveyres</v>
      </c>
      <c r="C240" s="10">
        <f>'A) Base RI'!V239</f>
        <v>643</v>
      </c>
      <c r="D240" s="10">
        <f t="shared" si="16"/>
        <v>643</v>
      </c>
      <c r="E240" s="437">
        <f t="shared" si="15"/>
        <v>0</v>
      </c>
      <c r="F240" s="10">
        <f t="shared" si="15"/>
        <v>0</v>
      </c>
      <c r="G240" s="437">
        <f t="shared" si="15"/>
        <v>0</v>
      </c>
      <c r="H240" s="41">
        <f t="shared" si="15"/>
        <v>0</v>
      </c>
      <c r="I240" s="10">
        <f t="shared" si="15"/>
        <v>0</v>
      </c>
      <c r="J240" s="10">
        <f t="shared" si="13"/>
        <v>0</v>
      </c>
      <c r="K240" s="114">
        <f t="shared" si="14"/>
        <v>80294.139839034193</v>
      </c>
    </row>
    <row r="241" spans="1:11" x14ac:dyDescent="0.25">
      <c r="A241" s="49">
        <f>'A) Base RI'!A240</f>
        <v>5798</v>
      </c>
      <c r="B241" s="296" t="str">
        <f>'A) Base RI'!B240</f>
        <v>Ropraz</v>
      </c>
      <c r="C241" s="10">
        <f>'A) Base RI'!V240</f>
        <v>494</v>
      </c>
      <c r="D241" s="10">
        <f t="shared" si="16"/>
        <v>494</v>
      </c>
      <c r="E241" s="437">
        <f t="shared" si="15"/>
        <v>0</v>
      </c>
      <c r="F241" s="10">
        <f t="shared" si="15"/>
        <v>0</v>
      </c>
      <c r="G241" s="437">
        <f t="shared" si="15"/>
        <v>0</v>
      </c>
      <c r="H241" s="41">
        <f t="shared" si="15"/>
        <v>0</v>
      </c>
      <c r="I241" s="10">
        <f t="shared" si="15"/>
        <v>0</v>
      </c>
      <c r="J241" s="10">
        <f t="shared" si="13"/>
        <v>0</v>
      </c>
      <c r="K241" s="114">
        <f t="shared" si="14"/>
        <v>61687.877263581482</v>
      </c>
    </row>
    <row r="242" spans="1:11" x14ac:dyDescent="0.25">
      <c r="A242" s="49">
        <f>'A) Base RI'!A241</f>
        <v>5799</v>
      </c>
      <c r="B242" s="296" t="str">
        <f>'A) Base RI'!B241</f>
        <v>Servion</v>
      </c>
      <c r="C242" s="10">
        <f>'A) Base RI'!V241</f>
        <v>1942</v>
      </c>
      <c r="D242" s="10">
        <f t="shared" si="16"/>
        <v>1000</v>
      </c>
      <c r="E242" s="437">
        <f t="shared" si="15"/>
        <v>942</v>
      </c>
      <c r="F242" s="10">
        <f t="shared" si="15"/>
        <v>0</v>
      </c>
      <c r="G242" s="437">
        <f t="shared" si="15"/>
        <v>0</v>
      </c>
      <c r="H242" s="41">
        <f t="shared" si="15"/>
        <v>0</v>
      </c>
      <c r="I242" s="10">
        <f t="shared" si="15"/>
        <v>0</v>
      </c>
      <c r="J242" s="10">
        <f t="shared" si="13"/>
        <v>0</v>
      </c>
      <c r="K242" s="114">
        <f t="shared" si="14"/>
        <v>454242.55533199187</v>
      </c>
    </row>
    <row r="243" spans="1:11" x14ac:dyDescent="0.25">
      <c r="A243" s="49">
        <f>'A) Base RI'!A242</f>
        <v>5803</v>
      </c>
      <c r="B243" s="296" t="str">
        <f>'A) Base RI'!B242</f>
        <v>Vulliens</v>
      </c>
      <c r="C243" s="10">
        <f>'A) Base RI'!V242</f>
        <v>595</v>
      </c>
      <c r="D243" s="10">
        <f t="shared" si="16"/>
        <v>595</v>
      </c>
      <c r="E243" s="437">
        <f t="shared" si="15"/>
        <v>0</v>
      </c>
      <c r="F243" s="10">
        <f t="shared" si="15"/>
        <v>0</v>
      </c>
      <c r="G243" s="437">
        <f t="shared" si="15"/>
        <v>0</v>
      </c>
      <c r="H243" s="41">
        <f t="shared" si="15"/>
        <v>0</v>
      </c>
      <c r="I243" s="10">
        <f t="shared" si="15"/>
        <v>0</v>
      </c>
      <c r="J243" s="10">
        <f t="shared" si="13"/>
        <v>0</v>
      </c>
      <c r="K243" s="114">
        <f t="shared" si="14"/>
        <v>74300.176056338023</v>
      </c>
    </row>
    <row r="244" spans="1:11" x14ac:dyDescent="0.25">
      <c r="A244" s="49">
        <f>'A) Base RI'!A243</f>
        <v>5804</v>
      </c>
      <c r="B244" s="296" t="str">
        <f>'A) Base RI'!B243</f>
        <v>Jorat-Menthue</v>
      </c>
      <c r="C244" s="10">
        <f>'A) Base RI'!V243</f>
        <v>1586</v>
      </c>
      <c r="D244" s="10">
        <f t="shared" si="16"/>
        <v>1000</v>
      </c>
      <c r="E244" s="437">
        <f t="shared" si="15"/>
        <v>586</v>
      </c>
      <c r="F244" s="10">
        <f t="shared" si="15"/>
        <v>0</v>
      </c>
      <c r="G244" s="437">
        <f t="shared" si="15"/>
        <v>0</v>
      </c>
      <c r="H244" s="41">
        <f t="shared" si="15"/>
        <v>0</v>
      </c>
      <c r="I244" s="10">
        <f t="shared" si="15"/>
        <v>0</v>
      </c>
      <c r="J244" s="10">
        <f t="shared" si="13"/>
        <v>0</v>
      </c>
      <c r="K244" s="114">
        <f t="shared" si="14"/>
        <v>329767.907444668</v>
      </c>
    </row>
    <row r="245" spans="1:11" x14ac:dyDescent="0.25">
      <c r="A245" s="49">
        <f>'A) Base RI'!A244</f>
        <v>5805</v>
      </c>
      <c r="B245" s="296" t="str">
        <f>'A) Base RI'!B244</f>
        <v>Oron</v>
      </c>
      <c r="C245" s="10">
        <f>'A) Base RI'!V244</f>
        <v>5501</v>
      </c>
      <c r="D245" s="10">
        <f t="shared" si="16"/>
        <v>1000</v>
      </c>
      <c r="E245" s="437">
        <f t="shared" si="15"/>
        <v>2000</v>
      </c>
      <c r="F245" s="10">
        <f t="shared" si="15"/>
        <v>2000</v>
      </c>
      <c r="G245" s="437">
        <f t="shared" si="15"/>
        <v>501</v>
      </c>
      <c r="H245" s="41">
        <f t="shared" si="15"/>
        <v>0</v>
      </c>
      <c r="I245" s="10">
        <f t="shared" si="15"/>
        <v>0</v>
      </c>
      <c r="J245" s="10">
        <f t="shared" si="13"/>
        <v>0</v>
      </c>
      <c r="K245" s="114">
        <f t="shared" si="14"/>
        <v>2123461.5694164988</v>
      </c>
    </row>
    <row r="246" spans="1:11" x14ac:dyDescent="0.25">
      <c r="A246" s="49">
        <f>'A) Base RI'!A245</f>
        <v>5806</v>
      </c>
      <c r="B246" s="296" t="str">
        <f>'A) Base RI'!B245</f>
        <v>Jorat-Mézières</v>
      </c>
      <c r="C246" s="10">
        <f>'A) Base RI'!V245</f>
        <v>2869</v>
      </c>
      <c r="D246" s="10">
        <f t="shared" si="16"/>
        <v>1000</v>
      </c>
      <c r="E246" s="437">
        <f t="shared" si="15"/>
        <v>1869</v>
      </c>
      <c r="F246" s="10">
        <f t="shared" si="15"/>
        <v>0</v>
      </c>
      <c r="G246" s="437">
        <f t="shared" si="15"/>
        <v>0</v>
      </c>
      <c r="H246" s="41">
        <f t="shared" si="15"/>
        <v>0</v>
      </c>
      <c r="I246" s="10">
        <f t="shared" si="15"/>
        <v>0</v>
      </c>
      <c r="J246" s="10">
        <f t="shared" si="13"/>
        <v>0</v>
      </c>
      <c r="K246" s="114">
        <f t="shared" si="14"/>
        <v>778366.14688128768</v>
      </c>
    </row>
    <row r="247" spans="1:11" x14ac:dyDescent="0.25">
      <c r="A247" s="49">
        <f>'A) Base RI'!A246</f>
        <v>5812</v>
      </c>
      <c r="B247" s="296" t="str">
        <f>'A) Base RI'!B246</f>
        <v>Champtauroz</v>
      </c>
      <c r="C247" s="10">
        <f>'A) Base RI'!V246</f>
        <v>122</v>
      </c>
      <c r="D247" s="10">
        <f t="shared" si="16"/>
        <v>122</v>
      </c>
      <c r="E247" s="437">
        <f t="shared" si="15"/>
        <v>0</v>
      </c>
      <c r="F247" s="10">
        <f t="shared" si="15"/>
        <v>0</v>
      </c>
      <c r="G247" s="437">
        <f t="shared" si="15"/>
        <v>0</v>
      </c>
      <c r="H247" s="41">
        <f t="shared" si="15"/>
        <v>0</v>
      </c>
      <c r="I247" s="10">
        <f t="shared" si="15"/>
        <v>0</v>
      </c>
      <c r="J247" s="10">
        <f t="shared" si="13"/>
        <v>0</v>
      </c>
      <c r="K247" s="114">
        <f t="shared" si="14"/>
        <v>15234.657947686115</v>
      </c>
    </row>
    <row r="248" spans="1:11" x14ac:dyDescent="0.25">
      <c r="A248" s="49">
        <f>'A) Base RI'!A247</f>
        <v>5813</v>
      </c>
      <c r="B248" s="296" t="str">
        <f>'A) Base RI'!B247</f>
        <v>Chevroux</v>
      </c>
      <c r="C248" s="10">
        <f>'A) Base RI'!V247</f>
        <v>480</v>
      </c>
      <c r="D248" s="10">
        <f t="shared" si="16"/>
        <v>480</v>
      </c>
      <c r="E248" s="437">
        <f t="shared" si="15"/>
        <v>0</v>
      </c>
      <c r="F248" s="10">
        <f t="shared" si="15"/>
        <v>0</v>
      </c>
      <c r="G248" s="437">
        <f t="shared" si="15"/>
        <v>0</v>
      </c>
      <c r="H248" s="41">
        <f t="shared" si="15"/>
        <v>0</v>
      </c>
      <c r="I248" s="10">
        <f t="shared" si="15"/>
        <v>0</v>
      </c>
      <c r="J248" s="10">
        <f t="shared" si="13"/>
        <v>0</v>
      </c>
      <c r="K248" s="114">
        <f t="shared" si="14"/>
        <v>59939.637826961763</v>
      </c>
    </row>
    <row r="249" spans="1:11" x14ac:dyDescent="0.25">
      <c r="A249" s="49">
        <f>'A) Base RI'!A248</f>
        <v>5816</v>
      </c>
      <c r="B249" s="296" t="str">
        <f>'A) Base RI'!B248</f>
        <v>Corcelles-près-Payerne</v>
      </c>
      <c r="C249" s="10">
        <f>'A) Base RI'!V248</f>
        <v>2479</v>
      </c>
      <c r="D249" s="10">
        <f t="shared" si="16"/>
        <v>1000</v>
      </c>
      <c r="E249" s="437">
        <f t="shared" si="15"/>
        <v>1479</v>
      </c>
      <c r="F249" s="10">
        <f t="shared" si="15"/>
        <v>0</v>
      </c>
      <c r="G249" s="437">
        <f t="shared" si="15"/>
        <v>0</v>
      </c>
      <c r="H249" s="41">
        <f t="shared" si="15"/>
        <v>0</v>
      </c>
      <c r="I249" s="10">
        <f t="shared" si="15"/>
        <v>0</v>
      </c>
      <c r="J249" s="10">
        <f t="shared" si="13"/>
        <v>0</v>
      </c>
      <c r="K249" s="114">
        <f t="shared" si="14"/>
        <v>642003.47082494968</v>
      </c>
    </row>
    <row r="250" spans="1:11" x14ac:dyDescent="0.25">
      <c r="A250" s="49">
        <f>'A) Base RI'!A249</f>
        <v>5817</v>
      </c>
      <c r="B250" s="296" t="str">
        <f>'A) Base RI'!B249</f>
        <v>Grandcour</v>
      </c>
      <c r="C250" s="10">
        <f>'A) Base RI'!V249</f>
        <v>929</v>
      </c>
      <c r="D250" s="10">
        <f t="shared" si="16"/>
        <v>929</v>
      </c>
      <c r="E250" s="437">
        <f t="shared" si="15"/>
        <v>0</v>
      </c>
      <c r="F250" s="10">
        <f t="shared" si="15"/>
        <v>0</v>
      </c>
      <c r="G250" s="437">
        <f t="shared" si="15"/>
        <v>0</v>
      </c>
      <c r="H250" s="41">
        <f t="shared" si="15"/>
        <v>0</v>
      </c>
      <c r="I250" s="10">
        <f t="shared" si="15"/>
        <v>0</v>
      </c>
      <c r="J250" s="10">
        <f t="shared" si="13"/>
        <v>0</v>
      </c>
      <c r="K250" s="114">
        <f t="shared" si="14"/>
        <v>116008.17404426557</v>
      </c>
    </row>
    <row r="251" spans="1:11" x14ac:dyDescent="0.25">
      <c r="A251" s="49">
        <f>'A) Base RI'!A250</f>
        <v>5819</v>
      </c>
      <c r="B251" s="296" t="str">
        <f>'A) Base RI'!B250</f>
        <v>Henniez</v>
      </c>
      <c r="C251" s="10">
        <f>'A) Base RI'!V250</f>
        <v>341</v>
      </c>
      <c r="D251" s="10">
        <f t="shared" si="16"/>
        <v>341</v>
      </c>
      <c r="E251" s="437">
        <f t="shared" si="15"/>
        <v>0</v>
      </c>
      <c r="F251" s="10">
        <f t="shared" si="15"/>
        <v>0</v>
      </c>
      <c r="G251" s="437">
        <f t="shared" si="15"/>
        <v>0</v>
      </c>
      <c r="H251" s="41">
        <f t="shared" si="15"/>
        <v>0</v>
      </c>
      <c r="I251" s="10">
        <f t="shared" si="15"/>
        <v>0</v>
      </c>
      <c r="J251" s="10">
        <f t="shared" si="13"/>
        <v>0</v>
      </c>
      <c r="K251" s="114">
        <f t="shared" si="14"/>
        <v>42582.117706237419</v>
      </c>
    </row>
    <row r="252" spans="1:11" x14ac:dyDescent="0.25">
      <c r="A252" s="49">
        <f>'A) Base RI'!A251</f>
        <v>5821</v>
      </c>
      <c r="B252" s="296" t="str">
        <f>'A) Base RI'!B251</f>
        <v>Missy</v>
      </c>
      <c r="C252" s="10">
        <f>'A) Base RI'!V251</f>
        <v>368</v>
      </c>
      <c r="D252" s="10">
        <f t="shared" si="16"/>
        <v>368</v>
      </c>
      <c r="E252" s="437">
        <f t="shared" si="15"/>
        <v>0</v>
      </c>
      <c r="F252" s="10">
        <f t="shared" si="15"/>
        <v>0</v>
      </c>
      <c r="G252" s="437">
        <f t="shared" si="15"/>
        <v>0</v>
      </c>
      <c r="H252" s="41">
        <f t="shared" si="15"/>
        <v>0</v>
      </c>
      <c r="I252" s="10">
        <f t="shared" si="15"/>
        <v>0</v>
      </c>
      <c r="J252" s="10">
        <f t="shared" si="13"/>
        <v>0</v>
      </c>
      <c r="K252" s="114">
        <f t="shared" si="14"/>
        <v>45953.722334004015</v>
      </c>
    </row>
    <row r="253" spans="1:11" x14ac:dyDescent="0.25">
      <c r="A253" s="49">
        <f>'A) Base RI'!A252</f>
        <v>5822</v>
      </c>
      <c r="B253" s="296" t="str">
        <f>'A) Base RI'!B252</f>
        <v>Payerne</v>
      </c>
      <c r="C253" s="10">
        <f>'A) Base RI'!V252</f>
        <v>9971</v>
      </c>
      <c r="D253" s="10">
        <f t="shared" si="16"/>
        <v>1000</v>
      </c>
      <c r="E253" s="437">
        <f t="shared" si="15"/>
        <v>2000</v>
      </c>
      <c r="F253" s="10">
        <f t="shared" si="15"/>
        <v>2000</v>
      </c>
      <c r="G253" s="437">
        <f t="shared" si="15"/>
        <v>4000</v>
      </c>
      <c r="H253" s="41">
        <f t="shared" si="15"/>
        <v>971</v>
      </c>
      <c r="I253" s="10">
        <f t="shared" si="15"/>
        <v>0</v>
      </c>
      <c r="J253" s="10">
        <f t="shared" si="13"/>
        <v>0</v>
      </c>
      <c r="K253" s="114">
        <f t="shared" si="14"/>
        <v>5045269.164989939</v>
      </c>
    </row>
    <row r="254" spans="1:11" x14ac:dyDescent="0.25">
      <c r="A254" s="49">
        <f>'A) Base RI'!A253</f>
        <v>5827</v>
      </c>
      <c r="B254" s="296" t="str">
        <f>'A) Base RI'!B253</f>
        <v>Trey</v>
      </c>
      <c r="C254" s="10">
        <f>'A) Base RI'!V253</f>
        <v>267</v>
      </c>
      <c r="D254" s="10">
        <f t="shared" si="16"/>
        <v>267</v>
      </c>
      <c r="E254" s="437">
        <f t="shared" si="15"/>
        <v>0</v>
      </c>
      <c r="F254" s="10">
        <f t="shared" si="15"/>
        <v>0</v>
      </c>
      <c r="G254" s="437">
        <f t="shared" si="15"/>
        <v>0</v>
      </c>
      <c r="H254" s="41">
        <f t="shared" si="15"/>
        <v>0</v>
      </c>
      <c r="I254" s="10">
        <f t="shared" si="15"/>
        <v>0</v>
      </c>
      <c r="J254" s="10">
        <f t="shared" si="13"/>
        <v>0</v>
      </c>
      <c r="K254" s="114">
        <f t="shared" si="14"/>
        <v>33341.423541247481</v>
      </c>
    </row>
    <row r="255" spans="1:11" x14ac:dyDescent="0.25">
      <c r="A255" s="49">
        <f>'A) Base RI'!A254</f>
        <v>5828</v>
      </c>
      <c r="B255" s="296" t="str">
        <f>'A) Base RI'!B254</f>
        <v>Treytorrens (Payerne)</v>
      </c>
      <c r="C255" s="10">
        <f>'A) Base RI'!V254</f>
        <v>119</v>
      </c>
      <c r="D255" s="10">
        <f t="shared" si="16"/>
        <v>119</v>
      </c>
      <c r="E255" s="437">
        <f t="shared" si="15"/>
        <v>0</v>
      </c>
      <c r="F255" s="10">
        <f t="shared" si="15"/>
        <v>0</v>
      </c>
      <c r="G255" s="437">
        <f t="shared" si="15"/>
        <v>0</v>
      </c>
      <c r="H255" s="41">
        <f t="shared" si="15"/>
        <v>0</v>
      </c>
      <c r="I255" s="10">
        <f t="shared" si="15"/>
        <v>0</v>
      </c>
      <c r="J255" s="10">
        <f t="shared" si="13"/>
        <v>0</v>
      </c>
      <c r="K255" s="114">
        <f t="shared" si="14"/>
        <v>14860.035211267603</v>
      </c>
    </row>
    <row r="256" spans="1:11" x14ac:dyDescent="0.25">
      <c r="A256" s="49">
        <f>'A) Base RI'!A255</f>
        <v>5830</v>
      </c>
      <c r="B256" s="296" t="str">
        <f>'A) Base RI'!B255</f>
        <v>Villarzel</v>
      </c>
      <c r="C256" s="10">
        <f>'A) Base RI'!V255</f>
        <v>446</v>
      </c>
      <c r="D256" s="10">
        <f t="shared" si="16"/>
        <v>446</v>
      </c>
      <c r="E256" s="437">
        <f t="shared" si="15"/>
        <v>0</v>
      </c>
      <c r="F256" s="10">
        <f t="shared" si="15"/>
        <v>0</v>
      </c>
      <c r="G256" s="437">
        <f t="shared" si="15"/>
        <v>0</v>
      </c>
      <c r="H256" s="41">
        <f t="shared" si="15"/>
        <v>0</v>
      </c>
      <c r="I256" s="10">
        <f t="shared" si="15"/>
        <v>0</v>
      </c>
      <c r="J256" s="10">
        <f t="shared" si="13"/>
        <v>0</v>
      </c>
      <c r="K256" s="114">
        <f t="shared" si="14"/>
        <v>55693.913480885305</v>
      </c>
    </row>
    <row r="257" spans="1:11" x14ac:dyDescent="0.25">
      <c r="A257" s="49">
        <f>'A) Base RI'!A256</f>
        <v>5831</v>
      </c>
      <c r="B257" s="296" t="str">
        <f>'A) Base RI'!B256</f>
        <v>Valbroye</v>
      </c>
      <c r="C257" s="10">
        <f>'A) Base RI'!V256</f>
        <v>3174</v>
      </c>
      <c r="D257" s="10">
        <f t="shared" si="16"/>
        <v>1000</v>
      </c>
      <c r="E257" s="437">
        <f t="shared" si="15"/>
        <v>2000</v>
      </c>
      <c r="F257" s="10">
        <f t="shared" si="15"/>
        <v>174</v>
      </c>
      <c r="G257" s="437">
        <f t="shared" si="15"/>
        <v>0</v>
      </c>
      <c r="H257" s="41">
        <f t="shared" si="15"/>
        <v>0</v>
      </c>
      <c r="I257" s="10">
        <f t="shared" si="15"/>
        <v>0</v>
      </c>
      <c r="J257" s="10">
        <f t="shared" si="13"/>
        <v>0</v>
      </c>
      <c r="K257" s="114">
        <f t="shared" si="14"/>
        <v>911082.49496981874</v>
      </c>
    </row>
    <row r="258" spans="1:11" x14ac:dyDescent="0.25">
      <c r="A258" s="49">
        <f>'A) Base RI'!A257</f>
        <v>5841</v>
      </c>
      <c r="B258" s="296" t="str">
        <f>'A) Base RI'!B257</f>
        <v>Château-d'Oex</v>
      </c>
      <c r="C258" s="10">
        <f>'A) Base RI'!V257</f>
        <v>3460</v>
      </c>
      <c r="D258" s="10">
        <f t="shared" si="16"/>
        <v>1000</v>
      </c>
      <c r="E258" s="437">
        <f t="shared" si="15"/>
        <v>2000</v>
      </c>
      <c r="F258" s="10">
        <f t="shared" si="15"/>
        <v>460</v>
      </c>
      <c r="G258" s="437">
        <f t="shared" si="15"/>
        <v>0</v>
      </c>
      <c r="H258" s="41">
        <f t="shared" si="15"/>
        <v>0</v>
      </c>
      <c r="I258" s="10">
        <f t="shared" si="15"/>
        <v>0</v>
      </c>
      <c r="J258" s="10">
        <f t="shared" si="13"/>
        <v>0</v>
      </c>
      <c r="K258" s="114">
        <f t="shared" si="14"/>
        <v>1053938.6317907444</v>
      </c>
    </row>
    <row r="259" spans="1:11" x14ac:dyDescent="0.25">
      <c r="A259" s="49">
        <f>'A) Base RI'!A258</f>
        <v>5842</v>
      </c>
      <c r="B259" s="296" t="str">
        <f>'A) Base RI'!B258</f>
        <v>Rossinière</v>
      </c>
      <c r="C259" s="10">
        <f>'A) Base RI'!V258</f>
        <v>548</v>
      </c>
      <c r="D259" s="10">
        <f t="shared" si="16"/>
        <v>548</v>
      </c>
      <c r="E259" s="437">
        <f t="shared" si="15"/>
        <v>0</v>
      </c>
      <c r="F259" s="10">
        <f t="shared" si="15"/>
        <v>0</v>
      </c>
      <c r="G259" s="437">
        <f t="shared" ref="E259:I310" si="17">IF($C259&gt;G$4,IF($C259&lt;G$5,$C259-G$4,G$5-G$4),0)</f>
        <v>0</v>
      </c>
      <c r="H259" s="41">
        <f t="shared" si="17"/>
        <v>0</v>
      </c>
      <c r="I259" s="10">
        <f t="shared" si="17"/>
        <v>0</v>
      </c>
      <c r="J259" s="10">
        <f t="shared" si="13"/>
        <v>0</v>
      </c>
      <c r="K259" s="114">
        <f t="shared" si="14"/>
        <v>68431.086519114673</v>
      </c>
    </row>
    <row r="260" spans="1:11" x14ac:dyDescent="0.25">
      <c r="A260" s="49">
        <f>'A) Base RI'!A259</f>
        <v>5843</v>
      </c>
      <c r="B260" s="296" t="str">
        <f>'A) Base RI'!B259</f>
        <v>Rougemont</v>
      </c>
      <c r="C260" s="10">
        <f>'A) Base RI'!V259</f>
        <v>882</v>
      </c>
      <c r="D260" s="10">
        <f t="shared" si="16"/>
        <v>882</v>
      </c>
      <c r="E260" s="437">
        <f t="shared" si="17"/>
        <v>0</v>
      </c>
      <c r="F260" s="10">
        <f t="shared" si="17"/>
        <v>0</v>
      </c>
      <c r="G260" s="437">
        <f t="shared" si="17"/>
        <v>0</v>
      </c>
      <c r="H260" s="41">
        <f t="shared" si="17"/>
        <v>0</v>
      </c>
      <c r="I260" s="10">
        <f t="shared" si="17"/>
        <v>0</v>
      </c>
      <c r="J260" s="10">
        <f t="shared" si="13"/>
        <v>0</v>
      </c>
      <c r="K260" s="114">
        <f t="shared" si="14"/>
        <v>110139.08450704224</v>
      </c>
    </row>
    <row r="261" spans="1:11" x14ac:dyDescent="0.25">
      <c r="A261" s="49">
        <f>'A) Base RI'!A260</f>
        <v>5851</v>
      </c>
      <c r="B261" s="296" t="str">
        <f>'A) Base RI'!B260</f>
        <v>Allaman</v>
      </c>
      <c r="C261" s="10">
        <f>'A) Base RI'!V260</f>
        <v>434</v>
      </c>
      <c r="D261" s="10">
        <f t="shared" si="16"/>
        <v>434</v>
      </c>
      <c r="E261" s="437">
        <f t="shared" si="17"/>
        <v>0</v>
      </c>
      <c r="F261" s="10">
        <f t="shared" si="17"/>
        <v>0</v>
      </c>
      <c r="G261" s="437">
        <f t="shared" si="17"/>
        <v>0</v>
      </c>
      <c r="H261" s="41">
        <f t="shared" si="17"/>
        <v>0</v>
      </c>
      <c r="I261" s="10">
        <f t="shared" si="17"/>
        <v>0</v>
      </c>
      <c r="J261" s="10">
        <f t="shared" si="13"/>
        <v>0</v>
      </c>
      <c r="K261" s="114">
        <f t="shared" si="14"/>
        <v>54195.422535211263</v>
      </c>
    </row>
    <row r="262" spans="1:11" x14ac:dyDescent="0.25">
      <c r="A262" s="49">
        <f>'A) Base RI'!A261</f>
        <v>5852</v>
      </c>
      <c r="B262" s="296" t="str">
        <f>'A) Base RI'!B261</f>
        <v>Bursinel</v>
      </c>
      <c r="C262" s="10">
        <f>'A) Base RI'!V261</f>
        <v>471</v>
      </c>
      <c r="D262" s="10">
        <f t="shared" si="16"/>
        <v>471</v>
      </c>
      <c r="E262" s="437">
        <f t="shared" si="17"/>
        <v>0</v>
      </c>
      <c r="F262" s="10">
        <f t="shared" si="17"/>
        <v>0</v>
      </c>
      <c r="G262" s="437">
        <f t="shared" si="17"/>
        <v>0</v>
      </c>
      <c r="H262" s="41">
        <f t="shared" si="17"/>
        <v>0</v>
      </c>
      <c r="I262" s="10">
        <f t="shared" si="17"/>
        <v>0</v>
      </c>
      <c r="J262" s="10">
        <f t="shared" si="13"/>
        <v>0</v>
      </c>
      <c r="K262" s="114">
        <f t="shared" si="14"/>
        <v>58815.769617706232</v>
      </c>
    </row>
    <row r="263" spans="1:11" x14ac:dyDescent="0.25">
      <c r="A263" s="49">
        <f>'A) Base RI'!A262</f>
        <v>5853</v>
      </c>
      <c r="B263" s="296" t="str">
        <f>'A) Base RI'!B262</f>
        <v>Bursins</v>
      </c>
      <c r="C263" s="10">
        <f>'A) Base RI'!V262</f>
        <v>752</v>
      </c>
      <c r="D263" s="10">
        <f t="shared" si="16"/>
        <v>752</v>
      </c>
      <c r="E263" s="437">
        <f t="shared" si="17"/>
        <v>0</v>
      </c>
      <c r="F263" s="10">
        <f t="shared" si="17"/>
        <v>0</v>
      </c>
      <c r="G263" s="437">
        <f t="shared" si="17"/>
        <v>0</v>
      </c>
      <c r="H263" s="41">
        <f t="shared" si="17"/>
        <v>0</v>
      </c>
      <c r="I263" s="10">
        <f t="shared" si="17"/>
        <v>0</v>
      </c>
      <c r="J263" s="10">
        <f t="shared" si="13"/>
        <v>0</v>
      </c>
      <c r="K263" s="114">
        <f t="shared" si="14"/>
        <v>93905.432595573424</v>
      </c>
    </row>
    <row r="264" spans="1:11" x14ac:dyDescent="0.25">
      <c r="A264" s="49">
        <f>'A) Base RI'!A263</f>
        <v>5854</v>
      </c>
      <c r="B264" s="296" t="str">
        <f>'A) Base RI'!B263</f>
        <v>Burtigny</v>
      </c>
      <c r="C264" s="10">
        <f>'A) Base RI'!V263</f>
        <v>391</v>
      </c>
      <c r="D264" s="10">
        <f t="shared" si="16"/>
        <v>391</v>
      </c>
      <c r="E264" s="437">
        <f t="shared" si="17"/>
        <v>0</v>
      </c>
      <c r="F264" s="10">
        <f t="shared" si="17"/>
        <v>0</v>
      </c>
      <c r="G264" s="437">
        <f t="shared" si="17"/>
        <v>0</v>
      </c>
      <c r="H264" s="41">
        <f t="shared" si="17"/>
        <v>0</v>
      </c>
      <c r="I264" s="10">
        <f t="shared" si="17"/>
        <v>0</v>
      </c>
      <c r="J264" s="10">
        <f t="shared" si="13"/>
        <v>0</v>
      </c>
      <c r="K264" s="114">
        <f t="shared" si="14"/>
        <v>48825.829979879265</v>
      </c>
    </row>
    <row r="265" spans="1:11" x14ac:dyDescent="0.25">
      <c r="A265" s="49">
        <f>'A) Base RI'!A264</f>
        <v>5855</v>
      </c>
      <c r="B265" s="296" t="str">
        <f>'A) Base RI'!B264</f>
        <v>Dully</v>
      </c>
      <c r="C265" s="10">
        <f>'A) Base RI'!V264</f>
        <v>635</v>
      </c>
      <c r="D265" s="10">
        <f t="shared" si="16"/>
        <v>635</v>
      </c>
      <c r="E265" s="437">
        <f t="shared" si="17"/>
        <v>0</v>
      </c>
      <c r="F265" s="10">
        <f t="shared" si="17"/>
        <v>0</v>
      </c>
      <c r="G265" s="437">
        <f t="shared" si="17"/>
        <v>0</v>
      </c>
      <c r="H265" s="41">
        <f t="shared" si="17"/>
        <v>0</v>
      </c>
      <c r="I265" s="10">
        <f t="shared" si="17"/>
        <v>0</v>
      </c>
      <c r="J265" s="10">
        <f t="shared" ref="J265:J316" si="18">IF(C265&gt;$J$4,C265-$J$4,0)</f>
        <v>0</v>
      </c>
      <c r="K265" s="114">
        <f t="shared" ref="K265:K316" si="19">(D265*D$7)+(E265*E$7)+(F265*F$7)+(G265*G$7)+(H265*H$7)+(I265*I$7)+(J265*J$7)</f>
        <v>79295.145875251503</v>
      </c>
    </row>
    <row r="266" spans="1:11" x14ac:dyDescent="0.25">
      <c r="A266" s="49">
        <f>'A) Base RI'!A265</f>
        <v>5856</v>
      </c>
      <c r="B266" s="296" t="str">
        <f>'A) Base RI'!B265</f>
        <v>Essertines-sur-Rolle</v>
      </c>
      <c r="C266" s="10">
        <f>'A) Base RI'!V265</f>
        <v>726</v>
      </c>
      <c r="D266" s="10">
        <f t="shared" si="16"/>
        <v>726</v>
      </c>
      <c r="E266" s="437">
        <f t="shared" si="17"/>
        <v>0</v>
      </c>
      <c r="F266" s="10">
        <f t="shared" si="17"/>
        <v>0</v>
      </c>
      <c r="G266" s="437">
        <f t="shared" si="17"/>
        <v>0</v>
      </c>
      <c r="H266" s="41">
        <f t="shared" si="17"/>
        <v>0</v>
      </c>
      <c r="I266" s="10">
        <f t="shared" si="17"/>
        <v>0</v>
      </c>
      <c r="J266" s="10">
        <f t="shared" si="18"/>
        <v>0</v>
      </c>
      <c r="K266" s="114">
        <f t="shared" si="19"/>
        <v>90658.70221327967</v>
      </c>
    </row>
    <row r="267" spans="1:11" x14ac:dyDescent="0.25">
      <c r="A267" s="49">
        <f>'A) Base RI'!A266</f>
        <v>5857</v>
      </c>
      <c r="B267" s="296" t="str">
        <f>'A) Base RI'!B266</f>
        <v>Gilly</v>
      </c>
      <c r="C267" s="10">
        <f>'A) Base RI'!V266</f>
        <v>1324</v>
      </c>
      <c r="D267" s="10">
        <f t="shared" si="16"/>
        <v>1000</v>
      </c>
      <c r="E267" s="437">
        <f t="shared" si="17"/>
        <v>324</v>
      </c>
      <c r="F267" s="10">
        <f t="shared" si="17"/>
        <v>0</v>
      </c>
      <c r="G267" s="437">
        <f t="shared" si="17"/>
        <v>0</v>
      </c>
      <c r="H267" s="41">
        <f t="shared" si="17"/>
        <v>0</v>
      </c>
      <c r="I267" s="10">
        <f t="shared" si="17"/>
        <v>0</v>
      </c>
      <c r="J267" s="10">
        <f t="shared" si="18"/>
        <v>0</v>
      </c>
      <c r="K267" s="114">
        <f t="shared" si="19"/>
        <v>238160.16096579476</v>
      </c>
    </row>
    <row r="268" spans="1:11" x14ac:dyDescent="0.25">
      <c r="A268" s="49">
        <f>'A) Base RI'!A267</f>
        <v>5858</v>
      </c>
      <c r="B268" s="296" t="str">
        <f>'A) Base RI'!B267</f>
        <v>Luins</v>
      </c>
      <c r="C268" s="10">
        <f>'A) Base RI'!V267</f>
        <v>613</v>
      </c>
      <c r="D268" s="10">
        <f t="shared" si="16"/>
        <v>613</v>
      </c>
      <c r="E268" s="437">
        <f t="shared" si="17"/>
        <v>0</v>
      </c>
      <c r="F268" s="10">
        <f t="shared" si="17"/>
        <v>0</v>
      </c>
      <c r="G268" s="437">
        <f t="shared" si="17"/>
        <v>0</v>
      </c>
      <c r="H268" s="41">
        <f t="shared" si="17"/>
        <v>0</v>
      </c>
      <c r="I268" s="10">
        <f t="shared" si="17"/>
        <v>0</v>
      </c>
      <c r="J268" s="10">
        <f t="shared" si="18"/>
        <v>0</v>
      </c>
      <c r="K268" s="114">
        <f t="shared" si="19"/>
        <v>76547.912474849087</v>
      </c>
    </row>
    <row r="269" spans="1:11" x14ac:dyDescent="0.25">
      <c r="A269" s="49">
        <f>'A) Base RI'!A268</f>
        <v>5859</v>
      </c>
      <c r="B269" s="296" t="str">
        <f>'A) Base RI'!B268</f>
        <v>Mont-sur-Rolle</v>
      </c>
      <c r="C269" s="10">
        <f>'A) Base RI'!V268</f>
        <v>2651</v>
      </c>
      <c r="D269" s="10">
        <f t="shared" si="16"/>
        <v>1000</v>
      </c>
      <c r="E269" s="437">
        <f t="shared" si="17"/>
        <v>1651</v>
      </c>
      <c r="F269" s="10">
        <f t="shared" si="17"/>
        <v>0</v>
      </c>
      <c r="G269" s="437">
        <f t="shared" si="17"/>
        <v>0</v>
      </c>
      <c r="H269" s="41">
        <f t="shared" si="17"/>
        <v>0</v>
      </c>
      <c r="I269" s="10">
        <f t="shared" si="17"/>
        <v>0</v>
      </c>
      <c r="J269" s="10">
        <f t="shared" si="18"/>
        <v>0</v>
      </c>
      <c r="K269" s="114">
        <f t="shared" si="19"/>
        <v>702142.90744466789</v>
      </c>
    </row>
    <row r="270" spans="1:11" x14ac:dyDescent="0.25">
      <c r="A270" s="49">
        <f>'A) Base RI'!A269</f>
        <v>5860</v>
      </c>
      <c r="B270" s="296" t="str">
        <f>'A) Base RI'!B269</f>
        <v>Perroy</v>
      </c>
      <c r="C270" s="10">
        <f>'A) Base RI'!V269</f>
        <v>1542</v>
      </c>
      <c r="D270" s="10">
        <f t="shared" si="16"/>
        <v>1000</v>
      </c>
      <c r="E270" s="437">
        <f t="shared" si="17"/>
        <v>542</v>
      </c>
      <c r="F270" s="10">
        <f t="shared" si="17"/>
        <v>0</v>
      </c>
      <c r="G270" s="437">
        <f t="shared" si="17"/>
        <v>0</v>
      </c>
      <c r="H270" s="41">
        <f t="shared" si="17"/>
        <v>0</v>
      </c>
      <c r="I270" s="10">
        <f t="shared" si="17"/>
        <v>0</v>
      </c>
      <c r="J270" s="10">
        <f t="shared" si="18"/>
        <v>0</v>
      </c>
      <c r="K270" s="114">
        <f t="shared" si="19"/>
        <v>314383.40040241444</v>
      </c>
    </row>
    <row r="271" spans="1:11" x14ac:dyDescent="0.25">
      <c r="A271" s="49">
        <f>'A) Base RI'!A270</f>
        <v>5861</v>
      </c>
      <c r="B271" s="296" t="str">
        <f>'A) Base RI'!B270</f>
        <v>Rolle</v>
      </c>
      <c r="C271" s="10">
        <f>'A) Base RI'!V270</f>
        <v>6246</v>
      </c>
      <c r="D271" s="10">
        <f t="shared" si="16"/>
        <v>1000</v>
      </c>
      <c r="E271" s="437">
        <f t="shared" si="17"/>
        <v>2000</v>
      </c>
      <c r="F271" s="10">
        <f t="shared" si="17"/>
        <v>2000</v>
      </c>
      <c r="G271" s="437">
        <f t="shared" si="17"/>
        <v>1246</v>
      </c>
      <c r="H271" s="41">
        <f t="shared" si="17"/>
        <v>0</v>
      </c>
      <c r="I271" s="10">
        <f t="shared" si="17"/>
        <v>0</v>
      </c>
      <c r="J271" s="10">
        <f t="shared" si="18"/>
        <v>0</v>
      </c>
      <c r="K271" s="114">
        <f t="shared" si="19"/>
        <v>2570011.8712273641</v>
      </c>
    </row>
    <row r="272" spans="1:11" x14ac:dyDescent="0.25">
      <c r="A272" s="49">
        <f>'A) Base RI'!A271</f>
        <v>5862</v>
      </c>
      <c r="B272" s="296" t="str">
        <f>'A) Base RI'!B271</f>
        <v>Tartegnin</v>
      </c>
      <c r="C272" s="10">
        <f>'A) Base RI'!V271</f>
        <v>246</v>
      </c>
      <c r="D272" s="10">
        <f t="shared" si="16"/>
        <v>246</v>
      </c>
      <c r="E272" s="437">
        <f t="shared" si="17"/>
        <v>0</v>
      </c>
      <c r="F272" s="10">
        <f t="shared" si="17"/>
        <v>0</v>
      </c>
      <c r="G272" s="437">
        <f t="shared" si="17"/>
        <v>0</v>
      </c>
      <c r="H272" s="41">
        <f t="shared" si="17"/>
        <v>0</v>
      </c>
      <c r="I272" s="10">
        <f t="shared" si="17"/>
        <v>0</v>
      </c>
      <c r="J272" s="10">
        <f t="shared" si="18"/>
        <v>0</v>
      </c>
      <c r="K272" s="114">
        <f t="shared" si="19"/>
        <v>30719.064386317903</v>
      </c>
    </row>
    <row r="273" spans="1:11" x14ac:dyDescent="0.25">
      <c r="A273" s="49">
        <f>'A) Base RI'!A272</f>
        <v>5863</v>
      </c>
      <c r="B273" s="296" t="str">
        <f>'A) Base RI'!B272</f>
        <v>Vinzel</v>
      </c>
      <c r="C273" s="10">
        <f>'A) Base RI'!V272</f>
        <v>358</v>
      </c>
      <c r="D273" s="10">
        <f t="shared" si="16"/>
        <v>358</v>
      </c>
      <c r="E273" s="437">
        <f t="shared" si="17"/>
        <v>0</v>
      </c>
      <c r="F273" s="10">
        <f t="shared" si="17"/>
        <v>0</v>
      </c>
      <c r="G273" s="437">
        <f t="shared" si="17"/>
        <v>0</v>
      </c>
      <c r="H273" s="41">
        <f t="shared" si="17"/>
        <v>0</v>
      </c>
      <c r="I273" s="10">
        <f t="shared" si="17"/>
        <v>0</v>
      </c>
      <c r="J273" s="10">
        <f t="shared" si="18"/>
        <v>0</v>
      </c>
      <c r="K273" s="114">
        <f t="shared" si="19"/>
        <v>44704.979879275648</v>
      </c>
    </row>
    <row r="274" spans="1:11" x14ac:dyDescent="0.25">
      <c r="A274" s="49">
        <f>'A) Base RI'!A273</f>
        <v>5871</v>
      </c>
      <c r="B274" s="296" t="str">
        <f>'A) Base RI'!B273</f>
        <v>L'Abbaye</v>
      </c>
      <c r="C274" s="10">
        <f>'A) Base RI'!V273</f>
        <v>1481</v>
      </c>
      <c r="D274" s="10">
        <f t="shared" si="16"/>
        <v>1000</v>
      </c>
      <c r="E274" s="437">
        <f t="shared" si="17"/>
        <v>481</v>
      </c>
      <c r="F274" s="10">
        <f t="shared" si="17"/>
        <v>0</v>
      </c>
      <c r="G274" s="437">
        <f t="shared" si="17"/>
        <v>0</v>
      </c>
      <c r="H274" s="41">
        <f t="shared" si="17"/>
        <v>0</v>
      </c>
      <c r="I274" s="10">
        <f t="shared" si="17"/>
        <v>0</v>
      </c>
      <c r="J274" s="10">
        <f t="shared" si="18"/>
        <v>0</v>
      </c>
      <c r="K274" s="114">
        <f t="shared" si="19"/>
        <v>293054.87927565386</v>
      </c>
    </row>
    <row r="275" spans="1:11" x14ac:dyDescent="0.25">
      <c r="A275" s="49">
        <f>'A) Base RI'!A274</f>
        <v>5872</v>
      </c>
      <c r="B275" s="296" t="str">
        <f>'A) Base RI'!B274</f>
        <v>Le Chenit</v>
      </c>
      <c r="C275" s="10">
        <f>'A) Base RI'!V274</f>
        <v>4605</v>
      </c>
      <c r="D275" s="10">
        <f t="shared" si="16"/>
        <v>1000</v>
      </c>
      <c r="E275" s="437">
        <f t="shared" si="17"/>
        <v>2000</v>
      </c>
      <c r="F275" s="10">
        <f t="shared" si="17"/>
        <v>1605</v>
      </c>
      <c r="G275" s="437">
        <f t="shared" si="17"/>
        <v>0</v>
      </c>
      <c r="H275" s="41">
        <f t="shared" si="17"/>
        <v>0</v>
      </c>
      <c r="I275" s="10">
        <f t="shared" si="17"/>
        <v>0</v>
      </c>
      <c r="J275" s="10">
        <f t="shared" si="18"/>
        <v>0</v>
      </c>
      <c r="K275" s="114">
        <f t="shared" si="19"/>
        <v>1625862.6760563378</v>
      </c>
    </row>
    <row r="276" spans="1:11" x14ac:dyDescent="0.25">
      <c r="A276" s="49">
        <f>'A) Base RI'!A275</f>
        <v>5873</v>
      </c>
      <c r="B276" s="296" t="str">
        <f>'A) Base RI'!B275</f>
        <v>Le Lieu</v>
      </c>
      <c r="C276" s="10">
        <f>'A) Base RI'!V275</f>
        <v>875</v>
      </c>
      <c r="D276" s="10">
        <f t="shared" si="16"/>
        <v>875</v>
      </c>
      <c r="E276" s="437">
        <f t="shared" si="17"/>
        <v>0</v>
      </c>
      <c r="F276" s="10">
        <f t="shared" si="17"/>
        <v>0</v>
      </c>
      <c r="G276" s="437">
        <f t="shared" si="17"/>
        <v>0</v>
      </c>
      <c r="H276" s="41">
        <f t="shared" si="17"/>
        <v>0</v>
      </c>
      <c r="I276" s="10">
        <f t="shared" si="17"/>
        <v>0</v>
      </c>
      <c r="J276" s="10">
        <f t="shared" si="18"/>
        <v>0</v>
      </c>
      <c r="K276" s="114">
        <f t="shared" si="19"/>
        <v>109264.96478873238</v>
      </c>
    </row>
    <row r="277" spans="1:11" x14ac:dyDescent="0.25">
      <c r="A277" s="49">
        <f>'A) Base RI'!A276</f>
        <v>5881</v>
      </c>
      <c r="B277" s="296" t="str">
        <f>'A) Base RI'!B276</f>
        <v>Blonay</v>
      </c>
      <c r="C277" s="10">
        <f>'A) Base RI'!V276</f>
        <v>6175</v>
      </c>
      <c r="D277" s="10">
        <f t="shared" si="16"/>
        <v>1000</v>
      </c>
      <c r="E277" s="437">
        <f t="shared" si="17"/>
        <v>2000</v>
      </c>
      <c r="F277" s="10">
        <f t="shared" si="17"/>
        <v>2000</v>
      </c>
      <c r="G277" s="437">
        <f t="shared" si="17"/>
        <v>1175</v>
      </c>
      <c r="H277" s="41">
        <f t="shared" si="17"/>
        <v>0</v>
      </c>
      <c r="I277" s="10">
        <f t="shared" si="17"/>
        <v>0</v>
      </c>
      <c r="J277" s="10">
        <f t="shared" si="18"/>
        <v>0</v>
      </c>
      <c r="K277" s="114">
        <f t="shared" si="19"/>
        <v>2527454.7283702209</v>
      </c>
    </row>
    <row r="278" spans="1:11" x14ac:dyDescent="0.25">
      <c r="A278" s="49">
        <f>'A) Base RI'!A277</f>
        <v>5882</v>
      </c>
      <c r="B278" s="296" t="str">
        <f>'A) Base RI'!B277</f>
        <v>Chardonne</v>
      </c>
      <c r="C278" s="10">
        <f>'A) Base RI'!V277</f>
        <v>2941</v>
      </c>
      <c r="D278" s="10">
        <f t="shared" si="16"/>
        <v>1000</v>
      </c>
      <c r="E278" s="437">
        <f t="shared" si="17"/>
        <v>1941</v>
      </c>
      <c r="F278" s="10">
        <f t="shared" si="17"/>
        <v>0</v>
      </c>
      <c r="G278" s="437">
        <f t="shared" si="17"/>
        <v>0</v>
      </c>
      <c r="H278" s="41">
        <f t="shared" si="17"/>
        <v>0</v>
      </c>
      <c r="I278" s="10">
        <f t="shared" si="17"/>
        <v>0</v>
      </c>
      <c r="J278" s="10">
        <f t="shared" si="18"/>
        <v>0</v>
      </c>
      <c r="K278" s="114">
        <f t="shared" si="19"/>
        <v>803540.79476861155</v>
      </c>
    </row>
    <row r="279" spans="1:11" x14ac:dyDescent="0.25">
      <c r="A279" s="49">
        <f>'A) Base RI'!A278</f>
        <v>5883</v>
      </c>
      <c r="B279" s="296" t="str">
        <f>'A) Base RI'!B278</f>
        <v>Corseaux</v>
      </c>
      <c r="C279" s="10">
        <f>'A) Base RI'!V278</f>
        <v>2282</v>
      </c>
      <c r="D279" s="10">
        <f t="shared" si="16"/>
        <v>1000</v>
      </c>
      <c r="E279" s="437">
        <f t="shared" si="17"/>
        <v>1282</v>
      </c>
      <c r="F279" s="10">
        <f t="shared" si="17"/>
        <v>0</v>
      </c>
      <c r="G279" s="437">
        <f t="shared" si="17"/>
        <v>0</v>
      </c>
      <c r="H279" s="41">
        <f t="shared" si="17"/>
        <v>0</v>
      </c>
      <c r="I279" s="10">
        <f t="shared" si="17"/>
        <v>0</v>
      </c>
      <c r="J279" s="10">
        <f t="shared" si="18"/>
        <v>0</v>
      </c>
      <c r="K279" s="114">
        <f t="shared" si="19"/>
        <v>573122.83702213271</v>
      </c>
    </row>
    <row r="280" spans="1:11" x14ac:dyDescent="0.25">
      <c r="A280" s="49">
        <f>'A) Base RI'!A279</f>
        <v>5884</v>
      </c>
      <c r="B280" s="296" t="str">
        <f>'A) Base RI'!B279</f>
        <v>Corsier-sur-Vevey</v>
      </c>
      <c r="C280" s="10">
        <f>'A) Base RI'!V279</f>
        <v>3386</v>
      </c>
      <c r="D280" s="10">
        <f t="shared" si="16"/>
        <v>1000</v>
      </c>
      <c r="E280" s="437">
        <f t="shared" si="17"/>
        <v>2000</v>
      </c>
      <c r="F280" s="10">
        <f t="shared" si="17"/>
        <v>386</v>
      </c>
      <c r="G280" s="437">
        <f t="shared" si="17"/>
        <v>0</v>
      </c>
      <c r="H280" s="41">
        <f t="shared" si="17"/>
        <v>0</v>
      </c>
      <c r="I280" s="10">
        <f t="shared" si="17"/>
        <v>0</v>
      </c>
      <c r="J280" s="10">
        <f t="shared" si="18"/>
        <v>0</v>
      </c>
      <c r="K280" s="114">
        <f t="shared" si="19"/>
        <v>1016975.8551307846</v>
      </c>
    </row>
    <row r="281" spans="1:11" x14ac:dyDescent="0.25">
      <c r="A281" s="49">
        <f>'A) Base RI'!A280</f>
        <v>5885</v>
      </c>
      <c r="B281" s="296" t="str">
        <f>'A) Base RI'!B280</f>
        <v>Jongny</v>
      </c>
      <c r="C281" s="10">
        <f>'A) Base RI'!V280</f>
        <v>1536</v>
      </c>
      <c r="D281" s="10">
        <f t="shared" si="16"/>
        <v>1000</v>
      </c>
      <c r="E281" s="437">
        <f t="shared" si="17"/>
        <v>536</v>
      </c>
      <c r="F281" s="10">
        <f t="shared" si="17"/>
        <v>0</v>
      </c>
      <c r="G281" s="437">
        <f t="shared" si="17"/>
        <v>0</v>
      </c>
      <c r="H281" s="41">
        <f t="shared" si="17"/>
        <v>0</v>
      </c>
      <c r="I281" s="10">
        <f t="shared" si="17"/>
        <v>0</v>
      </c>
      <c r="J281" s="10">
        <f t="shared" si="18"/>
        <v>0</v>
      </c>
      <c r="K281" s="114">
        <f t="shared" si="19"/>
        <v>312285.51307847083</v>
      </c>
    </row>
    <row r="282" spans="1:11" x14ac:dyDescent="0.25">
      <c r="A282" s="49">
        <f>'A) Base RI'!A281</f>
        <v>5886</v>
      </c>
      <c r="B282" s="296" t="str">
        <f>'A) Base RI'!B281</f>
        <v>Montreux</v>
      </c>
      <c r="C282" s="10">
        <f>'A) Base RI'!V281</f>
        <v>26006</v>
      </c>
      <c r="D282" s="10">
        <f t="shared" si="16"/>
        <v>1000</v>
      </c>
      <c r="E282" s="437">
        <f t="shared" si="17"/>
        <v>2000</v>
      </c>
      <c r="F282" s="10">
        <f t="shared" si="17"/>
        <v>2000</v>
      </c>
      <c r="G282" s="437">
        <f t="shared" si="17"/>
        <v>4000</v>
      </c>
      <c r="H282" s="41">
        <f t="shared" si="17"/>
        <v>3000</v>
      </c>
      <c r="I282" s="10">
        <f t="shared" si="17"/>
        <v>3000</v>
      </c>
      <c r="J282" s="10">
        <f t="shared" si="18"/>
        <v>11006</v>
      </c>
      <c r="K282" s="114">
        <f t="shared" si="19"/>
        <v>21309839.939637825</v>
      </c>
    </row>
    <row r="283" spans="1:11" x14ac:dyDescent="0.25">
      <c r="A283" s="49">
        <f>'A) Base RI'!A282</f>
        <v>5888</v>
      </c>
      <c r="B283" s="296" t="str">
        <f>'A) Base RI'!B282</f>
        <v>Saint-Légier-La Chiésaz</v>
      </c>
      <c r="C283" s="10">
        <f>'A) Base RI'!V282</f>
        <v>5185</v>
      </c>
      <c r="D283" s="10">
        <f t="shared" si="16"/>
        <v>1000</v>
      </c>
      <c r="E283" s="437">
        <f t="shared" si="17"/>
        <v>2000</v>
      </c>
      <c r="F283" s="10">
        <f t="shared" si="17"/>
        <v>2000</v>
      </c>
      <c r="G283" s="437">
        <f t="shared" si="17"/>
        <v>185</v>
      </c>
      <c r="H283" s="41">
        <f t="shared" si="17"/>
        <v>0</v>
      </c>
      <c r="I283" s="10">
        <f t="shared" si="17"/>
        <v>0</v>
      </c>
      <c r="J283" s="10">
        <f t="shared" si="18"/>
        <v>0</v>
      </c>
      <c r="K283" s="114">
        <f t="shared" si="19"/>
        <v>1934052.3138832995</v>
      </c>
    </row>
    <row r="284" spans="1:11" x14ac:dyDescent="0.25">
      <c r="A284" s="49">
        <f>'A) Base RI'!A283</f>
        <v>5889</v>
      </c>
      <c r="B284" s="296" t="str">
        <f>'A) Base RI'!B283</f>
        <v>La Tour-de-Peilz</v>
      </c>
      <c r="C284" s="10">
        <f>'A) Base RI'!V283</f>
        <v>11871</v>
      </c>
      <c r="D284" s="10">
        <f t="shared" si="16"/>
        <v>1000</v>
      </c>
      <c r="E284" s="437">
        <f t="shared" si="17"/>
        <v>2000</v>
      </c>
      <c r="F284" s="10">
        <f t="shared" si="17"/>
        <v>2000</v>
      </c>
      <c r="G284" s="437">
        <f t="shared" si="17"/>
        <v>4000</v>
      </c>
      <c r="H284" s="41">
        <f t="shared" si="17"/>
        <v>2871</v>
      </c>
      <c r="I284" s="10">
        <f t="shared" si="17"/>
        <v>0</v>
      </c>
      <c r="J284" s="10">
        <f t="shared" si="18"/>
        <v>0</v>
      </c>
      <c r="K284" s="114">
        <f t="shared" si="19"/>
        <v>6658644.4164989935</v>
      </c>
    </row>
    <row r="285" spans="1:11" x14ac:dyDescent="0.25">
      <c r="A285" s="49">
        <f>'A) Base RI'!A284</f>
        <v>5890</v>
      </c>
      <c r="B285" s="296" t="str">
        <f>'A) Base RI'!B284</f>
        <v>Vevey</v>
      </c>
      <c r="C285" s="10">
        <f>'A) Base RI'!V284</f>
        <v>19904</v>
      </c>
      <c r="D285" s="10">
        <f t="shared" si="16"/>
        <v>1000</v>
      </c>
      <c r="E285" s="437">
        <f t="shared" si="17"/>
        <v>2000</v>
      </c>
      <c r="F285" s="10">
        <f t="shared" si="17"/>
        <v>2000</v>
      </c>
      <c r="G285" s="437">
        <f t="shared" si="17"/>
        <v>4000</v>
      </c>
      <c r="H285" s="41">
        <f t="shared" si="17"/>
        <v>3000</v>
      </c>
      <c r="I285" s="10">
        <f t="shared" si="17"/>
        <v>3000</v>
      </c>
      <c r="J285" s="10">
        <f t="shared" si="18"/>
        <v>4904</v>
      </c>
      <c r="K285" s="114">
        <f t="shared" si="19"/>
        <v>14909185.714285713</v>
      </c>
    </row>
    <row r="286" spans="1:11" x14ac:dyDescent="0.25">
      <c r="A286" s="49">
        <f>'A) Base RI'!A285</f>
        <v>5891</v>
      </c>
      <c r="B286" s="296" t="str">
        <f>'A) Base RI'!B285</f>
        <v>Veytaux</v>
      </c>
      <c r="C286" s="10">
        <f>'A) Base RI'!V285</f>
        <v>884</v>
      </c>
      <c r="D286" s="10">
        <f t="shared" si="16"/>
        <v>884</v>
      </c>
      <c r="E286" s="437">
        <f t="shared" si="17"/>
        <v>0</v>
      </c>
      <c r="F286" s="10">
        <f t="shared" si="17"/>
        <v>0</v>
      </c>
      <c r="G286" s="437">
        <f t="shared" si="17"/>
        <v>0</v>
      </c>
      <c r="H286" s="41">
        <f t="shared" si="17"/>
        <v>0</v>
      </c>
      <c r="I286" s="10">
        <f t="shared" si="17"/>
        <v>0</v>
      </c>
      <c r="J286" s="10">
        <f t="shared" si="18"/>
        <v>0</v>
      </c>
      <c r="K286" s="114">
        <f t="shared" si="19"/>
        <v>110388.83299798791</v>
      </c>
    </row>
    <row r="287" spans="1:11" x14ac:dyDescent="0.25">
      <c r="A287" s="49">
        <f>'A) Base RI'!A286</f>
        <v>5902</v>
      </c>
      <c r="B287" s="296" t="str">
        <f>'A) Base RI'!B286</f>
        <v>Belmont-sur-Yverdon</v>
      </c>
      <c r="C287" s="10">
        <f>'A) Base RI'!V286</f>
        <v>384</v>
      </c>
      <c r="D287" s="10">
        <f t="shared" si="16"/>
        <v>384</v>
      </c>
      <c r="E287" s="437">
        <f t="shared" si="17"/>
        <v>0</v>
      </c>
      <c r="F287" s="10">
        <f t="shared" si="17"/>
        <v>0</v>
      </c>
      <c r="G287" s="437">
        <f t="shared" si="17"/>
        <v>0</v>
      </c>
      <c r="H287" s="41">
        <f t="shared" si="17"/>
        <v>0</v>
      </c>
      <c r="I287" s="10">
        <f t="shared" si="17"/>
        <v>0</v>
      </c>
      <c r="J287" s="10">
        <f t="shared" si="18"/>
        <v>0</v>
      </c>
      <c r="K287" s="114">
        <f t="shared" si="19"/>
        <v>47951.710261569409</v>
      </c>
    </row>
    <row r="288" spans="1:11" x14ac:dyDescent="0.25">
      <c r="A288" s="49">
        <f>'A) Base RI'!A287</f>
        <v>5903</v>
      </c>
      <c r="B288" s="296" t="str">
        <f>'A) Base RI'!B287</f>
        <v>Bioley-Magnoux</v>
      </c>
      <c r="C288" s="10">
        <f>'A) Base RI'!V287</f>
        <v>225</v>
      </c>
      <c r="D288" s="10">
        <f t="shared" si="16"/>
        <v>225</v>
      </c>
      <c r="E288" s="437">
        <f t="shared" si="17"/>
        <v>0</v>
      </c>
      <c r="F288" s="10">
        <f t="shared" si="17"/>
        <v>0</v>
      </c>
      <c r="G288" s="437">
        <f t="shared" si="17"/>
        <v>0</v>
      </c>
      <c r="H288" s="41">
        <f t="shared" si="17"/>
        <v>0</v>
      </c>
      <c r="I288" s="10">
        <f t="shared" si="17"/>
        <v>0</v>
      </c>
      <c r="J288" s="10">
        <f t="shared" si="18"/>
        <v>0</v>
      </c>
      <c r="K288" s="114">
        <f t="shared" si="19"/>
        <v>28096.705231388325</v>
      </c>
    </row>
    <row r="289" spans="1:11" x14ac:dyDescent="0.25">
      <c r="A289" s="49">
        <f>'A) Base RI'!A288</f>
        <v>5904</v>
      </c>
      <c r="B289" s="296" t="str">
        <f>'A) Base RI'!B288</f>
        <v>Chamblon</v>
      </c>
      <c r="C289" s="10">
        <f>'A) Base RI'!V288</f>
        <v>542</v>
      </c>
      <c r="D289" s="10">
        <f t="shared" si="16"/>
        <v>542</v>
      </c>
      <c r="E289" s="437">
        <f t="shared" si="17"/>
        <v>0</v>
      </c>
      <c r="F289" s="10">
        <f t="shared" si="17"/>
        <v>0</v>
      </c>
      <c r="G289" s="437">
        <f t="shared" si="17"/>
        <v>0</v>
      </c>
      <c r="H289" s="41">
        <f t="shared" si="17"/>
        <v>0</v>
      </c>
      <c r="I289" s="10">
        <f t="shared" si="17"/>
        <v>0</v>
      </c>
      <c r="J289" s="10">
        <f t="shared" si="18"/>
        <v>0</v>
      </c>
      <c r="K289" s="114">
        <f t="shared" si="19"/>
        <v>67681.841046277652</v>
      </c>
    </row>
    <row r="290" spans="1:11" x14ac:dyDescent="0.25">
      <c r="A290" s="49">
        <f>'A) Base RI'!A289</f>
        <v>5905</v>
      </c>
      <c r="B290" s="296" t="str">
        <f>'A) Base RI'!B289</f>
        <v>Champvent</v>
      </c>
      <c r="C290" s="10">
        <f>'A) Base RI'!V289</f>
        <v>685</v>
      </c>
      <c r="D290" s="10">
        <f t="shared" si="16"/>
        <v>685</v>
      </c>
      <c r="E290" s="437">
        <f t="shared" si="17"/>
        <v>0</v>
      </c>
      <c r="F290" s="10">
        <f t="shared" si="17"/>
        <v>0</v>
      </c>
      <c r="G290" s="437">
        <f t="shared" si="17"/>
        <v>0</v>
      </c>
      <c r="H290" s="41">
        <f t="shared" si="17"/>
        <v>0</v>
      </c>
      <c r="I290" s="10">
        <f t="shared" si="17"/>
        <v>0</v>
      </c>
      <c r="J290" s="10">
        <f t="shared" si="18"/>
        <v>0</v>
      </c>
      <c r="K290" s="114">
        <f t="shared" si="19"/>
        <v>85538.858148893341</v>
      </c>
    </row>
    <row r="291" spans="1:11" x14ac:dyDescent="0.25">
      <c r="A291" s="49">
        <f>'A) Base RI'!A290</f>
        <v>5907</v>
      </c>
      <c r="B291" s="296" t="str">
        <f>'A) Base RI'!B290</f>
        <v>Chavannes-le-Chêne</v>
      </c>
      <c r="C291" s="10">
        <f>'A) Base RI'!V290</f>
        <v>308</v>
      </c>
      <c r="D291" s="10">
        <f t="shared" si="16"/>
        <v>308</v>
      </c>
      <c r="E291" s="437">
        <f t="shared" si="17"/>
        <v>0</v>
      </c>
      <c r="F291" s="10">
        <f t="shared" si="17"/>
        <v>0</v>
      </c>
      <c r="G291" s="437">
        <f t="shared" si="17"/>
        <v>0</v>
      </c>
      <c r="H291" s="41">
        <f t="shared" si="17"/>
        <v>0</v>
      </c>
      <c r="I291" s="10">
        <f t="shared" si="17"/>
        <v>0</v>
      </c>
      <c r="J291" s="10">
        <f t="shared" si="18"/>
        <v>0</v>
      </c>
      <c r="K291" s="114">
        <f t="shared" si="19"/>
        <v>38461.267605633795</v>
      </c>
    </row>
    <row r="292" spans="1:11" x14ac:dyDescent="0.25">
      <c r="A292" s="49">
        <f>'A) Base RI'!A291</f>
        <v>5908</v>
      </c>
      <c r="B292" s="296" t="str">
        <f>'A) Base RI'!B291</f>
        <v>Chêne-Pâquier</v>
      </c>
      <c r="C292" s="10">
        <f>'A) Base RI'!V291</f>
        <v>141</v>
      </c>
      <c r="D292" s="10">
        <f t="shared" si="16"/>
        <v>141</v>
      </c>
      <c r="E292" s="437">
        <f t="shared" si="17"/>
        <v>0</v>
      </c>
      <c r="F292" s="10">
        <f t="shared" si="17"/>
        <v>0</v>
      </c>
      <c r="G292" s="437">
        <f t="shared" si="17"/>
        <v>0</v>
      </c>
      <c r="H292" s="41">
        <f t="shared" si="17"/>
        <v>0</v>
      </c>
      <c r="I292" s="10">
        <f t="shared" si="17"/>
        <v>0</v>
      </c>
      <c r="J292" s="10">
        <f t="shared" si="18"/>
        <v>0</v>
      </c>
      <c r="K292" s="114">
        <f t="shared" si="19"/>
        <v>17607.268611670017</v>
      </c>
    </row>
    <row r="293" spans="1:11" x14ac:dyDescent="0.25">
      <c r="A293" s="49">
        <f>'A) Base RI'!A292</f>
        <v>5909</v>
      </c>
      <c r="B293" s="296" t="str">
        <f>'A) Base RI'!B292</f>
        <v>Cheseaux-Noréaz</v>
      </c>
      <c r="C293" s="10">
        <f>'A) Base RI'!V292</f>
        <v>721</v>
      </c>
      <c r="D293" s="10">
        <f t="shared" si="16"/>
        <v>721</v>
      </c>
      <c r="E293" s="437">
        <f t="shared" si="17"/>
        <v>0</v>
      </c>
      <c r="F293" s="10">
        <f t="shared" si="17"/>
        <v>0</v>
      </c>
      <c r="G293" s="437">
        <f t="shared" si="17"/>
        <v>0</v>
      </c>
      <c r="H293" s="41">
        <f t="shared" si="17"/>
        <v>0</v>
      </c>
      <c r="I293" s="10">
        <f t="shared" si="17"/>
        <v>0</v>
      </c>
      <c r="J293" s="10">
        <f t="shared" si="18"/>
        <v>0</v>
      </c>
      <c r="K293" s="114">
        <f t="shared" si="19"/>
        <v>90034.330985915483</v>
      </c>
    </row>
    <row r="294" spans="1:11" x14ac:dyDescent="0.25">
      <c r="A294" s="49">
        <f>'A) Base RI'!A293</f>
        <v>5910</v>
      </c>
      <c r="B294" s="296" t="str">
        <f>'A) Base RI'!B293</f>
        <v>Cronay</v>
      </c>
      <c r="C294" s="10">
        <f>'A) Base RI'!V293</f>
        <v>385</v>
      </c>
      <c r="D294" s="10">
        <f t="shared" si="16"/>
        <v>385</v>
      </c>
      <c r="E294" s="437">
        <f t="shared" si="17"/>
        <v>0</v>
      </c>
      <c r="F294" s="10">
        <f t="shared" si="17"/>
        <v>0</v>
      </c>
      <c r="G294" s="437">
        <f t="shared" si="17"/>
        <v>0</v>
      </c>
      <c r="H294" s="41">
        <f t="shared" si="17"/>
        <v>0</v>
      </c>
      <c r="I294" s="10">
        <f t="shared" si="17"/>
        <v>0</v>
      </c>
      <c r="J294" s="10">
        <f t="shared" si="18"/>
        <v>0</v>
      </c>
      <c r="K294" s="114">
        <f t="shared" si="19"/>
        <v>48076.584507042244</v>
      </c>
    </row>
    <row r="295" spans="1:11" x14ac:dyDescent="0.25">
      <c r="A295" s="49">
        <f>'A) Base RI'!A294</f>
        <v>5911</v>
      </c>
      <c r="B295" s="296" t="str">
        <f>'A) Base RI'!B294</f>
        <v>Cuarny</v>
      </c>
      <c r="C295" s="10">
        <f>'A) Base RI'!V294</f>
        <v>243</v>
      </c>
      <c r="D295" s="10">
        <f t="shared" si="16"/>
        <v>243</v>
      </c>
      <c r="E295" s="437">
        <f t="shared" si="17"/>
        <v>0</v>
      </c>
      <c r="F295" s="10">
        <f t="shared" si="17"/>
        <v>0</v>
      </c>
      <c r="G295" s="437">
        <f t="shared" si="17"/>
        <v>0</v>
      </c>
      <c r="H295" s="41">
        <f t="shared" si="17"/>
        <v>0</v>
      </c>
      <c r="I295" s="10">
        <f t="shared" si="17"/>
        <v>0</v>
      </c>
      <c r="J295" s="10">
        <f t="shared" si="18"/>
        <v>0</v>
      </c>
      <c r="K295" s="114">
        <f t="shared" si="19"/>
        <v>30344.441649899392</v>
      </c>
    </row>
    <row r="296" spans="1:11" x14ac:dyDescent="0.25">
      <c r="A296" s="49">
        <f>'A) Base RI'!A295</f>
        <v>5912</v>
      </c>
      <c r="B296" s="296" t="str">
        <f>'A) Base RI'!B295</f>
        <v>Démoret</v>
      </c>
      <c r="C296" s="10">
        <f>'A) Base RI'!V295</f>
        <v>141</v>
      </c>
      <c r="D296" s="10">
        <f t="shared" si="16"/>
        <v>141</v>
      </c>
      <c r="E296" s="437">
        <f t="shared" si="17"/>
        <v>0</v>
      </c>
      <c r="F296" s="10">
        <f t="shared" si="17"/>
        <v>0</v>
      </c>
      <c r="G296" s="437">
        <f t="shared" si="17"/>
        <v>0</v>
      </c>
      <c r="H296" s="41">
        <f t="shared" si="17"/>
        <v>0</v>
      </c>
      <c r="I296" s="10">
        <f t="shared" si="17"/>
        <v>0</v>
      </c>
      <c r="J296" s="10">
        <f t="shared" si="18"/>
        <v>0</v>
      </c>
      <c r="K296" s="114">
        <f t="shared" si="19"/>
        <v>17607.268611670017</v>
      </c>
    </row>
    <row r="297" spans="1:11" x14ac:dyDescent="0.25">
      <c r="A297" s="49">
        <f>'A) Base RI'!A296</f>
        <v>5913</v>
      </c>
      <c r="B297" s="296" t="str">
        <f>'A) Base RI'!B296</f>
        <v>Donneloye</v>
      </c>
      <c r="C297" s="10">
        <f>'A) Base RI'!V296</f>
        <v>809</v>
      </c>
      <c r="D297" s="10">
        <f t="shared" si="16"/>
        <v>809</v>
      </c>
      <c r="E297" s="437">
        <f t="shared" si="17"/>
        <v>0</v>
      </c>
      <c r="F297" s="10">
        <f t="shared" si="17"/>
        <v>0</v>
      </c>
      <c r="G297" s="437">
        <f t="shared" si="17"/>
        <v>0</v>
      </c>
      <c r="H297" s="41">
        <f t="shared" si="17"/>
        <v>0</v>
      </c>
      <c r="I297" s="10">
        <f t="shared" si="17"/>
        <v>0</v>
      </c>
      <c r="J297" s="10">
        <f t="shared" si="18"/>
        <v>0</v>
      </c>
      <c r="K297" s="114">
        <f t="shared" si="19"/>
        <v>101023.26458752513</v>
      </c>
    </row>
    <row r="298" spans="1:11" x14ac:dyDescent="0.25">
      <c r="A298" s="49">
        <f>'A) Base RI'!A297</f>
        <v>5914</v>
      </c>
      <c r="B298" s="296" t="str">
        <f>'A) Base RI'!B297</f>
        <v>Ependes</v>
      </c>
      <c r="C298" s="10">
        <f>'A) Base RI'!V297</f>
        <v>360</v>
      </c>
      <c r="D298" s="10">
        <f t="shared" si="16"/>
        <v>360</v>
      </c>
      <c r="E298" s="437">
        <f t="shared" si="17"/>
        <v>0</v>
      </c>
      <c r="F298" s="10">
        <f t="shared" si="17"/>
        <v>0</v>
      </c>
      <c r="G298" s="437">
        <f t="shared" si="17"/>
        <v>0</v>
      </c>
      <c r="H298" s="41">
        <f t="shared" si="17"/>
        <v>0</v>
      </c>
      <c r="I298" s="10">
        <f t="shared" si="17"/>
        <v>0</v>
      </c>
      <c r="J298" s="10">
        <f t="shared" si="18"/>
        <v>0</v>
      </c>
      <c r="K298" s="114">
        <f t="shared" si="19"/>
        <v>44954.728370221324</v>
      </c>
    </row>
    <row r="299" spans="1:11" x14ac:dyDescent="0.25">
      <c r="A299" s="49">
        <f>'A) Base RI'!A298</f>
        <v>5919</v>
      </c>
      <c r="B299" s="296" t="str">
        <f>'A) Base RI'!B298</f>
        <v>Mathod</v>
      </c>
      <c r="C299" s="10">
        <f>'A) Base RI'!V298</f>
        <v>611</v>
      </c>
      <c r="D299" s="10">
        <f t="shared" ref="D299:D316" si="20">IF($C299&gt;D$4,IF($C299&lt;D$5,$C299-D$4,D$5-D$4),0)</f>
        <v>611</v>
      </c>
      <c r="E299" s="437">
        <f t="shared" si="17"/>
        <v>0</v>
      </c>
      <c r="F299" s="10">
        <f t="shared" si="17"/>
        <v>0</v>
      </c>
      <c r="G299" s="437">
        <f t="shared" si="17"/>
        <v>0</v>
      </c>
      <c r="H299" s="41">
        <f t="shared" si="17"/>
        <v>0</v>
      </c>
      <c r="I299" s="10">
        <f t="shared" si="17"/>
        <v>0</v>
      </c>
      <c r="J299" s="10">
        <f t="shared" si="18"/>
        <v>0</v>
      </c>
      <c r="K299" s="114">
        <f t="shared" si="19"/>
        <v>76298.163983903403</v>
      </c>
    </row>
    <row r="300" spans="1:11" x14ac:dyDescent="0.25">
      <c r="A300" s="49">
        <f>'A) Base RI'!A299</f>
        <v>5921</v>
      </c>
      <c r="B300" s="296" t="str">
        <f>'A) Base RI'!B299</f>
        <v>Molondin</v>
      </c>
      <c r="C300" s="10">
        <f>'A) Base RI'!V299</f>
        <v>235</v>
      </c>
      <c r="D300" s="10">
        <f t="shared" si="20"/>
        <v>235</v>
      </c>
      <c r="E300" s="437">
        <f t="shared" si="17"/>
        <v>0</v>
      </c>
      <c r="F300" s="10">
        <f t="shared" si="17"/>
        <v>0</v>
      </c>
      <c r="G300" s="437">
        <f t="shared" si="17"/>
        <v>0</v>
      </c>
      <c r="H300" s="41">
        <f t="shared" si="17"/>
        <v>0</v>
      </c>
      <c r="I300" s="10">
        <f t="shared" si="17"/>
        <v>0</v>
      </c>
      <c r="J300" s="10">
        <f t="shared" si="18"/>
        <v>0</v>
      </c>
      <c r="K300" s="114">
        <f t="shared" si="19"/>
        <v>29345.447686116695</v>
      </c>
    </row>
    <row r="301" spans="1:11" x14ac:dyDescent="0.25">
      <c r="A301" s="49">
        <f>'A) Base RI'!A300</f>
        <v>5922</v>
      </c>
      <c r="B301" s="296" t="str">
        <f>'A) Base RI'!B300</f>
        <v>Montagny-près-Yverdon</v>
      </c>
      <c r="C301" s="10">
        <f>'A) Base RI'!V300</f>
        <v>738</v>
      </c>
      <c r="D301" s="10">
        <f t="shared" si="20"/>
        <v>738</v>
      </c>
      <c r="E301" s="437">
        <f t="shared" si="17"/>
        <v>0</v>
      </c>
      <c r="F301" s="10">
        <f t="shared" si="17"/>
        <v>0</v>
      </c>
      <c r="G301" s="437">
        <f t="shared" si="17"/>
        <v>0</v>
      </c>
      <c r="H301" s="41">
        <f t="shared" si="17"/>
        <v>0</v>
      </c>
      <c r="I301" s="10">
        <f t="shared" si="17"/>
        <v>0</v>
      </c>
      <c r="J301" s="10">
        <f t="shared" si="18"/>
        <v>0</v>
      </c>
      <c r="K301" s="114">
        <f t="shared" si="19"/>
        <v>92157.193158953713</v>
      </c>
    </row>
    <row r="302" spans="1:11" x14ac:dyDescent="0.25">
      <c r="A302" s="49">
        <f>'A) Base RI'!A301</f>
        <v>5923</v>
      </c>
      <c r="B302" s="296" t="str">
        <f>'A) Base RI'!B301</f>
        <v>Oppens</v>
      </c>
      <c r="C302" s="10">
        <f>'A) Base RI'!V301</f>
        <v>196</v>
      </c>
      <c r="D302" s="10">
        <f t="shared" si="20"/>
        <v>196</v>
      </c>
      <c r="E302" s="437">
        <f t="shared" si="17"/>
        <v>0</v>
      </c>
      <c r="F302" s="10">
        <f t="shared" si="17"/>
        <v>0</v>
      </c>
      <c r="G302" s="437">
        <f t="shared" si="17"/>
        <v>0</v>
      </c>
      <c r="H302" s="41">
        <f t="shared" si="17"/>
        <v>0</v>
      </c>
      <c r="I302" s="10">
        <f t="shared" si="17"/>
        <v>0</v>
      </c>
      <c r="J302" s="10">
        <f t="shared" si="18"/>
        <v>0</v>
      </c>
      <c r="K302" s="114">
        <f t="shared" si="19"/>
        <v>24475.352112676053</v>
      </c>
    </row>
    <row r="303" spans="1:11" x14ac:dyDescent="0.25">
      <c r="A303" s="49">
        <f>'A) Base RI'!A302</f>
        <v>5924</v>
      </c>
      <c r="B303" s="296" t="str">
        <f>'A) Base RI'!B302</f>
        <v>Orges</v>
      </c>
      <c r="C303" s="10">
        <f>'A) Base RI'!V302</f>
        <v>332</v>
      </c>
      <c r="D303" s="10">
        <f t="shared" si="20"/>
        <v>332</v>
      </c>
      <c r="E303" s="437">
        <f t="shared" si="17"/>
        <v>0</v>
      </c>
      <c r="F303" s="10">
        <f t="shared" si="17"/>
        <v>0</v>
      </c>
      <c r="G303" s="437">
        <f t="shared" si="17"/>
        <v>0</v>
      </c>
      <c r="H303" s="41">
        <f t="shared" si="17"/>
        <v>0</v>
      </c>
      <c r="I303" s="10">
        <f t="shared" si="17"/>
        <v>0</v>
      </c>
      <c r="J303" s="10">
        <f t="shared" si="18"/>
        <v>0</v>
      </c>
      <c r="K303" s="114">
        <f t="shared" si="19"/>
        <v>41458.249496981887</v>
      </c>
    </row>
    <row r="304" spans="1:11" x14ac:dyDescent="0.25">
      <c r="A304" s="49">
        <f>'A) Base RI'!A303</f>
        <v>5925</v>
      </c>
      <c r="B304" s="296" t="str">
        <f>'A) Base RI'!B303</f>
        <v>Orzens</v>
      </c>
      <c r="C304" s="10">
        <f>'A) Base RI'!V303</f>
        <v>196</v>
      </c>
      <c r="D304" s="10">
        <f t="shared" si="20"/>
        <v>196</v>
      </c>
      <c r="E304" s="437">
        <f t="shared" si="17"/>
        <v>0</v>
      </c>
      <c r="F304" s="10">
        <f t="shared" si="17"/>
        <v>0</v>
      </c>
      <c r="G304" s="437">
        <f t="shared" si="17"/>
        <v>0</v>
      </c>
      <c r="H304" s="41">
        <f t="shared" si="17"/>
        <v>0</v>
      </c>
      <c r="I304" s="10">
        <f t="shared" si="17"/>
        <v>0</v>
      </c>
      <c r="J304" s="10">
        <f t="shared" si="18"/>
        <v>0</v>
      </c>
      <c r="K304" s="114">
        <f t="shared" si="19"/>
        <v>24475.352112676053</v>
      </c>
    </row>
    <row r="305" spans="1:11" x14ac:dyDescent="0.25">
      <c r="A305" s="49">
        <f>'A) Base RI'!A304</f>
        <v>5926</v>
      </c>
      <c r="B305" s="296" t="str">
        <f>'A) Base RI'!B304</f>
        <v>Pomy</v>
      </c>
      <c r="C305" s="10">
        <f>'A) Base RI'!V304</f>
        <v>780</v>
      </c>
      <c r="D305" s="10">
        <f t="shared" si="20"/>
        <v>780</v>
      </c>
      <c r="E305" s="437">
        <f t="shared" si="17"/>
        <v>0</v>
      </c>
      <c r="F305" s="10">
        <f t="shared" si="17"/>
        <v>0</v>
      </c>
      <c r="G305" s="437">
        <f t="shared" si="17"/>
        <v>0</v>
      </c>
      <c r="H305" s="41">
        <f t="shared" si="17"/>
        <v>0</v>
      </c>
      <c r="I305" s="10">
        <f t="shared" si="17"/>
        <v>0</v>
      </c>
      <c r="J305" s="10">
        <f t="shared" si="18"/>
        <v>0</v>
      </c>
      <c r="K305" s="114">
        <f t="shared" si="19"/>
        <v>97401.911468812861</v>
      </c>
    </row>
    <row r="306" spans="1:11" x14ac:dyDescent="0.25">
      <c r="A306" s="49">
        <f>'A) Base RI'!A305</f>
        <v>5928</v>
      </c>
      <c r="B306" s="296" t="str">
        <f>'A) Base RI'!B305</f>
        <v>Rovray</v>
      </c>
      <c r="C306" s="10">
        <f>'A) Base RI'!V305</f>
        <v>180</v>
      </c>
      <c r="D306" s="10">
        <f t="shared" si="20"/>
        <v>180</v>
      </c>
      <c r="E306" s="437">
        <f t="shared" si="17"/>
        <v>0</v>
      </c>
      <c r="F306" s="10">
        <f t="shared" si="17"/>
        <v>0</v>
      </c>
      <c r="G306" s="437">
        <f t="shared" si="17"/>
        <v>0</v>
      </c>
      <c r="H306" s="41">
        <f t="shared" si="17"/>
        <v>0</v>
      </c>
      <c r="I306" s="10">
        <f t="shared" si="17"/>
        <v>0</v>
      </c>
      <c r="J306" s="10">
        <f t="shared" si="18"/>
        <v>0</v>
      </c>
      <c r="K306" s="114">
        <f t="shared" si="19"/>
        <v>22477.364185110662</v>
      </c>
    </row>
    <row r="307" spans="1:11" x14ac:dyDescent="0.25">
      <c r="A307" s="49">
        <f>'A) Base RI'!A306</f>
        <v>5929</v>
      </c>
      <c r="B307" s="296" t="str">
        <f>'A) Base RI'!B306</f>
        <v>Suchy</v>
      </c>
      <c r="C307" s="10">
        <f>'A) Base RI'!V306</f>
        <v>599</v>
      </c>
      <c r="D307" s="10">
        <f t="shared" si="20"/>
        <v>599</v>
      </c>
      <c r="E307" s="437">
        <f t="shared" si="17"/>
        <v>0</v>
      </c>
      <c r="F307" s="10">
        <f t="shared" si="17"/>
        <v>0</v>
      </c>
      <c r="G307" s="437">
        <f t="shared" si="17"/>
        <v>0</v>
      </c>
      <c r="H307" s="41">
        <f t="shared" si="17"/>
        <v>0</v>
      </c>
      <c r="I307" s="10">
        <f t="shared" si="17"/>
        <v>0</v>
      </c>
      <c r="J307" s="10">
        <f t="shared" si="18"/>
        <v>0</v>
      </c>
      <c r="K307" s="114">
        <f t="shared" si="19"/>
        <v>74799.673038229361</v>
      </c>
    </row>
    <row r="308" spans="1:11" x14ac:dyDescent="0.25">
      <c r="A308" s="49">
        <f>'A) Base RI'!A307</f>
        <v>5930</v>
      </c>
      <c r="B308" s="296" t="str">
        <f>'A) Base RI'!B307</f>
        <v>Suscévaz</v>
      </c>
      <c r="C308" s="10">
        <f>'A) Base RI'!V307</f>
        <v>213</v>
      </c>
      <c r="D308" s="10">
        <f t="shared" si="20"/>
        <v>213</v>
      </c>
      <c r="E308" s="437">
        <f t="shared" si="17"/>
        <v>0</v>
      </c>
      <c r="F308" s="10">
        <f t="shared" si="17"/>
        <v>0</v>
      </c>
      <c r="G308" s="437">
        <f t="shared" si="17"/>
        <v>0</v>
      </c>
      <c r="H308" s="41">
        <f t="shared" si="17"/>
        <v>0</v>
      </c>
      <c r="I308" s="10">
        <f t="shared" si="17"/>
        <v>0</v>
      </c>
      <c r="J308" s="10">
        <f t="shared" si="18"/>
        <v>0</v>
      </c>
      <c r="K308" s="114">
        <f t="shared" si="19"/>
        <v>26598.214285714283</v>
      </c>
    </row>
    <row r="309" spans="1:11" x14ac:dyDescent="0.25">
      <c r="A309" s="49">
        <f>'A) Base RI'!A308</f>
        <v>5931</v>
      </c>
      <c r="B309" s="296" t="str">
        <f>'A) Base RI'!B308</f>
        <v>Treycovagnes</v>
      </c>
      <c r="C309" s="10">
        <f>'A) Base RI'!V308</f>
        <v>480</v>
      </c>
      <c r="D309" s="10">
        <f t="shared" si="20"/>
        <v>480</v>
      </c>
      <c r="E309" s="437">
        <f t="shared" si="17"/>
        <v>0</v>
      </c>
      <c r="F309" s="10">
        <f t="shared" si="17"/>
        <v>0</v>
      </c>
      <c r="G309" s="437">
        <f t="shared" si="17"/>
        <v>0</v>
      </c>
      <c r="H309" s="41">
        <f t="shared" si="17"/>
        <v>0</v>
      </c>
      <c r="I309" s="10">
        <f t="shared" si="17"/>
        <v>0</v>
      </c>
      <c r="J309" s="10">
        <f t="shared" si="18"/>
        <v>0</v>
      </c>
      <c r="K309" s="114">
        <f t="shared" si="19"/>
        <v>59939.637826961763</v>
      </c>
    </row>
    <row r="310" spans="1:11" x14ac:dyDescent="0.25">
      <c r="A310" s="49">
        <f>'A) Base RI'!A309</f>
        <v>5932</v>
      </c>
      <c r="B310" s="296" t="str">
        <f>'A) Base RI'!B309</f>
        <v>Ursins</v>
      </c>
      <c r="C310" s="10">
        <f>'A) Base RI'!V309</f>
        <v>230</v>
      </c>
      <c r="D310" s="10">
        <f t="shared" si="20"/>
        <v>230</v>
      </c>
      <c r="E310" s="437">
        <f t="shared" si="17"/>
        <v>0</v>
      </c>
      <c r="F310" s="10">
        <f t="shared" si="17"/>
        <v>0</v>
      </c>
      <c r="G310" s="437">
        <f t="shared" ref="E310:I316" si="21">IF($C310&gt;G$4,IF($C310&lt;G$5,$C310-G$4,G$5-G$4),0)</f>
        <v>0</v>
      </c>
      <c r="H310" s="41">
        <f t="shared" si="21"/>
        <v>0</v>
      </c>
      <c r="I310" s="10">
        <f t="shared" si="21"/>
        <v>0</v>
      </c>
      <c r="J310" s="10">
        <f t="shared" si="18"/>
        <v>0</v>
      </c>
      <c r="K310" s="114">
        <f t="shared" si="19"/>
        <v>28721.076458752512</v>
      </c>
    </row>
    <row r="311" spans="1:11" x14ac:dyDescent="0.25">
      <c r="A311" s="49">
        <f>'A) Base RI'!A310</f>
        <v>5933</v>
      </c>
      <c r="B311" s="296" t="str">
        <f>'A) Base RI'!B310</f>
        <v>Valeyres-sous-Montagny</v>
      </c>
      <c r="C311" s="10">
        <f>'A) Base RI'!V310</f>
        <v>708</v>
      </c>
      <c r="D311" s="10">
        <f t="shared" si="20"/>
        <v>708</v>
      </c>
      <c r="E311" s="437">
        <f t="shared" si="21"/>
        <v>0</v>
      </c>
      <c r="F311" s="10">
        <f t="shared" si="21"/>
        <v>0</v>
      </c>
      <c r="G311" s="437">
        <f t="shared" si="21"/>
        <v>0</v>
      </c>
      <c r="H311" s="41">
        <f t="shared" si="21"/>
        <v>0</v>
      </c>
      <c r="I311" s="10">
        <f t="shared" si="21"/>
        <v>0</v>
      </c>
      <c r="J311" s="10">
        <f t="shared" si="18"/>
        <v>0</v>
      </c>
      <c r="K311" s="114">
        <f t="shared" si="19"/>
        <v>88410.965794768592</v>
      </c>
    </row>
    <row r="312" spans="1:11" x14ac:dyDescent="0.25">
      <c r="A312" s="49">
        <f>'A) Base RI'!A311</f>
        <v>5934</v>
      </c>
      <c r="B312" s="296" t="str">
        <f>'A) Base RI'!B311</f>
        <v>Valeyres-sous-Ursins</v>
      </c>
      <c r="C312" s="10">
        <f>'A) Base RI'!V311</f>
        <v>232</v>
      </c>
      <c r="D312" s="10">
        <f t="shared" si="20"/>
        <v>232</v>
      </c>
      <c r="E312" s="437">
        <f t="shared" si="21"/>
        <v>0</v>
      </c>
      <c r="F312" s="10">
        <f t="shared" si="21"/>
        <v>0</v>
      </c>
      <c r="G312" s="437">
        <f t="shared" si="21"/>
        <v>0</v>
      </c>
      <c r="H312" s="41">
        <f t="shared" si="21"/>
        <v>0</v>
      </c>
      <c r="I312" s="10">
        <f t="shared" si="21"/>
        <v>0</v>
      </c>
      <c r="J312" s="10">
        <f t="shared" si="18"/>
        <v>0</v>
      </c>
      <c r="K312" s="114">
        <f t="shared" si="19"/>
        <v>28970.824949698184</v>
      </c>
    </row>
    <row r="313" spans="1:11" x14ac:dyDescent="0.25">
      <c r="A313" s="49">
        <f>'A) Base RI'!A312</f>
        <v>5935</v>
      </c>
      <c r="B313" s="296" t="str">
        <f>'A) Base RI'!B312</f>
        <v>Villars-Epeney</v>
      </c>
      <c r="C313" s="10">
        <f>'A) Base RI'!V312</f>
        <v>100</v>
      </c>
      <c r="D313" s="10">
        <f t="shared" si="20"/>
        <v>100</v>
      </c>
      <c r="E313" s="437">
        <f t="shared" si="21"/>
        <v>0</v>
      </c>
      <c r="F313" s="10">
        <f t="shared" si="21"/>
        <v>0</v>
      </c>
      <c r="G313" s="437">
        <f t="shared" si="21"/>
        <v>0</v>
      </c>
      <c r="H313" s="41">
        <f t="shared" si="21"/>
        <v>0</v>
      </c>
      <c r="I313" s="10">
        <f t="shared" si="21"/>
        <v>0</v>
      </c>
      <c r="J313" s="10">
        <f t="shared" si="18"/>
        <v>0</v>
      </c>
      <c r="K313" s="114">
        <f t="shared" si="19"/>
        <v>12487.424547283701</v>
      </c>
    </row>
    <row r="314" spans="1:11" x14ac:dyDescent="0.25">
      <c r="A314" s="49">
        <f>'A) Base RI'!A313</f>
        <v>5937</v>
      </c>
      <c r="B314" s="296" t="str">
        <f>'A) Base RI'!B313</f>
        <v>Vugelles-La Mothe</v>
      </c>
      <c r="C314" s="10">
        <f>'A) Base RI'!V313</f>
        <v>132</v>
      </c>
      <c r="D314" s="10">
        <f t="shared" si="20"/>
        <v>132</v>
      </c>
      <c r="E314" s="437">
        <f t="shared" si="21"/>
        <v>0</v>
      </c>
      <c r="F314" s="10">
        <f t="shared" si="21"/>
        <v>0</v>
      </c>
      <c r="G314" s="437">
        <f t="shared" si="21"/>
        <v>0</v>
      </c>
      <c r="H314" s="41">
        <f t="shared" si="21"/>
        <v>0</v>
      </c>
      <c r="I314" s="10">
        <f t="shared" si="21"/>
        <v>0</v>
      </c>
      <c r="J314" s="10">
        <f t="shared" si="18"/>
        <v>0</v>
      </c>
      <c r="K314" s="114">
        <f t="shared" si="19"/>
        <v>16483.400402414485</v>
      </c>
    </row>
    <row r="315" spans="1:11" x14ac:dyDescent="0.25">
      <c r="A315" s="49">
        <f>'A) Base RI'!A314</f>
        <v>5938</v>
      </c>
      <c r="B315" s="296" t="str">
        <f>'A) Base RI'!B314</f>
        <v>Yverdon-les-Bains</v>
      </c>
      <c r="C315" s="10">
        <f>'A) Base RI'!V314</f>
        <v>30211</v>
      </c>
      <c r="D315" s="10">
        <f t="shared" si="20"/>
        <v>1000</v>
      </c>
      <c r="E315" s="437">
        <f t="shared" si="21"/>
        <v>2000</v>
      </c>
      <c r="F315" s="10">
        <f t="shared" si="21"/>
        <v>2000</v>
      </c>
      <c r="G315" s="437">
        <f t="shared" si="21"/>
        <v>4000</v>
      </c>
      <c r="H315" s="41">
        <f t="shared" si="21"/>
        <v>3000</v>
      </c>
      <c r="I315" s="10">
        <f t="shared" si="21"/>
        <v>3000</v>
      </c>
      <c r="J315" s="10">
        <f t="shared" si="18"/>
        <v>15211</v>
      </c>
      <c r="K315" s="114">
        <f t="shared" si="19"/>
        <v>25720648.038229372</v>
      </c>
    </row>
    <row r="316" spans="1:11" x14ac:dyDescent="0.25">
      <c r="A316" s="49">
        <f>'A) Base RI'!A315</f>
        <v>5939</v>
      </c>
      <c r="B316" s="296" t="str">
        <f>'A) Base RI'!B315</f>
        <v>Yvonand</v>
      </c>
      <c r="C316" s="438">
        <f>'A) Base RI'!V315</f>
        <v>3426</v>
      </c>
      <c r="D316" s="10">
        <f t="shared" si="20"/>
        <v>1000</v>
      </c>
      <c r="E316" s="437">
        <f t="shared" si="21"/>
        <v>2000</v>
      </c>
      <c r="F316" s="10">
        <f t="shared" si="21"/>
        <v>426</v>
      </c>
      <c r="G316" s="437">
        <f t="shared" si="21"/>
        <v>0</v>
      </c>
      <c r="H316" s="41">
        <f t="shared" si="21"/>
        <v>0</v>
      </c>
      <c r="I316" s="10">
        <f t="shared" si="21"/>
        <v>0</v>
      </c>
      <c r="J316" s="10">
        <f t="shared" si="18"/>
        <v>0</v>
      </c>
      <c r="K316" s="114">
        <f t="shared" si="19"/>
        <v>1036955.7344064384</v>
      </c>
    </row>
    <row r="317" spans="1:11" x14ac:dyDescent="0.25">
      <c r="A317" s="377"/>
      <c r="B317" s="451">
        <f>COUNTA(B8:B316)</f>
        <v>309</v>
      </c>
      <c r="C317" s="11">
        <f>SUM(C8:C316)</f>
        <v>800162</v>
      </c>
      <c r="D317" s="11">
        <f t="shared" ref="D317:J317" si="22">SUM(D8:D316)</f>
        <v>217113</v>
      </c>
      <c r="E317" s="11">
        <f t="shared" si="22"/>
        <v>167946</v>
      </c>
      <c r="F317" s="11">
        <f t="shared" si="22"/>
        <v>85492</v>
      </c>
      <c r="G317" s="11">
        <f t="shared" si="22"/>
        <v>91185</v>
      </c>
      <c r="H317" s="11">
        <f t="shared" si="22"/>
        <v>39885</v>
      </c>
      <c r="I317" s="11">
        <f t="shared" si="22"/>
        <v>26432</v>
      </c>
      <c r="J317" s="11">
        <f t="shared" si="22"/>
        <v>172109</v>
      </c>
      <c r="K317" s="37">
        <f>SUM(K8:K316)</f>
        <v>423998937.14788759</v>
      </c>
    </row>
    <row r="318" spans="1:11" x14ac:dyDescent="0.25">
      <c r="C318" s="71"/>
    </row>
    <row r="328" spans="3:3" x14ac:dyDescent="0.25">
      <c r="C328" s="58"/>
    </row>
  </sheetData>
  <mergeCells count="6">
    <mergeCell ref="K6:K7"/>
    <mergeCell ref="C3:J3"/>
    <mergeCell ref="A6:A7"/>
    <mergeCell ref="B6:B7"/>
    <mergeCell ref="C6:C7"/>
    <mergeCell ref="D6:J6"/>
  </mergeCells>
  <phoneticPr fontId="19"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rgb="FF00B050"/>
  </sheetPr>
  <dimension ref="A1:M314"/>
  <sheetViews>
    <sheetView workbookViewId="0"/>
  </sheetViews>
  <sheetFormatPr baseColWidth="10" defaultColWidth="11" defaultRowHeight="15" x14ac:dyDescent="0.25"/>
  <cols>
    <col min="1" max="1" width="7.25" style="13" customWidth="1"/>
    <col min="2" max="2" width="25.375" style="13" customWidth="1"/>
    <col min="3" max="3" width="9.25" style="13" customWidth="1"/>
    <col min="4" max="4" width="13.625" style="13" customWidth="1"/>
    <col min="5" max="5" width="10.375" style="13" customWidth="1"/>
    <col min="6" max="6" width="13.25" style="14" customWidth="1"/>
    <col min="7" max="7" width="11" style="15"/>
    <col min="8" max="8" width="11" style="13"/>
    <col min="9" max="9" width="13.375" style="6" customWidth="1"/>
    <col min="10" max="12" width="11" style="13"/>
    <col min="13" max="13" width="11.625" style="15" bestFit="1" customWidth="1"/>
    <col min="14" max="16384" width="11" style="13"/>
  </cols>
  <sheetData>
    <row r="1" spans="1:12" ht="21" x14ac:dyDescent="0.25">
      <c r="A1" s="51" t="s">
        <v>454</v>
      </c>
      <c r="B1" s="42"/>
      <c r="C1" s="93"/>
      <c r="D1" s="93"/>
    </row>
    <row r="3" spans="1:12" ht="30" x14ac:dyDescent="0.25">
      <c r="A3" s="501" t="s">
        <v>46</v>
      </c>
      <c r="B3" s="501" t="s">
        <v>96</v>
      </c>
      <c r="C3" s="501" t="s">
        <v>304</v>
      </c>
      <c r="D3" s="501" t="s">
        <v>549</v>
      </c>
      <c r="E3" s="112" t="s">
        <v>354</v>
      </c>
      <c r="F3" s="498" t="s">
        <v>311</v>
      </c>
      <c r="G3" s="522" t="s">
        <v>78</v>
      </c>
      <c r="H3" s="501" t="s">
        <v>352</v>
      </c>
      <c r="I3" s="498" t="s">
        <v>353</v>
      </c>
    </row>
    <row r="4" spans="1:12" x14ac:dyDescent="0.25">
      <c r="A4" s="502"/>
      <c r="B4" s="502"/>
      <c r="C4" s="502"/>
      <c r="D4" s="503"/>
      <c r="E4" s="113">
        <f>+Paramètres!B32</f>
        <v>0.27</v>
      </c>
      <c r="F4" s="500"/>
      <c r="G4" s="523"/>
      <c r="H4" s="503"/>
      <c r="I4" s="499"/>
    </row>
    <row r="5" spans="1:12" x14ac:dyDescent="0.25">
      <c r="A5" s="46">
        <f>'A) Base RI'!A7</f>
        <v>5401</v>
      </c>
      <c r="B5" s="299" t="str">
        <f>'A) Base RI'!B7</f>
        <v>Aigle</v>
      </c>
      <c r="C5" s="94">
        <f>'A) Base RI'!V7</f>
        <v>10134</v>
      </c>
      <c r="D5" s="110">
        <f>'D) Ecrêtage'!E5</f>
        <v>26.14930594952855</v>
      </c>
      <c r="E5" s="34">
        <f t="shared" ref="E5" si="0">IF($D$314-D5&lt;0,0,$D$314-D5)</f>
        <v>18.676037729791123</v>
      </c>
      <c r="F5" s="279">
        <f t="shared" ref="F5" si="1">(C5*E5*G5)*$E$4</f>
        <v>3449317.5617962419</v>
      </c>
      <c r="G5" s="33">
        <f>+'A) Base RI'!U7</f>
        <v>67.5</v>
      </c>
      <c r="H5" s="280">
        <f t="shared" ref="H5" si="2">G5/$G$314</f>
        <v>0.99410541264543328</v>
      </c>
      <c r="I5" s="55">
        <f>F5*H5</f>
        <v>3428985.2581145931</v>
      </c>
      <c r="J5" s="48"/>
      <c r="K5" s="107"/>
      <c r="L5" s="15"/>
    </row>
    <row r="6" spans="1:12" x14ac:dyDescent="0.25">
      <c r="A6" s="49">
        <f>'A) Base RI'!A8</f>
        <v>5402</v>
      </c>
      <c r="B6" s="32" t="str">
        <f>'A) Base RI'!B8</f>
        <v>Bex</v>
      </c>
      <c r="C6" s="95">
        <f>'A) Base RI'!V8</f>
        <v>7757</v>
      </c>
      <c r="D6" s="110">
        <f>'D) Ecrêtage'!E6</f>
        <v>21.603223921146991</v>
      </c>
      <c r="E6" s="34">
        <f t="shared" ref="E6:E69" si="3">IF($D$314-D6&lt;0,0,$D$314-D6)</f>
        <v>23.222119758172681</v>
      </c>
      <c r="F6" s="279">
        <f t="shared" ref="F6:F69" si="4">(C6*E6*G6)*$E$4</f>
        <v>3453168.4534226693</v>
      </c>
      <c r="G6" s="33">
        <f>+'A) Base RI'!U8</f>
        <v>71</v>
      </c>
      <c r="H6" s="280">
        <f t="shared" ref="H6:H69" si="5">G6/$G$314</f>
        <v>1.0456516192270484</v>
      </c>
      <c r="I6" s="55">
        <f t="shared" ref="I6:I69" si="6">F6*H6</f>
        <v>3610811.1847851765</v>
      </c>
      <c r="J6" s="48"/>
      <c r="L6" s="108"/>
    </row>
    <row r="7" spans="1:12" x14ac:dyDescent="0.25">
      <c r="A7" s="49">
        <f>'A) Base RI'!A9</f>
        <v>5403</v>
      </c>
      <c r="B7" s="32" t="str">
        <f>'A) Base RI'!B9</f>
        <v>Chessel</v>
      </c>
      <c r="C7" s="95">
        <f>'A) Base RI'!V9</f>
        <v>426</v>
      </c>
      <c r="D7" s="110">
        <f>'D) Ecrêtage'!E7</f>
        <v>23.672901477802345</v>
      </c>
      <c r="E7" s="34">
        <f t="shared" si="3"/>
        <v>21.152442201517328</v>
      </c>
      <c r="F7" s="279">
        <f t="shared" si="4"/>
        <v>180038.58874937074</v>
      </c>
      <c r="G7" s="33">
        <f>+'A) Base RI'!U9</f>
        <v>74</v>
      </c>
      <c r="H7" s="280">
        <f t="shared" si="5"/>
        <v>1.0898340820112897</v>
      </c>
      <c r="I7" s="55">
        <f t="shared" si="6"/>
        <v>196212.19009627859</v>
      </c>
      <c r="J7" s="48"/>
      <c r="L7" s="108"/>
    </row>
    <row r="8" spans="1:12" x14ac:dyDescent="0.25">
      <c r="A8" s="49">
        <f>'A) Base RI'!A10</f>
        <v>5404</v>
      </c>
      <c r="B8" s="32" t="str">
        <f>'A) Base RI'!B10</f>
        <v>Corbeyrier</v>
      </c>
      <c r="C8" s="95">
        <f>'A) Base RI'!V10</f>
        <v>438</v>
      </c>
      <c r="D8" s="110">
        <f>'D) Ecrêtage'!E8</f>
        <v>27.137113204563914</v>
      </c>
      <c r="E8" s="34">
        <f t="shared" si="3"/>
        <v>17.688230474755759</v>
      </c>
      <c r="F8" s="279">
        <f t="shared" si="4"/>
        <v>146426.70951612311</v>
      </c>
      <c r="G8" s="33">
        <f>+'A) Base RI'!U10</f>
        <v>70</v>
      </c>
      <c r="H8" s="280">
        <f t="shared" si="5"/>
        <v>1.0309241316323012</v>
      </c>
      <c r="I8" s="55">
        <f t="shared" si="6"/>
        <v>150954.82835568444</v>
      </c>
    </row>
    <row r="9" spans="1:12" x14ac:dyDescent="0.25">
      <c r="A9" s="49">
        <f>'A) Base RI'!A11</f>
        <v>5405</v>
      </c>
      <c r="B9" s="32" t="str">
        <f>'A) Base RI'!B11</f>
        <v>Gryon</v>
      </c>
      <c r="C9" s="95">
        <f>'A) Base RI'!V11</f>
        <v>1332</v>
      </c>
      <c r="D9" s="110">
        <f>'D) Ecrêtage'!E9</f>
        <v>50.333332084786477</v>
      </c>
      <c r="E9" s="34">
        <f t="shared" si="3"/>
        <v>0</v>
      </c>
      <c r="F9" s="279">
        <f t="shared" si="4"/>
        <v>0</v>
      </c>
      <c r="G9" s="33">
        <f>+'A) Base RI'!U11</f>
        <v>75</v>
      </c>
      <c r="H9" s="280">
        <f t="shared" si="5"/>
        <v>1.1045615696060369</v>
      </c>
      <c r="I9" s="55">
        <f t="shared" si="6"/>
        <v>0</v>
      </c>
    </row>
    <row r="10" spans="1:12" x14ac:dyDescent="0.25">
      <c r="A10" s="49">
        <f>'A) Base RI'!A12</f>
        <v>5406</v>
      </c>
      <c r="B10" s="32" t="str">
        <f>'A) Base RI'!B12</f>
        <v>Lavey-Morcles</v>
      </c>
      <c r="C10" s="95">
        <f>'A) Base RI'!V12</f>
        <v>946</v>
      </c>
      <c r="D10" s="110">
        <f>'D) Ecrêtage'!E10</f>
        <v>22.391576563355795</v>
      </c>
      <c r="E10" s="34">
        <f t="shared" si="3"/>
        <v>22.433767115963878</v>
      </c>
      <c r="F10" s="279">
        <f t="shared" si="4"/>
        <v>406832.32856992411</v>
      </c>
      <c r="G10" s="33">
        <f>+'A) Base RI'!U12</f>
        <v>71</v>
      </c>
      <c r="H10" s="280">
        <f t="shared" si="5"/>
        <v>1.0456516192270484</v>
      </c>
      <c r="I10" s="55">
        <f t="shared" si="6"/>
        <v>425404.88312305172</v>
      </c>
    </row>
    <row r="11" spans="1:12" x14ac:dyDescent="0.25">
      <c r="A11" s="49">
        <f>'A) Base RI'!A13</f>
        <v>5407</v>
      </c>
      <c r="B11" s="32" t="str">
        <f>'A) Base RI'!B13</f>
        <v>Leysin</v>
      </c>
      <c r="C11" s="95">
        <f>'A) Base RI'!V13</f>
        <v>3939</v>
      </c>
      <c r="D11" s="110">
        <f>'D) Ecrêtage'!E11</f>
        <v>22.289934665208445</v>
      </c>
      <c r="E11" s="34">
        <f t="shared" si="3"/>
        <v>22.535409014111227</v>
      </c>
      <c r="F11" s="279">
        <f t="shared" si="4"/>
        <v>1869432.5168046618</v>
      </c>
      <c r="G11" s="33">
        <f>+'A) Base RI'!U13</f>
        <v>78</v>
      </c>
      <c r="H11" s="280">
        <f t="shared" si="5"/>
        <v>1.1487440323902784</v>
      </c>
      <c r="I11" s="55">
        <f t="shared" si="6"/>
        <v>2147499.4476356944</v>
      </c>
    </row>
    <row r="12" spans="1:12" x14ac:dyDescent="0.25">
      <c r="A12" s="49">
        <f>'A) Base RI'!A14</f>
        <v>5408</v>
      </c>
      <c r="B12" s="32" t="str">
        <f>'A) Base RI'!B14</f>
        <v>Noville</v>
      </c>
      <c r="C12" s="95">
        <f>'A) Base RI'!V14</f>
        <v>1113</v>
      </c>
      <c r="D12" s="110">
        <f>'D) Ecrêtage'!E12</f>
        <v>30.983907814488635</v>
      </c>
      <c r="E12" s="34">
        <f t="shared" si="3"/>
        <v>13.841435864831038</v>
      </c>
      <c r="F12" s="279">
        <f t="shared" si="4"/>
        <v>326519.95650161948</v>
      </c>
      <c r="G12" s="33">
        <f>+'A) Base RI'!U14</f>
        <v>78.5</v>
      </c>
      <c r="H12" s="280">
        <f t="shared" si="5"/>
        <v>1.1561077761876521</v>
      </c>
      <c r="I12" s="55">
        <f t="shared" si="6"/>
        <v>377492.26079197624</v>
      </c>
    </row>
    <row r="13" spans="1:12" x14ac:dyDescent="0.25">
      <c r="A13" s="49">
        <f>'A) Base RI'!A15</f>
        <v>5409</v>
      </c>
      <c r="B13" s="32" t="str">
        <f>'A) Base RI'!B15</f>
        <v>Ollon</v>
      </c>
      <c r="C13" s="95">
        <f>'A) Base RI'!V15</f>
        <v>7461</v>
      </c>
      <c r="D13" s="110">
        <f>'D) Ecrêtage'!E13</f>
        <v>48.819180059855071</v>
      </c>
      <c r="E13" s="34">
        <f t="shared" si="3"/>
        <v>0</v>
      </c>
      <c r="F13" s="279">
        <f t="shared" si="4"/>
        <v>0</v>
      </c>
      <c r="G13" s="33">
        <f>+'A) Base RI'!U15</f>
        <v>68</v>
      </c>
      <c r="H13" s="280">
        <f t="shared" si="5"/>
        <v>1.0014691564428069</v>
      </c>
      <c r="I13" s="55">
        <f t="shared" si="6"/>
        <v>0</v>
      </c>
    </row>
    <row r="14" spans="1:12" x14ac:dyDescent="0.25">
      <c r="A14" s="49">
        <f>'A) Base RI'!A16</f>
        <v>5410</v>
      </c>
      <c r="B14" s="32" t="str">
        <f>'A) Base RI'!B16</f>
        <v>Ormont-Dessous</v>
      </c>
      <c r="C14" s="95">
        <f>'A) Base RI'!V16</f>
        <v>1121</v>
      </c>
      <c r="D14" s="110">
        <f>'D) Ecrêtage'!E14</f>
        <v>38.540506451276329</v>
      </c>
      <c r="E14" s="34">
        <f t="shared" si="3"/>
        <v>6.2848372280433438</v>
      </c>
      <c r="F14" s="279">
        <f t="shared" si="4"/>
        <v>149325.18717923251</v>
      </c>
      <c r="G14" s="33">
        <f>+'A) Base RI'!U16</f>
        <v>78.5</v>
      </c>
      <c r="H14" s="280">
        <f t="shared" si="5"/>
        <v>1.1561077761876521</v>
      </c>
      <c r="I14" s="55">
        <f t="shared" si="6"/>
        <v>172636.01007858739</v>
      </c>
    </row>
    <row r="15" spans="1:12" x14ac:dyDescent="0.25">
      <c r="A15" s="49">
        <f>'A) Base RI'!A17</f>
        <v>5411</v>
      </c>
      <c r="B15" s="32" t="str">
        <f>'A) Base RI'!B17</f>
        <v>Ormont-Dessus</v>
      </c>
      <c r="C15" s="95">
        <f>'A) Base RI'!V17</f>
        <v>1446</v>
      </c>
      <c r="D15" s="110">
        <f>'D) Ecrêtage'!E15</f>
        <v>50.214936610552513</v>
      </c>
      <c r="E15" s="34">
        <f t="shared" si="3"/>
        <v>0</v>
      </c>
      <c r="F15" s="279">
        <f t="shared" si="4"/>
        <v>0</v>
      </c>
      <c r="G15" s="33">
        <f>+'A) Base RI'!U17</f>
        <v>76</v>
      </c>
      <c r="H15" s="280">
        <f t="shared" si="5"/>
        <v>1.1192890572007841</v>
      </c>
      <c r="I15" s="55">
        <f t="shared" si="6"/>
        <v>0</v>
      </c>
    </row>
    <row r="16" spans="1:12" x14ac:dyDescent="0.25">
      <c r="A16" s="49">
        <f>'A) Base RI'!A18</f>
        <v>5412</v>
      </c>
      <c r="B16" s="32" t="str">
        <f>'A) Base RI'!B18</f>
        <v>Rennaz</v>
      </c>
      <c r="C16" s="95">
        <f>'A) Base RI'!V18</f>
        <v>826</v>
      </c>
      <c r="D16" s="110">
        <f>'D) Ecrêtage'!E16</f>
        <v>32.041353276061976</v>
      </c>
      <c r="E16" s="34">
        <f t="shared" si="3"/>
        <v>12.783990403257697</v>
      </c>
      <c r="F16" s="279">
        <f t="shared" si="4"/>
        <v>192448.27393208086</v>
      </c>
      <c r="G16" s="33">
        <f>+'A) Base RI'!U18</f>
        <v>67.5</v>
      </c>
      <c r="H16" s="280">
        <f t="shared" si="5"/>
        <v>0.99410541264543328</v>
      </c>
      <c r="I16" s="55">
        <f t="shared" si="6"/>
        <v>191313.87077015263</v>
      </c>
    </row>
    <row r="17" spans="1:9" x14ac:dyDescent="0.25">
      <c r="A17" s="49">
        <f>'A) Base RI'!A19</f>
        <v>5413</v>
      </c>
      <c r="B17" s="32" t="str">
        <f>'A) Base RI'!B19</f>
        <v>Roche</v>
      </c>
      <c r="C17" s="95">
        <f>'A) Base RI'!V19</f>
        <v>1775</v>
      </c>
      <c r="D17" s="110">
        <f>'D) Ecrêtage'!E17</f>
        <v>21.40303408994869</v>
      </c>
      <c r="E17" s="34">
        <f t="shared" si="3"/>
        <v>23.422309589370983</v>
      </c>
      <c r="F17" s="279">
        <f t="shared" si="4"/>
        <v>763309.64720801101</v>
      </c>
      <c r="G17" s="33">
        <f>+'A) Base RI'!U19</f>
        <v>68</v>
      </c>
      <c r="H17" s="280">
        <f t="shared" si="5"/>
        <v>1.0014691564428069</v>
      </c>
      <c r="I17" s="55">
        <f t="shared" si="6"/>
        <v>764431.06849406334</v>
      </c>
    </row>
    <row r="18" spans="1:9" x14ac:dyDescent="0.25">
      <c r="A18" s="49">
        <f>'A) Base RI'!A20</f>
        <v>5414</v>
      </c>
      <c r="B18" s="32" t="str">
        <f>'A) Base RI'!B20</f>
        <v>Villeneuve</v>
      </c>
      <c r="C18" s="95">
        <f>'A) Base RI'!V20</f>
        <v>5771</v>
      </c>
      <c r="D18" s="110">
        <f>'D) Ecrêtage'!E18</f>
        <v>28.685733522649755</v>
      </c>
      <c r="E18" s="34">
        <f t="shared" si="3"/>
        <v>16.139610156669917</v>
      </c>
      <c r="F18" s="279">
        <f t="shared" si="4"/>
        <v>1735229.688689467</v>
      </c>
      <c r="G18" s="33">
        <f>+'A) Base RI'!U20</f>
        <v>69</v>
      </c>
      <c r="H18" s="280">
        <f t="shared" si="5"/>
        <v>1.0161966440375541</v>
      </c>
      <c r="I18" s="55">
        <f t="shared" si="6"/>
        <v>1763334.5862805662</v>
      </c>
    </row>
    <row r="19" spans="1:9" x14ac:dyDescent="0.25">
      <c r="A19" s="49">
        <f>'A) Base RI'!A21</f>
        <v>5415</v>
      </c>
      <c r="B19" s="32" t="str">
        <f>'A) Base RI'!B21</f>
        <v>Yvorne</v>
      </c>
      <c r="C19" s="95">
        <f>'A) Base RI'!V21</f>
        <v>1066</v>
      </c>
      <c r="D19" s="110">
        <f>'D) Ecrêtage'!E19</f>
        <v>31.298815759288821</v>
      </c>
      <c r="E19" s="34">
        <f t="shared" si="3"/>
        <v>13.526527920030851</v>
      </c>
      <c r="F19" s="279">
        <f t="shared" si="4"/>
        <v>278364.17651494453</v>
      </c>
      <c r="G19" s="33">
        <f>+'A) Base RI'!U21</f>
        <v>71.5</v>
      </c>
      <c r="H19" s="280">
        <f t="shared" si="5"/>
        <v>1.0530153630244219</v>
      </c>
      <c r="I19" s="55">
        <f t="shared" si="6"/>
        <v>293121.75438587856</v>
      </c>
    </row>
    <row r="20" spans="1:9" x14ac:dyDescent="0.25">
      <c r="A20" s="49">
        <f>'A) Base RI'!A22</f>
        <v>5421</v>
      </c>
      <c r="B20" s="32" t="str">
        <f>'A) Base RI'!B22</f>
        <v>Apples</v>
      </c>
      <c r="C20" s="95">
        <f>'A) Base RI'!V22</f>
        <v>1469</v>
      </c>
      <c r="D20" s="110">
        <f>'D) Ecrêtage'!E20</f>
        <v>45.592433268199386</v>
      </c>
      <c r="E20" s="34">
        <f t="shared" si="3"/>
        <v>0</v>
      </c>
      <c r="F20" s="279">
        <f t="shared" si="4"/>
        <v>0</v>
      </c>
      <c r="G20" s="33">
        <f>+'A) Base RI'!U22</f>
        <v>76</v>
      </c>
      <c r="H20" s="280">
        <f t="shared" si="5"/>
        <v>1.1192890572007841</v>
      </c>
      <c r="I20" s="55">
        <f t="shared" si="6"/>
        <v>0</v>
      </c>
    </row>
    <row r="21" spans="1:9" x14ac:dyDescent="0.25">
      <c r="A21" s="49">
        <f>'A) Base RI'!A23</f>
        <v>5422</v>
      </c>
      <c r="B21" s="32" t="str">
        <f>'A) Base RI'!B23</f>
        <v>Aubonne</v>
      </c>
      <c r="C21" s="95">
        <f>'A) Base RI'!V23</f>
        <v>3242</v>
      </c>
      <c r="D21" s="110">
        <f>'D) Ecrêtage'!E21</f>
        <v>69.576377935360682</v>
      </c>
      <c r="E21" s="34">
        <f t="shared" si="3"/>
        <v>0</v>
      </c>
      <c r="F21" s="279">
        <f t="shared" si="4"/>
        <v>0</v>
      </c>
      <c r="G21" s="33">
        <f>+'A) Base RI'!U23</f>
        <v>68</v>
      </c>
      <c r="H21" s="280">
        <f t="shared" si="5"/>
        <v>1.0014691564428069</v>
      </c>
      <c r="I21" s="55">
        <f t="shared" si="6"/>
        <v>0</v>
      </c>
    </row>
    <row r="22" spans="1:9" x14ac:dyDescent="0.25">
      <c r="A22" s="49">
        <f>'A) Base RI'!A24</f>
        <v>5423</v>
      </c>
      <c r="B22" s="32" t="str">
        <f>'A) Base RI'!B24</f>
        <v>Ballens</v>
      </c>
      <c r="C22" s="95">
        <f>'A) Base RI'!V24</f>
        <v>536</v>
      </c>
      <c r="D22" s="110">
        <f>'D) Ecrêtage'!E22</f>
        <v>25.273944760724156</v>
      </c>
      <c r="E22" s="34">
        <f t="shared" si="3"/>
        <v>19.551398918595517</v>
      </c>
      <c r="F22" s="279">
        <f t="shared" si="4"/>
        <v>206551.92695943746</v>
      </c>
      <c r="G22" s="33">
        <f>+'A) Base RI'!U24</f>
        <v>73</v>
      </c>
      <c r="H22" s="280">
        <f t="shared" si="5"/>
        <v>1.0751065944165428</v>
      </c>
      <c r="I22" s="55">
        <f t="shared" si="6"/>
        <v>222065.33876353531</v>
      </c>
    </row>
    <row r="23" spans="1:9" x14ac:dyDescent="0.25">
      <c r="A23" s="49">
        <f>'A) Base RI'!A25</f>
        <v>5424</v>
      </c>
      <c r="B23" s="32" t="str">
        <f>'A) Base RI'!B25</f>
        <v>Berolle</v>
      </c>
      <c r="C23" s="95">
        <f>'A) Base RI'!V25</f>
        <v>307</v>
      </c>
      <c r="D23" s="110">
        <f>'D) Ecrêtage'!E23</f>
        <v>30.317892797701067</v>
      </c>
      <c r="E23" s="34">
        <f t="shared" si="3"/>
        <v>14.507450881618606</v>
      </c>
      <c r="F23" s="279">
        <f t="shared" si="4"/>
        <v>92594.240475457205</v>
      </c>
      <c r="G23" s="33">
        <f>+'A) Base RI'!U25</f>
        <v>77</v>
      </c>
      <c r="H23" s="280">
        <f t="shared" si="5"/>
        <v>1.1340165447955313</v>
      </c>
      <c r="I23" s="55">
        <f t="shared" si="6"/>
        <v>105003.40065194451</v>
      </c>
    </row>
    <row r="24" spans="1:9" x14ac:dyDescent="0.25">
      <c r="A24" s="49">
        <f>'A) Base RI'!A26</f>
        <v>5425</v>
      </c>
      <c r="B24" s="32" t="str">
        <f>'A) Base RI'!B26</f>
        <v>Bière</v>
      </c>
      <c r="C24" s="95">
        <f>'A) Base RI'!V26</f>
        <v>1595</v>
      </c>
      <c r="D24" s="110">
        <f>'D) Ecrêtage'!E24</f>
        <v>24.142179172795267</v>
      </c>
      <c r="E24" s="34">
        <f t="shared" si="3"/>
        <v>20.683164506524406</v>
      </c>
      <c r="F24" s="279">
        <f t="shared" si="4"/>
        <v>623504.33563143155</v>
      </c>
      <c r="G24" s="33">
        <f>+'A) Base RI'!U26</f>
        <v>70</v>
      </c>
      <c r="H24" s="280">
        <f t="shared" si="5"/>
        <v>1.0309241316323012</v>
      </c>
      <c r="I24" s="55">
        <f t="shared" si="6"/>
        <v>642785.66577980842</v>
      </c>
    </row>
    <row r="25" spans="1:9" x14ac:dyDescent="0.25">
      <c r="A25" s="49">
        <f>'A) Base RI'!A27</f>
        <v>5426</v>
      </c>
      <c r="B25" s="32" t="str">
        <f>'A) Base RI'!B27</f>
        <v>Bougy-Villars</v>
      </c>
      <c r="C25" s="95">
        <f>'A) Base RI'!V27</f>
        <v>490</v>
      </c>
      <c r="D25" s="110">
        <f>'D) Ecrêtage'!E25</f>
        <v>103.38079023072846</v>
      </c>
      <c r="E25" s="34">
        <f t="shared" si="3"/>
        <v>0</v>
      </c>
      <c r="F25" s="279">
        <f t="shared" si="4"/>
        <v>0</v>
      </c>
      <c r="G25" s="33">
        <f>+'A) Base RI'!U27</f>
        <v>66</v>
      </c>
      <c r="H25" s="280">
        <f t="shared" si="5"/>
        <v>0.97201418125331251</v>
      </c>
      <c r="I25" s="55">
        <f t="shared" si="6"/>
        <v>0</v>
      </c>
    </row>
    <row r="26" spans="1:9" x14ac:dyDescent="0.25">
      <c r="A26" s="49">
        <f>'A) Base RI'!A28</f>
        <v>5427</v>
      </c>
      <c r="B26" s="32" t="str">
        <f>'A) Base RI'!B28</f>
        <v>Féchy</v>
      </c>
      <c r="C26" s="95">
        <f>'A) Base RI'!V28</f>
        <v>860</v>
      </c>
      <c r="D26" s="110">
        <f>'D) Ecrêtage'!E26</f>
        <v>84.634171007474563</v>
      </c>
      <c r="E26" s="34">
        <f t="shared" si="3"/>
        <v>0</v>
      </c>
      <c r="F26" s="279">
        <f t="shared" si="4"/>
        <v>0</v>
      </c>
      <c r="G26" s="33">
        <f>+'A) Base RI'!U28</f>
        <v>64</v>
      </c>
      <c r="H26" s="280">
        <f t="shared" si="5"/>
        <v>0.94255920606381827</v>
      </c>
      <c r="I26" s="55">
        <f t="shared" si="6"/>
        <v>0</v>
      </c>
    </row>
    <row r="27" spans="1:9" x14ac:dyDescent="0.25">
      <c r="A27" s="49">
        <f>'A) Base RI'!A29</f>
        <v>5428</v>
      </c>
      <c r="B27" s="32" t="str">
        <f>'A) Base RI'!B29</f>
        <v>Gimel</v>
      </c>
      <c r="C27" s="95">
        <f>'A) Base RI'!V29</f>
        <v>2186</v>
      </c>
      <c r="D27" s="110">
        <f>'D) Ecrêtage'!E27</f>
        <v>26.948826706321235</v>
      </c>
      <c r="E27" s="34">
        <f t="shared" si="3"/>
        <v>17.876516972998438</v>
      </c>
      <c r="F27" s="279">
        <f t="shared" si="4"/>
        <v>754402.06611792441</v>
      </c>
      <c r="G27" s="33">
        <f>+'A) Base RI'!U29</f>
        <v>71.5</v>
      </c>
      <c r="H27" s="280">
        <f t="shared" si="5"/>
        <v>1.0530153630244219</v>
      </c>
      <c r="I27" s="55">
        <f t="shared" si="6"/>
        <v>794396.96551954013</v>
      </c>
    </row>
    <row r="28" spans="1:9" x14ac:dyDescent="0.25">
      <c r="A28" s="49">
        <f>'A) Base RI'!A30</f>
        <v>5429</v>
      </c>
      <c r="B28" s="32" t="str">
        <f>'A) Base RI'!B30</f>
        <v>Longirod</v>
      </c>
      <c r="C28" s="95">
        <f>'A) Base RI'!V30</f>
        <v>478</v>
      </c>
      <c r="D28" s="110">
        <f>'D) Ecrêtage'!E28</f>
        <v>28.800803882983278</v>
      </c>
      <c r="E28" s="34">
        <f t="shared" si="3"/>
        <v>16.024539796336395</v>
      </c>
      <c r="F28" s="279">
        <f t="shared" si="4"/>
        <v>167518.2955953292</v>
      </c>
      <c r="G28" s="33">
        <f>+'A) Base RI'!U30</f>
        <v>81</v>
      </c>
      <c r="H28" s="280">
        <f t="shared" si="5"/>
        <v>1.19292649517452</v>
      </c>
      <c r="I28" s="55">
        <f t="shared" si="6"/>
        <v>199837.0132421453</v>
      </c>
    </row>
    <row r="29" spans="1:9" x14ac:dyDescent="0.25">
      <c r="A29" s="49">
        <f>'A) Base RI'!A31</f>
        <v>5430</v>
      </c>
      <c r="B29" s="32" t="str">
        <f>'A) Base RI'!B31</f>
        <v>Marchissy</v>
      </c>
      <c r="C29" s="95">
        <f>'A) Base RI'!V31</f>
        <v>463</v>
      </c>
      <c r="D29" s="110">
        <f>'D) Ecrêtage'!E29</f>
        <v>29.559278762703098</v>
      </c>
      <c r="E29" s="34">
        <f t="shared" si="3"/>
        <v>15.266064916616575</v>
      </c>
      <c r="F29" s="279">
        <f t="shared" si="4"/>
        <v>150764.4512428728</v>
      </c>
      <c r="G29" s="33">
        <f>+'A) Base RI'!U31</f>
        <v>79</v>
      </c>
      <c r="H29" s="280">
        <f t="shared" si="5"/>
        <v>1.1634715199850256</v>
      </c>
      <c r="I29" s="55">
        <f t="shared" si="6"/>
        <v>175410.1452472535</v>
      </c>
    </row>
    <row r="30" spans="1:9" x14ac:dyDescent="0.25">
      <c r="A30" s="49">
        <f>'A) Base RI'!A32</f>
        <v>5431</v>
      </c>
      <c r="B30" s="32" t="str">
        <f>'A) Base RI'!B32</f>
        <v>Mollens</v>
      </c>
      <c r="C30" s="95">
        <f>'A) Base RI'!V32</f>
        <v>283</v>
      </c>
      <c r="D30" s="110">
        <f>'D) Ecrêtage'!E30</f>
        <v>30.498373234084266</v>
      </c>
      <c r="E30" s="34">
        <f t="shared" si="3"/>
        <v>14.326970445235407</v>
      </c>
      <c r="F30" s="279">
        <f t="shared" si="4"/>
        <v>81009.562067312378</v>
      </c>
      <c r="G30" s="33">
        <f>+'A) Base RI'!U32</f>
        <v>74</v>
      </c>
      <c r="H30" s="280">
        <f t="shared" si="5"/>
        <v>1.0898340820112897</v>
      </c>
      <c r="I30" s="55">
        <f t="shared" si="6"/>
        <v>88286.981709765983</v>
      </c>
    </row>
    <row r="31" spans="1:9" x14ac:dyDescent="0.25">
      <c r="A31" s="49">
        <f>'A) Base RI'!A33</f>
        <v>5432</v>
      </c>
      <c r="B31" s="32" t="str">
        <f>'A) Base RI'!B33</f>
        <v>Montherod</v>
      </c>
      <c r="C31" s="95">
        <f>'A) Base RI'!V33</f>
        <v>536</v>
      </c>
      <c r="D31" s="110">
        <f>'D) Ecrêtage'!E31</f>
        <v>33.80556739866126</v>
      </c>
      <c r="E31" s="34">
        <f t="shared" si="3"/>
        <v>11.019776280658412</v>
      </c>
      <c r="F31" s="279">
        <f t="shared" si="4"/>
        <v>124392.99782027707</v>
      </c>
      <c r="G31" s="33">
        <f>+'A) Base RI'!U33</f>
        <v>78</v>
      </c>
      <c r="H31" s="280">
        <f t="shared" si="5"/>
        <v>1.1487440323902784</v>
      </c>
      <c r="I31" s="55">
        <f t="shared" si="6"/>
        <v>142895.7139171802</v>
      </c>
    </row>
    <row r="32" spans="1:9" x14ac:dyDescent="0.25">
      <c r="A32" s="49">
        <f>'A) Base RI'!A34</f>
        <v>5434</v>
      </c>
      <c r="B32" s="32" t="str">
        <f>'A) Base RI'!B34</f>
        <v>Saint-George</v>
      </c>
      <c r="C32" s="95">
        <f>'A) Base RI'!V34</f>
        <v>1031</v>
      </c>
      <c r="D32" s="110">
        <f>'D) Ecrêtage'!E32</f>
        <v>35.571232904812597</v>
      </c>
      <c r="E32" s="34">
        <f t="shared" si="3"/>
        <v>9.2541107745070761</v>
      </c>
      <c r="F32" s="279">
        <f t="shared" si="4"/>
        <v>182900.743957267</v>
      </c>
      <c r="G32" s="33">
        <f>+'A) Base RI'!U34</f>
        <v>71</v>
      </c>
      <c r="H32" s="280">
        <f t="shared" si="5"/>
        <v>1.0456516192270484</v>
      </c>
      <c r="I32" s="55">
        <f t="shared" si="6"/>
        <v>191250.45907674803</v>
      </c>
    </row>
    <row r="33" spans="1:9" x14ac:dyDescent="0.25">
      <c r="A33" s="49">
        <f>'A) Base RI'!A35</f>
        <v>5435</v>
      </c>
      <c r="B33" s="32" t="str">
        <f>'A) Base RI'!B35</f>
        <v>Saint-Livres</v>
      </c>
      <c r="C33" s="95">
        <f>'A) Base RI'!V35</f>
        <v>690</v>
      </c>
      <c r="D33" s="110">
        <f>'D) Ecrêtage'!E33</f>
        <v>34.977271815912275</v>
      </c>
      <c r="E33" s="34">
        <f t="shared" si="3"/>
        <v>9.848071863407398</v>
      </c>
      <c r="F33" s="279">
        <f t="shared" si="4"/>
        <v>126594.0093825431</v>
      </c>
      <c r="G33" s="33">
        <f>+'A) Base RI'!U35</f>
        <v>69</v>
      </c>
      <c r="H33" s="280">
        <f t="shared" si="5"/>
        <v>1.0161966440375541</v>
      </c>
      <c r="I33" s="55">
        <f t="shared" si="6"/>
        <v>128644.40748979892</v>
      </c>
    </row>
    <row r="34" spans="1:9" x14ac:dyDescent="0.25">
      <c r="A34" s="49">
        <f>'A) Base RI'!A36</f>
        <v>5436</v>
      </c>
      <c r="B34" s="32" t="str">
        <f>'A) Base RI'!B36</f>
        <v>Saint-Oyens</v>
      </c>
      <c r="C34" s="95">
        <f>'A) Base RI'!V36</f>
        <v>448</v>
      </c>
      <c r="D34" s="110">
        <f>'D) Ecrêtage'!E34</f>
        <v>33.663654760311928</v>
      </c>
      <c r="E34" s="34">
        <f t="shared" si="3"/>
        <v>11.161688919007744</v>
      </c>
      <c r="F34" s="279">
        <f t="shared" si="4"/>
        <v>109359.54922309732</v>
      </c>
      <c r="G34" s="33">
        <f>+'A) Base RI'!U36</f>
        <v>81</v>
      </c>
      <c r="H34" s="280">
        <f t="shared" si="5"/>
        <v>1.19292649517452</v>
      </c>
      <c r="I34" s="55">
        <f t="shared" si="6"/>
        <v>130457.90376857488</v>
      </c>
    </row>
    <row r="35" spans="1:9" x14ac:dyDescent="0.25">
      <c r="A35" s="49">
        <f>'A) Base RI'!A37</f>
        <v>5437</v>
      </c>
      <c r="B35" s="32" t="str">
        <f>'A) Base RI'!B37</f>
        <v>Saubraz</v>
      </c>
      <c r="C35" s="95">
        <f>'A) Base RI'!V37</f>
        <v>418</v>
      </c>
      <c r="D35" s="110">
        <f>'D) Ecrêtage'!E35</f>
        <v>27.195070439572145</v>
      </c>
      <c r="E35" s="34">
        <f t="shared" si="3"/>
        <v>17.630273239747527</v>
      </c>
      <c r="F35" s="279">
        <f t="shared" si="4"/>
        <v>159180.21102703249</v>
      </c>
      <c r="G35" s="33">
        <f>+'A) Base RI'!U37</f>
        <v>80</v>
      </c>
      <c r="H35" s="280">
        <f t="shared" si="5"/>
        <v>1.1781990075797728</v>
      </c>
      <c r="I35" s="55">
        <f t="shared" si="6"/>
        <v>187545.9666583885</v>
      </c>
    </row>
    <row r="36" spans="1:9" x14ac:dyDescent="0.25">
      <c r="A36" s="49">
        <f>'A) Base RI'!A38</f>
        <v>5451</v>
      </c>
      <c r="B36" s="32" t="str">
        <f>'A) Base RI'!B38</f>
        <v>Avenches</v>
      </c>
      <c r="C36" s="95">
        <f>'A) Base RI'!V38</f>
        <v>4282</v>
      </c>
      <c r="D36" s="110">
        <f>'D) Ecrêtage'!E36</f>
        <v>30.235884409106227</v>
      </c>
      <c r="E36" s="34">
        <f t="shared" si="3"/>
        <v>14.589459270213446</v>
      </c>
      <c r="F36" s="279">
        <f t="shared" si="4"/>
        <v>1146987.105965191</v>
      </c>
      <c r="G36" s="33">
        <f>+'A) Base RI'!U38</f>
        <v>68</v>
      </c>
      <c r="H36" s="280">
        <f t="shared" si="5"/>
        <v>1.0014691564428069</v>
      </c>
      <c r="I36" s="55">
        <f t="shared" si="6"/>
        <v>1148672.2094617363</v>
      </c>
    </row>
    <row r="37" spans="1:9" x14ac:dyDescent="0.25">
      <c r="A37" s="49">
        <f>'A) Base RI'!A39</f>
        <v>5456</v>
      </c>
      <c r="B37" s="32" t="str">
        <f>'A) Base RI'!B39</f>
        <v>Cudrefin</v>
      </c>
      <c r="C37" s="95">
        <f>'A) Base RI'!V39</f>
        <v>1633</v>
      </c>
      <c r="D37" s="110">
        <f>'D) Ecrêtage'!E37</f>
        <v>35.379920366121354</v>
      </c>
      <c r="E37" s="34">
        <f t="shared" si="3"/>
        <v>9.4454233131983187</v>
      </c>
      <c r="F37" s="279">
        <f t="shared" si="4"/>
        <v>245710.31398831398</v>
      </c>
      <c r="G37" s="33">
        <f>+'A) Base RI'!U39</f>
        <v>59</v>
      </c>
      <c r="H37" s="280">
        <f t="shared" si="5"/>
        <v>0.86892176809008248</v>
      </c>
      <c r="I37" s="55">
        <f t="shared" si="6"/>
        <v>213503.04046869511</v>
      </c>
    </row>
    <row r="38" spans="1:9" x14ac:dyDescent="0.25">
      <c r="A38" s="49">
        <f>'A) Base RI'!A40</f>
        <v>5458</v>
      </c>
      <c r="B38" s="32" t="str">
        <f>'A) Base RI'!B40</f>
        <v>Faoug</v>
      </c>
      <c r="C38" s="95">
        <f>'A) Base RI'!V40</f>
        <v>904</v>
      </c>
      <c r="D38" s="110">
        <f>'D) Ecrêtage'!E38</f>
        <v>33.215750483444033</v>
      </c>
      <c r="E38" s="34">
        <f t="shared" si="3"/>
        <v>11.60959319587564</v>
      </c>
      <c r="F38" s="279">
        <f t="shared" si="4"/>
        <v>181354.84846395688</v>
      </c>
      <c r="G38" s="33">
        <f>+'A) Base RI'!U40</f>
        <v>64</v>
      </c>
      <c r="H38" s="280">
        <f t="shared" si="5"/>
        <v>0.94255920606381827</v>
      </c>
      <c r="I38" s="55">
        <f t="shared" si="6"/>
        <v>170937.68198401126</v>
      </c>
    </row>
    <row r="39" spans="1:9" x14ac:dyDescent="0.25">
      <c r="A39" s="49">
        <f>'A) Base RI'!A41</f>
        <v>5464</v>
      </c>
      <c r="B39" s="32" t="str">
        <f>'A) Base RI'!B41</f>
        <v>Vully-les-Lacs</v>
      </c>
      <c r="C39" s="95">
        <f>'A) Base RI'!V41</f>
        <v>3163</v>
      </c>
      <c r="D39" s="110">
        <f>'D) Ecrêtage'!E39</f>
        <v>32.784485345882302</v>
      </c>
      <c r="E39" s="34">
        <f t="shared" si="3"/>
        <v>12.04085833343737</v>
      </c>
      <c r="F39" s="279">
        <f t="shared" si="4"/>
        <v>688961.89949770295</v>
      </c>
      <c r="G39" s="33">
        <f>+'A) Base RI'!U41</f>
        <v>67</v>
      </c>
      <c r="H39" s="280">
        <f t="shared" si="5"/>
        <v>0.98674166884805969</v>
      </c>
      <c r="I39" s="55">
        <f t="shared" si="6"/>
        <v>679827.41448309261</v>
      </c>
    </row>
    <row r="40" spans="1:9" x14ac:dyDescent="0.25">
      <c r="A40" s="49">
        <f>'A) Base RI'!A42</f>
        <v>5471</v>
      </c>
      <c r="B40" s="32" t="str">
        <f>'A) Base RI'!B42</f>
        <v>Bettens</v>
      </c>
      <c r="C40" s="95">
        <f>'A) Base RI'!V42</f>
        <v>592</v>
      </c>
      <c r="D40" s="110">
        <f>'D) Ecrêtage'!E40</f>
        <v>30.839179194568924</v>
      </c>
      <c r="E40" s="34">
        <f t="shared" si="3"/>
        <v>13.986164484750748</v>
      </c>
      <c r="F40" s="279">
        <f t="shared" si="4"/>
        <v>156488.39718697919</v>
      </c>
      <c r="G40" s="33">
        <f>+'A) Base RI'!U42</f>
        <v>70</v>
      </c>
      <c r="H40" s="280">
        <f t="shared" si="5"/>
        <v>1.0309241316323012</v>
      </c>
      <c r="I40" s="55">
        <f t="shared" si="6"/>
        <v>161327.66498051718</v>
      </c>
    </row>
    <row r="41" spans="1:9" x14ac:dyDescent="0.25">
      <c r="A41" s="49">
        <f>'A) Base RI'!A43</f>
        <v>5472</v>
      </c>
      <c r="B41" s="32" t="str">
        <f>'A) Base RI'!B43</f>
        <v>Bournens</v>
      </c>
      <c r="C41" s="95">
        <f>'A) Base RI'!V43</f>
        <v>404</v>
      </c>
      <c r="D41" s="110">
        <f>'D) Ecrêtage'!E41</f>
        <v>40.708063246482858</v>
      </c>
      <c r="E41" s="34">
        <f t="shared" si="3"/>
        <v>4.1172804328368144</v>
      </c>
      <c r="F41" s="279">
        <f t="shared" si="4"/>
        <v>34132.584170651819</v>
      </c>
      <c r="G41" s="33">
        <f>+'A) Base RI'!U43</f>
        <v>76</v>
      </c>
      <c r="H41" s="280">
        <f t="shared" si="5"/>
        <v>1.1192890572007841</v>
      </c>
      <c r="I41" s="55">
        <f t="shared" si="6"/>
        <v>38204.227956195282</v>
      </c>
    </row>
    <row r="42" spans="1:9" x14ac:dyDescent="0.25">
      <c r="A42" s="49">
        <f>'A) Base RI'!A44</f>
        <v>5473</v>
      </c>
      <c r="B42" s="32" t="str">
        <f>'A) Base RI'!B44</f>
        <v>Boussens</v>
      </c>
      <c r="C42" s="95">
        <f>'A) Base RI'!V44</f>
        <v>968</v>
      </c>
      <c r="D42" s="110">
        <f>'D) Ecrêtage'!E42</f>
        <v>36.948090967017471</v>
      </c>
      <c r="E42" s="34">
        <f t="shared" si="3"/>
        <v>7.8772527123022016</v>
      </c>
      <c r="F42" s="279">
        <f t="shared" si="4"/>
        <v>142057.11505322394</v>
      </c>
      <c r="G42" s="33">
        <f>+'A) Base RI'!U44</f>
        <v>69</v>
      </c>
      <c r="H42" s="280">
        <f t="shared" si="5"/>
        <v>1.0161966440375541</v>
      </c>
      <c r="I42" s="55">
        <f t="shared" si="6"/>
        <v>144357.96357874287</v>
      </c>
    </row>
    <row r="43" spans="1:9" x14ac:dyDescent="0.25">
      <c r="A43" s="49">
        <f>'A) Base RI'!A45</f>
        <v>5474</v>
      </c>
      <c r="B43" s="32" t="str">
        <f>'A) Base RI'!B45</f>
        <v>La Chaux (Cossonay)</v>
      </c>
      <c r="C43" s="95">
        <f>'A) Base RI'!V45</f>
        <v>410</v>
      </c>
      <c r="D43" s="110">
        <f>'D) Ecrêtage'!E43</f>
        <v>31.639718715809476</v>
      </c>
      <c r="E43" s="34">
        <f t="shared" si="3"/>
        <v>13.185624963510197</v>
      </c>
      <c r="F43" s="279">
        <f t="shared" si="4"/>
        <v>112392.94862646457</v>
      </c>
      <c r="G43" s="33">
        <f>+'A) Base RI'!U45</f>
        <v>77</v>
      </c>
      <c r="H43" s="280">
        <f t="shared" si="5"/>
        <v>1.1340165447955313</v>
      </c>
      <c r="I43" s="55">
        <f t="shared" si="6"/>
        <v>127455.463260765</v>
      </c>
    </row>
    <row r="44" spans="1:9" x14ac:dyDescent="0.25">
      <c r="A44" s="49">
        <f>'A) Base RI'!A46</f>
        <v>5475</v>
      </c>
      <c r="B44" s="32" t="str">
        <f>'A) Base RI'!B46</f>
        <v>Chavannes-le-Veyron</v>
      </c>
      <c r="C44" s="95">
        <f>'A) Base RI'!V46</f>
        <v>142</v>
      </c>
      <c r="D44" s="110">
        <f>'D) Ecrêtage'!E44</f>
        <v>34.522225004429721</v>
      </c>
      <c r="E44" s="34">
        <f t="shared" si="3"/>
        <v>10.303118674889951</v>
      </c>
      <c r="F44" s="279">
        <f t="shared" si="4"/>
        <v>30416.66088963662</v>
      </c>
      <c r="G44" s="33">
        <f>+'A) Base RI'!U46</f>
        <v>77</v>
      </c>
      <c r="H44" s="280">
        <f t="shared" si="5"/>
        <v>1.1340165447955313</v>
      </c>
      <c r="I44" s="55">
        <f t="shared" si="6"/>
        <v>34492.996686283092</v>
      </c>
    </row>
    <row r="45" spans="1:9" x14ac:dyDescent="0.25">
      <c r="A45" s="49">
        <f>'A) Base RI'!A47</f>
        <v>5476</v>
      </c>
      <c r="B45" s="32" t="str">
        <f>'A) Base RI'!B47</f>
        <v>Chevilly</v>
      </c>
      <c r="C45" s="95">
        <f>'A) Base RI'!V47</f>
        <v>314</v>
      </c>
      <c r="D45" s="110">
        <f>'D) Ecrêtage'!E45</f>
        <v>34.035129987537182</v>
      </c>
      <c r="E45" s="34">
        <f t="shared" si="3"/>
        <v>10.79021369178249</v>
      </c>
      <c r="F45" s="279">
        <f t="shared" si="4"/>
        <v>67694.77944240965</v>
      </c>
      <c r="G45" s="33">
        <f>+'A) Base RI'!U47</f>
        <v>74</v>
      </c>
      <c r="H45" s="280">
        <f t="shared" si="5"/>
        <v>1.0898340820112897</v>
      </c>
      <c r="I45" s="55">
        <f t="shared" si="6"/>
        <v>73776.077810575254</v>
      </c>
    </row>
    <row r="46" spans="1:9" x14ac:dyDescent="0.25">
      <c r="A46" s="49">
        <f>'A) Base RI'!A48</f>
        <v>5477</v>
      </c>
      <c r="B46" s="32" t="str">
        <f>'A) Base RI'!B48</f>
        <v>Cossonay</v>
      </c>
      <c r="C46" s="95">
        <f>'A) Base RI'!V48</f>
        <v>3871</v>
      </c>
      <c r="D46" s="110">
        <f>'D) Ecrêtage'!E46</f>
        <v>33.476602164851933</v>
      </c>
      <c r="E46" s="34">
        <f t="shared" si="3"/>
        <v>11.34874151446774</v>
      </c>
      <c r="F46" s="279">
        <f t="shared" si="4"/>
        <v>842156.8559760137</v>
      </c>
      <c r="G46" s="33">
        <f>+'A) Base RI'!U48</f>
        <v>71</v>
      </c>
      <c r="H46" s="280">
        <f t="shared" si="5"/>
        <v>1.0456516192270484</v>
      </c>
      <c r="I46" s="55">
        <f t="shared" si="6"/>
        <v>880602.68009447888</v>
      </c>
    </row>
    <row r="47" spans="1:9" x14ac:dyDescent="0.25">
      <c r="A47" s="49">
        <f>'A) Base RI'!A49</f>
        <v>5478</v>
      </c>
      <c r="B47" s="32" t="str">
        <f>'A) Base RI'!B49</f>
        <v>Cottens</v>
      </c>
      <c r="C47" s="95">
        <f>'A) Base RI'!V49</f>
        <v>486</v>
      </c>
      <c r="D47" s="110">
        <f>'D) Ecrêtage'!E47</f>
        <v>29.236029082330763</v>
      </c>
      <c r="E47" s="34">
        <f t="shared" si="3"/>
        <v>15.58931459698891</v>
      </c>
      <c r="F47" s="279">
        <f t="shared" si="4"/>
        <v>151376.6097448495</v>
      </c>
      <c r="G47" s="33">
        <f>+'A) Base RI'!U49</f>
        <v>74</v>
      </c>
      <c r="H47" s="280">
        <f t="shared" si="5"/>
        <v>1.0898340820112897</v>
      </c>
      <c r="I47" s="55">
        <f t="shared" si="6"/>
        <v>164975.38851925932</v>
      </c>
    </row>
    <row r="48" spans="1:9" x14ac:dyDescent="0.25">
      <c r="A48" s="49">
        <f>'A) Base RI'!A50</f>
        <v>5479</v>
      </c>
      <c r="B48" s="32" t="str">
        <f>'A) Base RI'!B50</f>
        <v>Cuarnens</v>
      </c>
      <c r="C48" s="95">
        <f>'A) Base RI'!V50</f>
        <v>479</v>
      </c>
      <c r="D48" s="110">
        <f>'D) Ecrêtage'!E48</f>
        <v>34.282314802408187</v>
      </c>
      <c r="E48" s="34">
        <f t="shared" si="3"/>
        <v>10.543028876911485</v>
      </c>
      <c r="F48" s="279">
        <f t="shared" si="4"/>
        <v>104991.8041981241</v>
      </c>
      <c r="G48" s="33">
        <f>+'A) Base RI'!U50</f>
        <v>77</v>
      </c>
      <c r="H48" s="280">
        <f t="shared" si="5"/>
        <v>1.1340165447955313</v>
      </c>
      <c r="I48" s="55">
        <f t="shared" si="6"/>
        <v>119062.44302860564</v>
      </c>
    </row>
    <row r="49" spans="1:12" x14ac:dyDescent="0.25">
      <c r="A49" s="49">
        <f>'A) Base RI'!A51</f>
        <v>5480</v>
      </c>
      <c r="B49" s="32" t="str">
        <f>'A) Base RI'!B51</f>
        <v>Daillens</v>
      </c>
      <c r="C49" s="95">
        <f>'A) Base RI'!V51</f>
        <v>1027</v>
      </c>
      <c r="D49" s="110">
        <f>'D) Ecrêtage'!E49</f>
        <v>40.178505475219112</v>
      </c>
      <c r="E49" s="34">
        <f t="shared" si="3"/>
        <v>4.6468382041005611</v>
      </c>
      <c r="F49" s="279">
        <f t="shared" si="4"/>
        <v>91485.045358668169</v>
      </c>
      <c r="G49" s="33">
        <f>+'A) Base RI'!U51</f>
        <v>71</v>
      </c>
      <c r="H49" s="280">
        <f t="shared" si="5"/>
        <v>1.0456516192270484</v>
      </c>
      <c r="I49" s="55">
        <f t="shared" si="6"/>
        <v>95661.485814351341</v>
      </c>
    </row>
    <row r="50" spans="1:12" x14ac:dyDescent="0.25">
      <c r="A50" s="49">
        <f>'A) Base RI'!A52</f>
        <v>5481</v>
      </c>
      <c r="B50" s="32" t="str">
        <f>'A) Base RI'!B52</f>
        <v>Dizy</v>
      </c>
      <c r="C50" s="95">
        <f>'A) Base RI'!V52</f>
        <v>223</v>
      </c>
      <c r="D50" s="110">
        <f>'D) Ecrêtage'!E50</f>
        <v>48.843267959820786</v>
      </c>
      <c r="E50" s="34">
        <f t="shared" si="3"/>
        <v>0</v>
      </c>
      <c r="F50" s="279">
        <f t="shared" si="4"/>
        <v>0</v>
      </c>
      <c r="G50" s="33">
        <f>+'A) Base RI'!U52</f>
        <v>79</v>
      </c>
      <c r="H50" s="280">
        <f t="shared" si="5"/>
        <v>1.1634715199850256</v>
      </c>
      <c r="I50" s="55">
        <f t="shared" si="6"/>
        <v>0</v>
      </c>
    </row>
    <row r="51" spans="1:12" x14ac:dyDescent="0.25">
      <c r="A51" s="49">
        <f>'A) Base RI'!A53</f>
        <v>5482</v>
      </c>
      <c r="B51" s="32" t="str">
        <f>'A) Base RI'!B53</f>
        <v>Eclépens</v>
      </c>
      <c r="C51" s="95">
        <f>'A) Base RI'!V53</f>
        <v>1211</v>
      </c>
      <c r="D51" s="110">
        <f>'D) Ecrêtage'!E51</f>
        <v>38.640239249446431</v>
      </c>
      <c r="E51" s="34">
        <f t="shared" si="3"/>
        <v>6.1851044298732418</v>
      </c>
      <c r="F51" s="279">
        <f t="shared" si="4"/>
        <v>93027.805390040085</v>
      </c>
      <c r="G51" s="33">
        <f>+'A) Base RI'!U53</f>
        <v>46</v>
      </c>
      <c r="H51" s="280">
        <f t="shared" si="5"/>
        <v>0.67746442935836937</v>
      </c>
      <c r="I51" s="55">
        <f t="shared" si="6"/>
        <v>63023.029093024947</v>
      </c>
    </row>
    <row r="52" spans="1:12" x14ac:dyDescent="0.25">
      <c r="A52" s="49">
        <f>'A) Base RI'!A54</f>
        <v>5483</v>
      </c>
      <c r="B52" s="32" t="str">
        <f>'A) Base RI'!B54</f>
        <v>Ferreyres</v>
      </c>
      <c r="C52" s="95">
        <f>'A) Base RI'!V54</f>
        <v>310</v>
      </c>
      <c r="D52" s="110">
        <f>'D) Ecrêtage'!E52</f>
        <v>28.644953731599866</v>
      </c>
      <c r="E52" s="34">
        <f t="shared" si="3"/>
        <v>16.180389947719807</v>
      </c>
      <c r="F52" s="279">
        <f t="shared" si="4"/>
        <v>102926.69653543524</v>
      </c>
      <c r="G52" s="33">
        <f>+'A) Base RI'!U54</f>
        <v>76</v>
      </c>
      <c r="H52" s="280">
        <f t="shared" si="5"/>
        <v>1.1192890572007841</v>
      </c>
      <c r="I52" s="55">
        <f t="shared" si="6"/>
        <v>115204.72512593852</v>
      </c>
    </row>
    <row r="53" spans="1:12" x14ac:dyDescent="0.25">
      <c r="A53" s="49">
        <f>'A) Base RI'!A55</f>
        <v>5484</v>
      </c>
      <c r="B53" s="32" t="str">
        <f>'A) Base RI'!B55</f>
        <v>Gollion</v>
      </c>
      <c r="C53" s="95">
        <f>'A) Base RI'!V55</f>
        <v>939</v>
      </c>
      <c r="D53" s="110">
        <f>'D) Ecrêtage'!E53</f>
        <v>33.85971113814189</v>
      </c>
      <c r="E53" s="34">
        <f t="shared" si="3"/>
        <v>10.965632541177783</v>
      </c>
      <c r="F53" s="279">
        <f t="shared" si="4"/>
        <v>205728.64454419544</v>
      </c>
      <c r="G53" s="33">
        <f>+'A) Base RI'!U55</f>
        <v>74</v>
      </c>
      <c r="H53" s="280">
        <f t="shared" si="5"/>
        <v>1.0898340820112897</v>
      </c>
      <c r="I53" s="55">
        <f t="shared" si="6"/>
        <v>224210.08847025016</v>
      </c>
    </row>
    <row r="54" spans="1:12" x14ac:dyDescent="0.25">
      <c r="A54" s="49">
        <f>'A) Base RI'!A56</f>
        <v>5485</v>
      </c>
      <c r="B54" s="32" t="str">
        <f>'A) Base RI'!B56</f>
        <v>Grancy</v>
      </c>
      <c r="C54" s="95">
        <f>'A) Base RI'!V56</f>
        <v>398</v>
      </c>
      <c r="D54" s="110">
        <f>'D) Ecrêtage'!E54</f>
        <v>46.615387675311887</v>
      </c>
      <c r="E54" s="34">
        <f t="shared" si="3"/>
        <v>0</v>
      </c>
      <c r="F54" s="279">
        <f t="shared" si="4"/>
        <v>0</v>
      </c>
      <c r="G54" s="33">
        <f>+'A) Base RI'!U56</f>
        <v>70</v>
      </c>
      <c r="H54" s="280">
        <f t="shared" si="5"/>
        <v>1.0309241316323012</v>
      </c>
      <c r="I54" s="55">
        <f t="shared" si="6"/>
        <v>0</v>
      </c>
    </row>
    <row r="55" spans="1:12" x14ac:dyDescent="0.25">
      <c r="A55" s="49">
        <f>'A) Base RI'!A57</f>
        <v>5486</v>
      </c>
      <c r="B55" s="32" t="str">
        <f>'A) Base RI'!B57</f>
        <v>L'Isle</v>
      </c>
      <c r="C55" s="95">
        <f>'A) Base RI'!V57</f>
        <v>1005</v>
      </c>
      <c r="D55" s="110">
        <f>'D) Ecrêtage'!E55</f>
        <v>30.394458945547193</v>
      </c>
      <c r="E55" s="34">
        <f t="shared" si="3"/>
        <v>14.43088473377248</v>
      </c>
      <c r="F55" s="279">
        <f t="shared" si="4"/>
        <v>297602.36351069639</v>
      </c>
      <c r="G55" s="33">
        <f>+'A) Base RI'!U57</f>
        <v>76</v>
      </c>
      <c r="H55" s="280">
        <f t="shared" si="5"/>
        <v>1.1192890572007841</v>
      </c>
      <c r="I55" s="55">
        <f t="shared" si="6"/>
        <v>333103.06887461239</v>
      </c>
    </row>
    <row r="56" spans="1:12" x14ac:dyDescent="0.25">
      <c r="A56" s="49">
        <f>'A) Base RI'!A58</f>
        <v>5487</v>
      </c>
      <c r="B56" s="32" t="str">
        <f>'A) Base RI'!B58</f>
        <v>Lussery-Villars</v>
      </c>
      <c r="C56" s="95">
        <f>'A) Base RI'!V58</f>
        <v>462</v>
      </c>
      <c r="D56" s="110">
        <f>'D) Ecrêtage'!E56</f>
        <v>31.634693363435034</v>
      </c>
      <c r="E56" s="34">
        <f t="shared" si="3"/>
        <v>13.190650315884639</v>
      </c>
      <c r="F56" s="279">
        <f t="shared" si="4"/>
        <v>123405.12903025874</v>
      </c>
      <c r="G56" s="33">
        <f>+'A) Base RI'!U58</f>
        <v>75</v>
      </c>
      <c r="H56" s="280">
        <f t="shared" si="5"/>
        <v>1.1045615696060369</v>
      </c>
      <c r="I56" s="55">
        <f t="shared" si="6"/>
        <v>136308.5630190981</v>
      </c>
    </row>
    <row r="57" spans="1:12" x14ac:dyDescent="0.25">
      <c r="A57" s="49">
        <f>'A) Base RI'!A59</f>
        <v>5488</v>
      </c>
      <c r="B57" s="32" t="str">
        <f>'A) Base RI'!B59</f>
        <v>Mauraz</v>
      </c>
      <c r="C57" s="95">
        <f>'A) Base RI'!V59</f>
        <v>59</v>
      </c>
      <c r="D57" s="110">
        <f>'D) Ecrêtage'!E57</f>
        <v>32.333758372403899</v>
      </c>
      <c r="E57" s="34">
        <f t="shared" si="3"/>
        <v>12.491585306915773</v>
      </c>
      <c r="F57" s="279">
        <f t="shared" si="4"/>
        <v>15521.294407255125</v>
      </c>
      <c r="G57" s="33">
        <f>+'A) Base RI'!U59</f>
        <v>78</v>
      </c>
      <c r="H57" s="280">
        <f t="shared" si="5"/>
        <v>1.1487440323902784</v>
      </c>
      <c r="I57" s="55">
        <f t="shared" si="6"/>
        <v>17829.994325306929</v>
      </c>
    </row>
    <row r="58" spans="1:12" x14ac:dyDescent="0.25">
      <c r="A58" s="49">
        <f>'A) Base RI'!A60</f>
        <v>5489</v>
      </c>
      <c r="B58" s="32" t="str">
        <f>'A) Base RI'!B60</f>
        <v>Mex</v>
      </c>
      <c r="C58" s="95">
        <f>'A) Base RI'!V60</f>
        <v>725</v>
      </c>
      <c r="D58" s="110">
        <f>'D) Ecrêtage'!E58</f>
        <v>81.448654160135206</v>
      </c>
      <c r="E58" s="34">
        <f t="shared" si="3"/>
        <v>0</v>
      </c>
      <c r="F58" s="279">
        <f t="shared" si="4"/>
        <v>0</v>
      </c>
      <c r="G58" s="33">
        <f>+'A) Base RI'!U60</f>
        <v>61</v>
      </c>
      <c r="H58" s="280">
        <f t="shared" si="5"/>
        <v>0.89837674327957673</v>
      </c>
      <c r="I58" s="55">
        <f t="shared" si="6"/>
        <v>0</v>
      </c>
    </row>
    <row r="59" spans="1:12" x14ac:dyDescent="0.25">
      <c r="A59" s="49">
        <f>'A) Base RI'!A61</f>
        <v>5490</v>
      </c>
      <c r="B59" s="32" t="str">
        <f>'A) Base RI'!B61</f>
        <v>Moiry</v>
      </c>
      <c r="C59" s="95">
        <f>'A) Base RI'!V61</f>
        <v>310</v>
      </c>
      <c r="D59" s="110">
        <f>'D) Ecrêtage'!E59</f>
        <v>30.123469121113661</v>
      </c>
      <c r="E59" s="34">
        <f t="shared" si="3"/>
        <v>14.701874558206011</v>
      </c>
      <c r="F59" s="279">
        <f t="shared" si="4"/>
        <v>98443.752041747459</v>
      </c>
      <c r="G59" s="33">
        <f>+'A) Base RI'!U61</f>
        <v>80</v>
      </c>
      <c r="H59" s="280">
        <f t="shared" si="5"/>
        <v>1.1781990075797728</v>
      </c>
      <c r="I59" s="55">
        <f t="shared" si="6"/>
        <v>115986.33095801609</v>
      </c>
    </row>
    <row r="60" spans="1:12" x14ac:dyDescent="0.25">
      <c r="A60" s="49">
        <f>'A) Base RI'!A62</f>
        <v>5491</v>
      </c>
      <c r="B60" s="32" t="str">
        <f>'A) Base RI'!B62</f>
        <v>Mont-la-Ville</v>
      </c>
      <c r="C60" s="95">
        <f>'A) Base RI'!V62</f>
        <v>466</v>
      </c>
      <c r="D60" s="110">
        <f>'D) Ecrêtage'!E60</f>
        <v>26.485299085264252</v>
      </c>
      <c r="E60" s="34">
        <f t="shared" si="3"/>
        <v>18.340044594055421</v>
      </c>
      <c r="F60" s="279">
        <f t="shared" si="4"/>
        <v>175373.37522262803</v>
      </c>
      <c r="G60" s="33">
        <f>+'A) Base RI'!U62</f>
        <v>76</v>
      </c>
      <c r="H60" s="280">
        <f t="shared" si="5"/>
        <v>1.1192890572007841</v>
      </c>
      <c r="I60" s="55">
        <f t="shared" si="6"/>
        <v>196293.49981105467</v>
      </c>
    </row>
    <row r="61" spans="1:12" x14ac:dyDescent="0.25">
      <c r="A61" s="49">
        <f>'A) Base RI'!A63</f>
        <v>5492</v>
      </c>
      <c r="B61" s="32" t="str">
        <f>'A) Base RI'!B63</f>
        <v>Montricher</v>
      </c>
      <c r="C61" s="95">
        <f>'A) Base RI'!V63</f>
        <v>940</v>
      </c>
      <c r="D61" s="110">
        <f>'D) Ecrêtage'!E61</f>
        <v>250.40200964026255</v>
      </c>
      <c r="E61" s="34">
        <f t="shared" si="3"/>
        <v>0</v>
      </c>
      <c r="F61" s="279">
        <f t="shared" si="4"/>
        <v>0</v>
      </c>
      <c r="G61" s="33">
        <f>+'A) Base RI'!U63</f>
        <v>64</v>
      </c>
      <c r="H61" s="280">
        <f t="shared" si="5"/>
        <v>0.94255920606381827</v>
      </c>
      <c r="I61" s="55">
        <f t="shared" si="6"/>
        <v>0</v>
      </c>
    </row>
    <row r="62" spans="1:12" x14ac:dyDescent="0.25">
      <c r="A62" s="49">
        <f>'A) Base RI'!A64</f>
        <v>5493</v>
      </c>
      <c r="B62" s="32" t="str">
        <f>'A) Base RI'!B64</f>
        <v>Orny</v>
      </c>
      <c r="C62" s="95">
        <f>'A) Base RI'!V64</f>
        <v>368</v>
      </c>
      <c r="D62" s="110">
        <f>'D) Ecrêtage'!E62</f>
        <v>29.191598391020548</v>
      </c>
      <c r="E62" s="34">
        <f t="shared" si="3"/>
        <v>15.633745288299124</v>
      </c>
      <c r="F62" s="279">
        <f t="shared" si="4"/>
        <v>113395.93202471429</v>
      </c>
      <c r="G62" s="33">
        <f>+'A) Base RI'!U64</f>
        <v>73</v>
      </c>
      <c r="H62" s="280">
        <f t="shared" si="5"/>
        <v>1.0751065944165428</v>
      </c>
      <c r="I62" s="55">
        <f t="shared" si="6"/>
        <v>121912.71429978036</v>
      </c>
    </row>
    <row r="63" spans="1:12" x14ac:dyDescent="0.25">
      <c r="A63" s="49">
        <f>'A) Base RI'!A65</f>
        <v>5494</v>
      </c>
      <c r="B63" s="32" t="str">
        <f>'A) Base RI'!B65</f>
        <v>Pampigny</v>
      </c>
      <c r="C63" s="95">
        <f>'A) Base RI'!V65</f>
        <v>1113</v>
      </c>
      <c r="D63" s="110">
        <f>'D) Ecrêtage'!E63</f>
        <v>33.660201557134101</v>
      </c>
      <c r="E63" s="34">
        <f t="shared" si="3"/>
        <v>11.165142122185571</v>
      </c>
      <c r="F63" s="279">
        <f t="shared" si="4"/>
        <v>251642.76443534897</v>
      </c>
      <c r="G63" s="33">
        <f>+'A) Base RI'!U65</f>
        <v>75</v>
      </c>
      <c r="H63" s="280">
        <f t="shared" si="5"/>
        <v>1.1045615696060369</v>
      </c>
      <c r="I63" s="55">
        <f t="shared" si="6"/>
        <v>277954.92686471128</v>
      </c>
    </row>
    <row r="64" spans="1:12" x14ac:dyDescent="0.25">
      <c r="A64" s="49">
        <f>'A) Base RI'!A66</f>
        <v>5495</v>
      </c>
      <c r="B64" s="32" t="str">
        <f>'A) Base RI'!B66</f>
        <v>Penthalaz</v>
      </c>
      <c r="C64" s="95">
        <f>'A) Base RI'!V66</f>
        <v>3283</v>
      </c>
      <c r="D64" s="110">
        <f>'D) Ecrêtage'!E64</f>
        <v>27.871264369973879</v>
      </c>
      <c r="E64" s="34">
        <f t="shared" si="3"/>
        <v>16.954079309345794</v>
      </c>
      <c r="F64" s="279">
        <f t="shared" si="4"/>
        <v>1112091.6426041932</v>
      </c>
      <c r="G64" s="33">
        <f>+'A) Base RI'!U66</f>
        <v>74</v>
      </c>
      <c r="H64" s="280">
        <f t="shared" si="5"/>
        <v>1.0898340820112897</v>
      </c>
      <c r="I64" s="55">
        <f t="shared" si="6"/>
        <v>1211995.3744299682</v>
      </c>
      <c r="L64" s="28"/>
    </row>
    <row r="65" spans="1:9" x14ac:dyDescent="0.25">
      <c r="A65" s="49">
        <f>'A) Base RI'!A67</f>
        <v>5496</v>
      </c>
      <c r="B65" s="32" t="str">
        <f>'A) Base RI'!B67</f>
        <v>Penthaz</v>
      </c>
      <c r="C65" s="95">
        <f>'A) Base RI'!V67</f>
        <v>1747</v>
      </c>
      <c r="D65" s="110">
        <f>'D) Ecrêtage'!E65</f>
        <v>32.475646228154197</v>
      </c>
      <c r="E65" s="34">
        <f t="shared" si="3"/>
        <v>12.349697451165476</v>
      </c>
      <c r="F65" s="279">
        <f t="shared" si="4"/>
        <v>413591.24414255732</v>
      </c>
      <c r="G65" s="33">
        <f>+'A) Base RI'!U67</f>
        <v>71</v>
      </c>
      <c r="H65" s="280">
        <f t="shared" si="5"/>
        <v>1.0456516192270484</v>
      </c>
      <c r="I65" s="55">
        <f t="shared" si="6"/>
        <v>432472.35413579457</v>
      </c>
    </row>
    <row r="66" spans="1:9" x14ac:dyDescent="0.25">
      <c r="A66" s="49">
        <f>'A) Base RI'!A68</f>
        <v>5497</v>
      </c>
      <c r="B66" s="32" t="str">
        <f>'A) Base RI'!B68</f>
        <v>Pompaples</v>
      </c>
      <c r="C66" s="95">
        <f>'A) Base RI'!V68</f>
        <v>847</v>
      </c>
      <c r="D66" s="110">
        <f>'D) Ecrêtage'!E66</f>
        <v>26.164510079552937</v>
      </c>
      <c r="E66" s="34">
        <f t="shared" si="3"/>
        <v>18.660833599766736</v>
      </c>
      <c r="F66" s="279">
        <f t="shared" si="4"/>
        <v>281658.03837142326</v>
      </c>
      <c r="G66" s="33">
        <f>+'A) Base RI'!U68</f>
        <v>66</v>
      </c>
      <c r="H66" s="280">
        <f t="shared" si="5"/>
        <v>0.97201418125331251</v>
      </c>
      <c r="I66" s="55">
        <f t="shared" si="6"/>
        <v>273775.60756101308</v>
      </c>
    </row>
    <row r="67" spans="1:9" x14ac:dyDescent="0.25">
      <c r="A67" s="49">
        <f>'A) Base RI'!A69</f>
        <v>5498</v>
      </c>
      <c r="B67" s="32" t="str">
        <f>'A) Base RI'!B69</f>
        <v>La Sarraz</v>
      </c>
      <c r="C67" s="95">
        <f>'A) Base RI'!V69</f>
        <v>2596</v>
      </c>
      <c r="D67" s="110">
        <f>'D) Ecrêtage'!E67</f>
        <v>29.809489967682012</v>
      </c>
      <c r="E67" s="34">
        <f t="shared" si="3"/>
        <v>15.015853711637661</v>
      </c>
      <c r="F67" s="279">
        <f t="shared" si="4"/>
        <v>694644.20411503059</v>
      </c>
      <c r="G67" s="33">
        <f>+'A) Base RI'!U69</f>
        <v>66</v>
      </c>
      <c r="H67" s="280">
        <f t="shared" si="5"/>
        <v>0.97201418125331251</v>
      </c>
      <c r="I67" s="55">
        <f t="shared" si="6"/>
        <v>675204.01732523041</v>
      </c>
    </row>
    <row r="68" spans="1:9" x14ac:dyDescent="0.25">
      <c r="A68" s="49">
        <f>'A) Base RI'!A70</f>
        <v>5499</v>
      </c>
      <c r="B68" s="32" t="str">
        <f>'A) Base RI'!B70</f>
        <v>Senarclens</v>
      </c>
      <c r="C68" s="95">
        <f>'A) Base RI'!V70</f>
        <v>488</v>
      </c>
      <c r="D68" s="110">
        <f>'D) Ecrêtage'!E68</f>
        <v>48.444573617556514</v>
      </c>
      <c r="E68" s="34">
        <f t="shared" si="3"/>
        <v>0</v>
      </c>
      <c r="F68" s="279">
        <f t="shared" si="4"/>
        <v>0</v>
      </c>
      <c r="G68" s="33">
        <f>+'A) Base RI'!U70</f>
        <v>68.5</v>
      </c>
      <c r="H68" s="280">
        <f t="shared" si="5"/>
        <v>1.0088329002401804</v>
      </c>
      <c r="I68" s="55">
        <f t="shared" si="6"/>
        <v>0</v>
      </c>
    </row>
    <row r="69" spans="1:9" x14ac:dyDescent="0.25">
      <c r="A69" s="49">
        <f>'A) Base RI'!A71</f>
        <v>5500</v>
      </c>
      <c r="B69" s="32" t="str">
        <f>'A) Base RI'!B71</f>
        <v>Sévery</v>
      </c>
      <c r="C69" s="95">
        <f>'A) Base RI'!V71</f>
        <v>225</v>
      </c>
      <c r="D69" s="110">
        <f>'D) Ecrêtage'!E69</f>
        <v>28.006683422203366</v>
      </c>
      <c r="E69" s="34">
        <f t="shared" si="3"/>
        <v>16.818660257116306</v>
      </c>
      <c r="F69" s="279">
        <f t="shared" si="4"/>
        <v>76630.020796486177</v>
      </c>
      <c r="G69" s="33">
        <f>+'A) Base RI'!U71</f>
        <v>75</v>
      </c>
      <c r="H69" s="280">
        <f t="shared" si="5"/>
        <v>1.1045615696060369</v>
      </c>
      <c r="I69" s="55">
        <f t="shared" si="6"/>
        <v>84642.576049910029</v>
      </c>
    </row>
    <row r="70" spans="1:9" x14ac:dyDescent="0.25">
      <c r="A70" s="49">
        <f>'A) Base RI'!A72</f>
        <v>5501</v>
      </c>
      <c r="B70" s="32" t="str">
        <f>'A) Base RI'!B72</f>
        <v>Sullens</v>
      </c>
      <c r="C70" s="95">
        <f>'A) Base RI'!V72</f>
        <v>1036</v>
      </c>
      <c r="D70" s="110">
        <f>'D) Ecrêtage'!E70</f>
        <v>36.210322408079058</v>
      </c>
      <c r="E70" s="34">
        <f t="shared" ref="E70:E133" si="7">IF($D$314-D70&lt;0,0,$D$314-D70)</f>
        <v>8.6150212712406145</v>
      </c>
      <c r="F70" s="279">
        <f t="shared" ref="F70:F133" si="8">(C70*E70*G70)*$E$4</f>
        <v>168685.56249939976</v>
      </c>
      <c r="G70" s="33">
        <f>+'A) Base RI'!U72</f>
        <v>70</v>
      </c>
      <c r="H70" s="280">
        <f t="shared" ref="H70:H133" si="9">G70/$G$314</f>
        <v>1.0309241316323012</v>
      </c>
      <c r="I70" s="55">
        <f t="shared" ref="I70:I133" si="10">F70*H70</f>
        <v>173902.01703859997</v>
      </c>
    </row>
    <row r="71" spans="1:9" x14ac:dyDescent="0.25">
      <c r="A71" s="49">
        <f>'A) Base RI'!A73</f>
        <v>5503</v>
      </c>
      <c r="B71" s="32" t="str">
        <f>'A) Base RI'!B73</f>
        <v>Vufflens-la-Ville</v>
      </c>
      <c r="C71" s="95">
        <f>'A) Base RI'!V73</f>
        <v>1298</v>
      </c>
      <c r="D71" s="110">
        <f>'D) Ecrêtage'!E71</f>
        <v>55.107144660587387</v>
      </c>
      <c r="E71" s="34">
        <f t="shared" si="7"/>
        <v>0</v>
      </c>
      <c r="F71" s="279">
        <f t="shared" si="8"/>
        <v>0</v>
      </c>
      <c r="G71" s="33">
        <f>+'A) Base RI'!U73</f>
        <v>67</v>
      </c>
      <c r="H71" s="280">
        <f t="shared" si="9"/>
        <v>0.98674166884805969</v>
      </c>
      <c r="I71" s="55">
        <f t="shared" si="10"/>
        <v>0</v>
      </c>
    </row>
    <row r="72" spans="1:9" x14ac:dyDescent="0.25">
      <c r="A72" s="49">
        <f>'A) Base RI'!A74</f>
        <v>5511</v>
      </c>
      <c r="B72" s="32" t="str">
        <f>'A) Base RI'!B74</f>
        <v>Assens</v>
      </c>
      <c r="C72" s="95">
        <f>'A) Base RI'!V74</f>
        <v>1077</v>
      </c>
      <c r="D72" s="110">
        <f>'D) Ecrêtage'!E72</f>
        <v>39.855855823990751</v>
      </c>
      <c r="E72" s="34">
        <f t="shared" si="7"/>
        <v>4.9694878553289215</v>
      </c>
      <c r="F72" s="279">
        <f t="shared" si="8"/>
        <v>101155.4161415768</v>
      </c>
      <c r="G72" s="33">
        <f>+'A) Base RI'!U74</f>
        <v>70</v>
      </c>
      <c r="H72" s="280">
        <f t="shared" si="9"/>
        <v>1.0309241316323012</v>
      </c>
      <c r="I72" s="55">
        <f t="shared" si="10"/>
        <v>104283.55954565914</v>
      </c>
    </row>
    <row r="73" spans="1:9" x14ac:dyDescent="0.25">
      <c r="A73" s="49">
        <f>'A) Base RI'!A75</f>
        <v>5512</v>
      </c>
      <c r="B73" s="32" t="str">
        <f>'A) Base RI'!B75</f>
        <v>Bercher</v>
      </c>
      <c r="C73" s="95">
        <f>'A) Base RI'!V75</f>
        <v>1239</v>
      </c>
      <c r="D73" s="110">
        <f>'D) Ecrêtage'!E73</f>
        <v>29.898411850513238</v>
      </c>
      <c r="E73" s="34">
        <f t="shared" si="7"/>
        <v>14.926931828806435</v>
      </c>
      <c r="F73" s="279">
        <f t="shared" si="8"/>
        <v>394487.01387055876</v>
      </c>
      <c r="G73" s="33">
        <f>+'A) Base RI'!U75</f>
        <v>79</v>
      </c>
      <c r="H73" s="280">
        <f t="shared" si="9"/>
        <v>1.1634715199850256</v>
      </c>
      <c r="I73" s="55">
        <f t="shared" si="10"/>
        <v>458974.40564233286</v>
      </c>
    </row>
    <row r="74" spans="1:9" x14ac:dyDescent="0.25">
      <c r="A74" s="49">
        <f>'A) Base RI'!A76</f>
        <v>5513</v>
      </c>
      <c r="B74" s="32" t="str">
        <f>'A) Base RI'!B76</f>
        <v>Bioley-Orjulaz</v>
      </c>
      <c r="C74" s="95">
        <f>'A) Base RI'!V76</f>
        <v>516</v>
      </c>
      <c r="D74" s="110">
        <f>'D) Ecrêtage'!E74</f>
        <v>41.050252484415793</v>
      </c>
      <c r="E74" s="34">
        <f t="shared" si="7"/>
        <v>3.7750911949038795</v>
      </c>
      <c r="F74" s="279">
        <f t="shared" si="8"/>
        <v>35764.307958632584</v>
      </c>
      <c r="G74" s="33">
        <f>+'A) Base RI'!U76</f>
        <v>68</v>
      </c>
      <c r="H74" s="280">
        <f t="shared" si="9"/>
        <v>1.0014691564428069</v>
      </c>
      <c r="I74" s="55">
        <f t="shared" si="10"/>
        <v>35816.851322092538</v>
      </c>
    </row>
    <row r="75" spans="1:9" x14ac:dyDescent="0.25">
      <c r="A75" s="49">
        <f>'A) Base RI'!A77</f>
        <v>5514</v>
      </c>
      <c r="B75" s="32" t="str">
        <f>'A) Base RI'!B77</f>
        <v>Bottens</v>
      </c>
      <c r="C75" s="95">
        <f>'A) Base RI'!V77</f>
        <v>1298</v>
      </c>
      <c r="D75" s="110">
        <f>'D) Ecrêtage'!E75</f>
        <v>34.390209837110341</v>
      </c>
      <c r="E75" s="34">
        <f t="shared" si="7"/>
        <v>10.435133842209332</v>
      </c>
      <c r="F75" s="279">
        <f t="shared" si="8"/>
        <v>252339.69343750709</v>
      </c>
      <c r="G75" s="33">
        <f>+'A) Base RI'!U77</f>
        <v>69</v>
      </c>
      <c r="H75" s="280">
        <f t="shared" si="9"/>
        <v>1.0161966440375541</v>
      </c>
      <c r="I75" s="55">
        <f t="shared" si="10"/>
        <v>256426.74962865989</v>
      </c>
    </row>
    <row r="76" spans="1:9" x14ac:dyDescent="0.25">
      <c r="A76" s="49">
        <f>'A) Base RI'!A78</f>
        <v>5515</v>
      </c>
      <c r="B76" s="32" t="str">
        <f>'A) Base RI'!B78</f>
        <v>Bretigny-sur-Morrens</v>
      </c>
      <c r="C76" s="95">
        <f>'A) Base RI'!V78</f>
        <v>843</v>
      </c>
      <c r="D76" s="110">
        <f>'D) Ecrêtage'!E76</f>
        <v>34.200663018930193</v>
      </c>
      <c r="E76" s="34">
        <f t="shared" si="7"/>
        <v>10.62468066038948</v>
      </c>
      <c r="F76" s="279">
        <f t="shared" si="8"/>
        <v>195880.96877401118</v>
      </c>
      <c r="G76" s="33">
        <f>+'A) Base RI'!U78</f>
        <v>81</v>
      </c>
      <c r="H76" s="280">
        <f t="shared" si="9"/>
        <v>1.19292649517452</v>
      </c>
      <c r="I76" s="55">
        <f t="shared" si="10"/>
        <v>233671.59755097076</v>
      </c>
    </row>
    <row r="77" spans="1:9" x14ac:dyDescent="0.25">
      <c r="A77" s="49">
        <f>'A) Base RI'!A79</f>
        <v>5516</v>
      </c>
      <c r="B77" s="32" t="str">
        <f>'A) Base RI'!B79</f>
        <v>Cugy</v>
      </c>
      <c r="C77" s="95">
        <f>'A) Base RI'!V79</f>
        <v>2742</v>
      </c>
      <c r="D77" s="110">
        <f>'D) Ecrêtage'!E77</f>
        <v>40.570155214090335</v>
      </c>
      <c r="E77" s="34">
        <f t="shared" si="7"/>
        <v>4.2551884652293381</v>
      </c>
      <c r="F77" s="279">
        <f t="shared" si="8"/>
        <v>245722.32581113529</v>
      </c>
      <c r="G77" s="33">
        <f>+'A) Base RI'!U79</f>
        <v>78</v>
      </c>
      <c r="H77" s="280">
        <f t="shared" si="9"/>
        <v>1.1487440323902784</v>
      </c>
      <c r="I77" s="55">
        <f t="shared" si="10"/>
        <v>282272.05540060136</v>
      </c>
    </row>
    <row r="78" spans="1:9" x14ac:dyDescent="0.25">
      <c r="A78" s="49">
        <f>'A) Base RI'!A80</f>
        <v>5518</v>
      </c>
      <c r="B78" s="32" t="str">
        <f>'A) Base RI'!B80</f>
        <v>Echallens</v>
      </c>
      <c r="C78" s="95">
        <f>'A) Base RI'!V80</f>
        <v>5742</v>
      </c>
      <c r="D78" s="110">
        <f>'D) Ecrêtage'!E78</f>
        <v>31.51506042215123</v>
      </c>
      <c r="E78" s="34">
        <f t="shared" si="7"/>
        <v>13.310283257168443</v>
      </c>
      <c r="F78" s="279">
        <f t="shared" si="8"/>
        <v>1527024.376323971</v>
      </c>
      <c r="G78" s="33">
        <f>+'A) Base RI'!U80</f>
        <v>74</v>
      </c>
      <c r="H78" s="280">
        <f t="shared" si="9"/>
        <v>1.0898340820112897</v>
      </c>
      <c r="I78" s="55">
        <f t="shared" si="10"/>
        <v>1664203.2093798972</v>
      </c>
    </row>
    <row r="79" spans="1:9" x14ac:dyDescent="0.25">
      <c r="A79" s="49">
        <f>'A) Base RI'!A81</f>
        <v>5520</v>
      </c>
      <c r="B79" s="32" t="str">
        <f>'A) Base RI'!B81</f>
        <v>Essertines-sur-Yverdon</v>
      </c>
      <c r="C79" s="95">
        <f>'A) Base RI'!V81</f>
        <v>1024</v>
      </c>
      <c r="D79" s="110">
        <f>'D) Ecrêtage'!E79</f>
        <v>31.04780022641982</v>
      </c>
      <c r="E79" s="34">
        <f t="shared" si="7"/>
        <v>13.777543452899852</v>
      </c>
      <c r="F79" s="279">
        <f t="shared" si="8"/>
        <v>278072.71061161585</v>
      </c>
      <c r="G79" s="33">
        <f>+'A) Base RI'!U81</f>
        <v>73</v>
      </c>
      <c r="H79" s="280">
        <f t="shared" si="9"/>
        <v>1.0751065944165428</v>
      </c>
      <c r="I79" s="55">
        <f t="shared" si="10"/>
        <v>298957.80490583117</v>
      </c>
    </row>
    <row r="80" spans="1:9" x14ac:dyDescent="0.25">
      <c r="A80" s="49">
        <f>'A) Base RI'!A82</f>
        <v>5521</v>
      </c>
      <c r="B80" s="32" t="str">
        <f>'A) Base RI'!B82</f>
        <v>Etagnières</v>
      </c>
      <c r="C80" s="95">
        <f>'A) Base RI'!V82</f>
        <v>1118</v>
      </c>
      <c r="D80" s="110">
        <f>'D) Ecrêtage'!E80</f>
        <v>37.444948783769881</v>
      </c>
      <c r="E80" s="34">
        <f t="shared" si="7"/>
        <v>7.3803948955497916</v>
      </c>
      <c r="F80" s="279">
        <f t="shared" si="8"/>
        <v>162632.7582314582</v>
      </c>
      <c r="G80" s="33">
        <f>+'A) Base RI'!U82</f>
        <v>73</v>
      </c>
      <c r="H80" s="280">
        <f t="shared" si="9"/>
        <v>1.0751065944165428</v>
      </c>
      <c r="I80" s="55">
        <f t="shared" si="10"/>
        <v>174847.55084279197</v>
      </c>
    </row>
    <row r="81" spans="1:9" x14ac:dyDescent="0.25">
      <c r="A81" s="49">
        <f>'A) Base RI'!A83</f>
        <v>5522</v>
      </c>
      <c r="B81" s="32" t="str">
        <f>'A) Base RI'!B83</f>
        <v>Fey</v>
      </c>
      <c r="C81" s="95">
        <f>'A) Base RI'!V83</f>
        <v>734</v>
      </c>
      <c r="D81" s="110">
        <f>'D) Ecrêtage'!E81</f>
        <v>29.333213323832108</v>
      </c>
      <c r="E81" s="34">
        <f t="shared" si="7"/>
        <v>15.492130355487564</v>
      </c>
      <c r="F81" s="279">
        <f t="shared" si="8"/>
        <v>230267.27953878944</v>
      </c>
      <c r="G81" s="33">
        <f>+'A) Base RI'!U83</f>
        <v>75</v>
      </c>
      <c r="H81" s="280">
        <f t="shared" si="9"/>
        <v>1.1045615696060369</v>
      </c>
      <c r="I81" s="55">
        <f t="shared" si="10"/>
        <v>254344.38771627733</v>
      </c>
    </row>
    <row r="82" spans="1:9" x14ac:dyDescent="0.25">
      <c r="A82" s="49">
        <f>'A) Base RI'!A84</f>
        <v>5523</v>
      </c>
      <c r="B82" s="32" t="str">
        <f>'A) Base RI'!B84</f>
        <v>Froideville</v>
      </c>
      <c r="C82" s="95">
        <f>'A) Base RI'!V84</f>
        <v>2576</v>
      </c>
      <c r="D82" s="110">
        <f>'D) Ecrêtage'!E82</f>
        <v>32.194749041806425</v>
      </c>
      <c r="E82" s="34">
        <f t="shared" si="7"/>
        <v>12.630594637513248</v>
      </c>
      <c r="F82" s="279">
        <f t="shared" si="8"/>
        <v>667647.16985352442</v>
      </c>
      <c r="G82" s="33">
        <f>+'A) Base RI'!U84</f>
        <v>76</v>
      </c>
      <c r="H82" s="280">
        <f t="shared" si="9"/>
        <v>1.1192890572007841</v>
      </c>
      <c r="I82" s="55">
        <f t="shared" si="10"/>
        <v>747290.17128812312</v>
      </c>
    </row>
    <row r="83" spans="1:9" x14ac:dyDescent="0.25">
      <c r="A83" s="49">
        <f>'A) Base RI'!A85</f>
        <v>5527</v>
      </c>
      <c r="B83" s="32" t="str">
        <f>'A) Base RI'!B85</f>
        <v>Morrens</v>
      </c>
      <c r="C83" s="95">
        <f>'A) Base RI'!V85</f>
        <v>1077</v>
      </c>
      <c r="D83" s="110">
        <f>'D) Ecrêtage'!E83</f>
        <v>35.140490144191546</v>
      </c>
      <c r="E83" s="34">
        <f t="shared" si="7"/>
        <v>9.6848535351281271</v>
      </c>
      <c r="F83" s="279">
        <f t="shared" si="8"/>
        <v>208403.13340151322</v>
      </c>
      <c r="G83" s="33">
        <f>+'A) Base RI'!U85</f>
        <v>74</v>
      </c>
      <c r="H83" s="280">
        <f t="shared" si="9"/>
        <v>1.0898340820112897</v>
      </c>
      <c r="I83" s="55">
        <f t="shared" si="10"/>
        <v>227124.83757891451</v>
      </c>
    </row>
    <row r="84" spans="1:9" x14ac:dyDescent="0.25">
      <c r="A84" s="49">
        <f>'A) Base RI'!A86</f>
        <v>5529</v>
      </c>
      <c r="B84" s="32" t="str">
        <f>'A) Base RI'!B86</f>
        <v>Oulens-sous-Echallens</v>
      </c>
      <c r="C84" s="95">
        <f>'A) Base RI'!V86</f>
        <v>611</v>
      </c>
      <c r="D84" s="110">
        <f>'D) Ecrêtage'!E84</f>
        <v>34.750711333214085</v>
      </c>
      <c r="E84" s="34">
        <f t="shared" si="7"/>
        <v>10.074632346105588</v>
      </c>
      <c r="F84" s="279">
        <f t="shared" si="8"/>
        <v>118002.85896772976</v>
      </c>
      <c r="G84" s="33">
        <f>+'A) Base RI'!U86</f>
        <v>71</v>
      </c>
      <c r="H84" s="280">
        <f t="shared" si="9"/>
        <v>1.0456516192270484</v>
      </c>
      <c r="I84" s="55">
        <f t="shared" si="10"/>
        <v>123389.88055302764</v>
      </c>
    </row>
    <row r="85" spans="1:9" x14ac:dyDescent="0.25">
      <c r="A85" s="49">
        <f>'A) Base RI'!A87</f>
        <v>5530</v>
      </c>
      <c r="B85" s="32" t="str">
        <f>'A) Base RI'!B87</f>
        <v>Pailly</v>
      </c>
      <c r="C85" s="95">
        <f>'A) Base RI'!V87</f>
        <v>561</v>
      </c>
      <c r="D85" s="110">
        <f>'D) Ecrêtage'!E85</f>
        <v>29.987230043636892</v>
      </c>
      <c r="E85" s="34">
        <f t="shared" si="7"/>
        <v>14.838113635682781</v>
      </c>
      <c r="F85" s="279">
        <f t="shared" si="8"/>
        <v>174183.50311075751</v>
      </c>
      <c r="G85" s="33">
        <f>+'A) Base RI'!U87</f>
        <v>77.5</v>
      </c>
      <c r="H85" s="280">
        <f t="shared" si="9"/>
        <v>1.141380288592905</v>
      </c>
      <c r="I85" s="55">
        <f t="shared" si="10"/>
        <v>198809.61704867956</v>
      </c>
    </row>
    <row r="86" spans="1:9" x14ac:dyDescent="0.25">
      <c r="A86" s="49">
        <f>'A) Base RI'!A88</f>
        <v>5531</v>
      </c>
      <c r="B86" s="32" t="str">
        <f>'A) Base RI'!B88</f>
        <v>Penthéréaz</v>
      </c>
      <c r="C86" s="95">
        <f>'A) Base RI'!V88</f>
        <v>421</v>
      </c>
      <c r="D86" s="110">
        <f>'D) Ecrêtage'!E86</f>
        <v>35.604335150834856</v>
      </c>
      <c r="E86" s="34">
        <f t="shared" si="7"/>
        <v>9.2210085284848162</v>
      </c>
      <c r="F86" s="279">
        <f t="shared" si="8"/>
        <v>81755.859075763787</v>
      </c>
      <c r="G86" s="33">
        <f>+'A) Base RI'!U88</f>
        <v>78</v>
      </c>
      <c r="H86" s="280">
        <f t="shared" si="9"/>
        <v>1.1487440323902784</v>
      </c>
      <c r="I86" s="55">
        <f t="shared" si="10"/>
        <v>93916.555226224242</v>
      </c>
    </row>
    <row r="87" spans="1:9" x14ac:dyDescent="0.25">
      <c r="A87" s="49">
        <f>'A) Base RI'!A89</f>
        <v>5533</v>
      </c>
      <c r="B87" s="32" t="str">
        <f>'A) Base RI'!B89</f>
        <v>Poliez-Pittet</v>
      </c>
      <c r="C87" s="95">
        <f>'A) Base RI'!V89</f>
        <v>846</v>
      </c>
      <c r="D87" s="110">
        <f>'D) Ecrêtage'!E87</f>
        <v>29.876859306881471</v>
      </c>
      <c r="E87" s="34">
        <f t="shared" si="7"/>
        <v>14.948484372438202</v>
      </c>
      <c r="F87" s="279">
        <f t="shared" si="8"/>
        <v>242431.82882501572</v>
      </c>
      <c r="G87" s="33">
        <f>+'A) Base RI'!U89</f>
        <v>71</v>
      </c>
      <c r="H87" s="280">
        <f t="shared" si="9"/>
        <v>1.0456516192270484</v>
      </c>
      <c r="I87" s="55">
        <f t="shared" si="10"/>
        <v>253499.23436305232</v>
      </c>
    </row>
    <row r="88" spans="1:9" x14ac:dyDescent="0.25">
      <c r="A88" s="49">
        <f>'A) Base RI'!A90</f>
        <v>5534</v>
      </c>
      <c r="B88" s="32" t="str">
        <f>'A) Base RI'!B90</f>
        <v>Rueyres</v>
      </c>
      <c r="C88" s="95">
        <f>'A) Base RI'!V90</f>
        <v>255</v>
      </c>
      <c r="D88" s="110">
        <f>'D) Ecrêtage'!E88</f>
        <v>32.60051827224617</v>
      </c>
      <c r="E88" s="34">
        <f t="shared" si="7"/>
        <v>12.224825407073503</v>
      </c>
      <c r="F88" s="279">
        <f t="shared" si="8"/>
        <v>61442.583737221779</v>
      </c>
      <c r="G88" s="33">
        <f>+'A) Base RI'!U90</f>
        <v>73</v>
      </c>
      <c r="H88" s="280">
        <f t="shared" si="9"/>
        <v>1.0751065944165428</v>
      </c>
      <c r="I88" s="55">
        <f t="shared" si="10"/>
        <v>66057.326953877768</v>
      </c>
    </row>
    <row r="89" spans="1:9" x14ac:dyDescent="0.25">
      <c r="A89" s="49">
        <f>'A) Base RI'!A91</f>
        <v>5535</v>
      </c>
      <c r="B89" s="32" t="str">
        <f>'A) Base RI'!B91</f>
        <v>Saint-Barthélemy</v>
      </c>
      <c r="C89" s="95">
        <f>'A) Base RI'!V91</f>
        <v>778</v>
      </c>
      <c r="D89" s="110">
        <f>'D) Ecrêtage'!E89</f>
        <v>28.023687424382569</v>
      </c>
      <c r="E89" s="34">
        <f t="shared" si="7"/>
        <v>16.801656254937104</v>
      </c>
      <c r="F89" s="279">
        <f t="shared" si="8"/>
        <v>271760.40529423079</v>
      </c>
      <c r="G89" s="33">
        <f>+'A) Base RI'!U91</f>
        <v>77</v>
      </c>
      <c r="H89" s="280">
        <f t="shared" si="9"/>
        <v>1.1340165447955313</v>
      </c>
      <c r="I89" s="55">
        <f t="shared" si="10"/>
        <v>308180.79582399683</v>
      </c>
    </row>
    <row r="90" spans="1:9" x14ac:dyDescent="0.25">
      <c r="A90" s="49">
        <f>'A) Base RI'!A92</f>
        <v>5537</v>
      </c>
      <c r="B90" s="32" t="str">
        <f>'A) Base RI'!B92</f>
        <v>Villars-le-Terroir</v>
      </c>
      <c r="C90" s="95">
        <f>'A) Base RI'!V92</f>
        <v>1213</v>
      </c>
      <c r="D90" s="110">
        <f>'D) Ecrêtage'!E90</f>
        <v>30.760347983231206</v>
      </c>
      <c r="E90" s="34">
        <f t="shared" si="7"/>
        <v>14.064995696088467</v>
      </c>
      <c r="F90" s="279">
        <f t="shared" si="8"/>
        <v>336269.15205109317</v>
      </c>
      <c r="G90" s="33">
        <f>+'A) Base RI'!U92</f>
        <v>73</v>
      </c>
      <c r="H90" s="280">
        <f t="shared" si="9"/>
        <v>1.0751065944165428</v>
      </c>
      <c r="I90" s="55">
        <f t="shared" si="10"/>
        <v>361525.18286898936</v>
      </c>
    </row>
    <row r="91" spans="1:9" x14ac:dyDescent="0.25">
      <c r="A91" s="49">
        <f>'A) Base RI'!A93</f>
        <v>5539</v>
      </c>
      <c r="B91" s="32" t="str">
        <f>'A) Base RI'!B93</f>
        <v>Vuarrens</v>
      </c>
      <c r="C91" s="95">
        <f>'A) Base RI'!V93</f>
        <v>1001</v>
      </c>
      <c r="D91" s="110">
        <f>'D) Ecrêtage'!E91</f>
        <v>28.834523335800409</v>
      </c>
      <c r="E91" s="34">
        <f t="shared" si="7"/>
        <v>15.990820343519264</v>
      </c>
      <c r="F91" s="279">
        <f t="shared" si="8"/>
        <v>324137.92606822134</v>
      </c>
      <c r="G91" s="33">
        <f>+'A) Base RI'!U93</f>
        <v>75</v>
      </c>
      <c r="H91" s="280">
        <f t="shared" si="9"/>
        <v>1.1045615696060369</v>
      </c>
      <c r="I91" s="55">
        <f t="shared" si="10"/>
        <v>358030.29638676008</v>
      </c>
    </row>
    <row r="92" spans="1:9" x14ac:dyDescent="0.25">
      <c r="A92" s="49">
        <f>'A) Base RI'!A94</f>
        <v>5540</v>
      </c>
      <c r="B92" s="32" t="str">
        <f>'A) Base RI'!B94</f>
        <v>Montilliez</v>
      </c>
      <c r="C92" s="95">
        <f>'A) Base RI'!V94</f>
        <v>1781</v>
      </c>
      <c r="D92" s="110">
        <f>'D) Ecrêtage'!E92</f>
        <v>33.178967150846361</v>
      </c>
      <c r="E92" s="34">
        <f t="shared" si="7"/>
        <v>11.646376528473311</v>
      </c>
      <c r="F92" s="279">
        <f t="shared" si="8"/>
        <v>414429.08801227517</v>
      </c>
      <c r="G92" s="33">
        <f>+'A) Base RI'!U94</f>
        <v>74</v>
      </c>
      <c r="H92" s="280">
        <f t="shared" si="9"/>
        <v>1.0898340820112897</v>
      </c>
      <c r="I92" s="55">
        <f t="shared" si="10"/>
        <v>451658.94469263393</v>
      </c>
    </row>
    <row r="93" spans="1:9" x14ac:dyDescent="0.25">
      <c r="A93" s="49">
        <f>'A) Base RI'!A95</f>
        <v>5541</v>
      </c>
      <c r="B93" s="32" t="str">
        <f>'A) Base RI'!B95</f>
        <v>Goumoëns</v>
      </c>
      <c r="C93" s="95">
        <f>'A) Base RI'!V95</f>
        <v>1119</v>
      </c>
      <c r="D93" s="110">
        <f>'D) Ecrêtage'!E93</f>
        <v>31.484331646770361</v>
      </c>
      <c r="E93" s="34">
        <f t="shared" si="7"/>
        <v>13.341012032549312</v>
      </c>
      <c r="F93" s="279">
        <f t="shared" si="8"/>
        <v>310365.43733534752</v>
      </c>
      <c r="G93" s="33">
        <f>+'A) Base RI'!U95</f>
        <v>77</v>
      </c>
      <c r="H93" s="280">
        <f t="shared" si="9"/>
        <v>1.1340165447955313</v>
      </c>
      <c r="I93" s="55">
        <f t="shared" si="10"/>
        <v>351959.54087098478</v>
      </c>
    </row>
    <row r="94" spans="1:9" x14ac:dyDescent="0.25">
      <c r="A94" s="49">
        <f>'A) Base RI'!A96</f>
        <v>5551</v>
      </c>
      <c r="B94" s="32" t="str">
        <f>'A) Base RI'!B96</f>
        <v>Bonvillars</v>
      </c>
      <c r="C94" s="95">
        <f>'A) Base RI'!V96</f>
        <v>505</v>
      </c>
      <c r="D94" s="110">
        <f>'D) Ecrêtage'!E94</f>
        <v>42.406544829194573</v>
      </c>
      <c r="E94" s="34">
        <f t="shared" si="7"/>
        <v>2.4187988501250999</v>
      </c>
      <c r="F94" s="279">
        <f t="shared" si="8"/>
        <v>18139.177276800656</v>
      </c>
      <c r="G94" s="33">
        <f>+'A) Base RI'!U96</f>
        <v>55</v>
      </c>
      <c r="H94" s="280">
        <f t="shared" si="9"/>
        <v>0.81001181771109376</v>
      </c>
      <c r="I94" s="55">
        <f t="shared" si="10"/>
        <v>14692.947957765067</v>
      </c>
    </row>
    <row r="95" spans="1:9" x14ac:dyDescent="0.25">
      <c r="A95" s="49">
        <f>'A) Base RI'!A97</f>
        <v>5552</v>
      </c>
      <c r="B95" s="32" t="str">
        <f>'A) Base RI'!B97</f>
        <v>Bullet</v>
      </c>
      <c r="C95" s="95">
        <f>'A) Base RI'!V97</f>
        <v>655</v>
      </c>
      <c r="D95" s="110">
        <f>'D) Ecrêtage'!E95</f>
        <v>27.071889921505505</v>
      </c>
      <c r="E95" s="34">
        <f t="shared" si="7"/>
        <v>17.753453757814167</v>
      </c>
      <c r="F95" s="279">
        <f t="shared" si="8"/>
        <v>229197.97568606879</v>
      </c>
      <c r="G95" s="33">
        <f>+'A) Base RI'!U97</f>
        <v>73</v>
      </c>
      <c r="H95" s="280">
        <f t="shared" si="9"/>
        <v>1.0751065944165428</v>
      </c>
      <c r="I95" s="55">
        <f t="shared" si="10"/>
        <v>246412.25508701499</v>
      </c>
    </row>
    <row r="96" spans="1:9" x14ac:dyDescent="0.25">
      <c r="A96" s="49">
        <f>'A) Base RI'!A98</f>
        <v>5553</v>
      </c>
      <c r="B96" s="32" t="str">
        <f>'A) Base RI'!B98</f>
        <v>Champagne</v>
      </c>
      <c r="C96" s="95">
        <f>'A) Base RI'!V98</f>
        <v>1034</v>
      </c>
      <c r="D96" s="110">
        <f>'D) Ecrêtage'!E96</f>
        <v>36.830777057651517</v>
      </c>
      <c r="E96" s="34">
        <f t="shared" si="7"/>
        <v>7.9945666216681559</v>
      </c>
      <c r="F96" s="279">
        <f t="shared" si="8"/>
        <v>145075.00211342552</v>
      </c>
      <c r="G96" s="33">
        <f>+'A) Base RI'!U98</f>
        <v>65</v>
      </c>
      <c r="H96" s="280">
        <f t="shared" si="9"/>
        <v>0.95728669365856545</v>
      </c>
      <c r="I96" s="55">
        <f t="shared" si="10"/>
        <v>138878.36910567051</v>
      </c>
    </row>
    <row r="97" spans="1:9" x14ac:dyDescent="0.25">
      <c r="A97" s="49">
        <f>'A) Base RI'!A99</f>
        <v>5554</v>
      </c>
      <c r="B97" s="32" t="str">
        <f>'A) Base RI'!B99</f>
        <v>Concise</v>
      </c>
      <c r="C97" s="95">
        <f>'A) Base RI'!V99</f>
        <v>995</v>
      </c>
      <c r="D97" s="110">
        <f>'D) Ecrêtage'!E97</f>
        <v>29.906733165271262</v>
      </c>
      <c r="E97" s="34">
        <f t="shared" si="7"/>
        <v>14.91861051404841</v>
      </c>
      <c r="F97" s="279">
        <f t="shared" si="8"/>
        <v>300591.35359493288</v>
      </c>
      <c r="G97" s="33">
        <f>+'A) Base RI'!U99</f>
        <v>75</v>
      </c>
      <c r="H97" s="280">
        <f t="shared" si="9"/>
        <v>1.1045615696060369</v>
      </c>
      <c r="I97" s="55">
        <f t="shared" si="10"/>
        <v>332021.6573368223</v>
      </c>
    </row>
    <row r="98" spans="1:9" x14ac:dyDescent="0.25">
      <c r="A98" s="49">
        <f>'A) Base RI'!A100</f>
        <v>5555</v>
      </c>
      <c r="B98" s="32" t="str">
        <f>'A) Base RI'!B100</f>
        <v>Corcelles-près-Concise</v>
      </c>
      <c r="C98" s="95">
        <f>'A) Base RI'!V100</f>
        <v>401</v>
      </c>
      <c r="D98" s="110">
        <f>'D) Ecrêtage'!E98</f>
        <v>32.484462105252916</v>
      </c>
      <c r="E98" s="34">
        <f t="shared" si="7"/>
        <v>12.340881574066756</v>
      </c>
      <c r="F98" s="279">
        <f t="shared" si="8"/>
        <v>94866.454609718756</v>
      </c>
      <c r="G98" s="33">
        <f>+'A) Base RI'!U100</f>
        <v>71</v>
      </c>
      <c r="H98" s="280">
        <f t="shared" si="9"/>
        <v>1.0456516192270484</v>
      </c>
      <c r="I98" s="55">
        <f t="shared" si="10"/>
        <v>99197.261872981704</v>
      </c>
    </row>
    <row r="99" spans="1:9" x14ac:dyDescent="0.25">
      <c r="A99" s="49">
        <f>'A) Base RI'!A101</f>
        <v>5556</v>
      </c>
      <c r="B99" s="32" t="str">
        <f>'A) Base RI'!B101</f>
        <v>Fiez</v>
      </c>
      <c r="C99" s="95">
        <f>'A) Base RI'!V101</f>
        <v>447</v>
      </c>
      <c r="D99" s="110">
        <f>'D) Ecrêtage'!E99</f>
        <v>28.370213307310088</v>
      </c>
      <c r="E99" s="34">
        <f t="shared" si="7"/>
        <v>16.455130372009585</v>
      </c>
      <c r="F99" s="279">
        <f t="shared" si="8"/>
        <v>137031.90823725073</v>
      </c>
      <c r="G99" s="33">
        <f>+'A) Base RI'!U101</f>
        <v>69</v>
      </c>
      <c r="H99" s="280">
        <f t="shared" si="9"/>
        <v>1.0161966440375541</v>
      </c>
      <c r="I99" s="55">
        <f t="shared" si="10"/>
        <v>139251.36527675626</v>
      </c>
    </row>
    <row r="100" spans="1:9" x14ac:dyDescent="0.25">
      <c r="A100" s="49">
        <f>'A) Base RI'!A102</f>
        <v>5557</v>
      </c>
      <c r="B100" s="32" t="str">
        <f>'A) Base RI'!B102</f>
        <v>Fontaines-sur-Grandson</v>
      </c>
      <c r="C100" s="95">
        <f>'A) Base RI'!V102</f>
        <v>218</v>
      </c>
      <c r="D100" s="110">
        <f>'D) Ecrêtage'!E100</f>
        <v>25.077892783648622</v>
      </c>
      <c r="E100" s="34">
        <f t="shared" si="7"/>
        <v>19.747450895671051</v>
      </c>
      <c r="F100" s="279">
        <f t="shared" si="8"/>
        <v>80201.11222062468</v>
      </c>
      <c r="G100" s="33">
        <f>+'A) Base RI'!U102</f>
        <v>69</v>
      </c>
      <c r="H100" s="280">
        <f t="shared" si="9"/>
        <v>1.0161966440375541</v>
      </c>
      <c r="I100" s="55">
        <f t="shared" si="10"/>
        <v>81500.101086678071</v>
      </c>
    </row>
    <row r="101" spans="1:9" x14ac:dyDescent="0.25">
      <c r="A101" s="49">
        <f>'A) Base RI'!A103</f>
        <v>5559</v>
      </c>
      <c r="B101" s="32" t="str">
        <f>'A) Base RI'!B103</f>
        <v>Giez</v>
      </c>
      <c r="C101" s="95">
        <f>'A) Base RI'!V103</f>
        <v>412</v>
      </c>
      <c r="D101" s="110">
        <f>'D) Ecrêtage'!E101</f>
        <v>46.544711640178733</v>
      </c>
      <c r="E101" s="34">
        <f t="shared" si="7"/>
        <v>0</v>
      </c>
      <c r="F101" s="279">
        <f t="shared" si="8"/>
        <v>0</v>
      </c>
      <c r="G101" s="33">
        <f>+'A) Base RI'!U103</f>
        <v>66</v>
      </c>
      <c r="H101" s="280">
        <f t="shared" si="9"/>
        <v>0.97201418125331251</v>
      </c>
      <c r="I101" s="55">
        <f t="shared" si="10"/>
        <v>0</v>
      </c>
    </row>
    <row r="102" spans="1:9" x14ac:dyDescent="0.25">
      <c r="A102" s="49">
        <f>'A) Base RI'!A104</f>
        <v>5560</v>
      </c>
      <c r="B102" s="32" t="str">
        <f>'A) Base RI'!B104</f>
        <v>Grandevent</v>
      </c>
      <c r="C102" s="95">
        <f>'A) Base RI'!V104</f>
        <v>238</v>
      </c>
      <c r="D102" s="110">
        <f>'D) Ecrêtage'!E102</f>
        <v>31.241814292098219</v>
      </c>
      <c r="E102" s="34">
        <f t="shared" si="7"/>
        <v>13.583529387221454</v>
      </c>
      <c r="F102" s="279">
        <f t="shared" si="8"/>
        <v>59355.676692753841</v>
      </c>
      <c r="G102" s="33">
        <f>+'A) Base RI'!U104</f>
        <v>68</v>
      </c>
      <c r="H102" s="280">
        <f t="shared" si="9"/>
        <v>1.0014691564428069</v>
      </c>
      <c r="I102" s="55">
        <f t="shared" si="10"/>
        <v>59442.879467584164</v>
      </c>
    </row>
    <row r="103" spans="1:9" x14ac:dyDescent="0.25">
      <c r="A103" s="49">
        <f>'A) Base RI'!A105</f>
        <v>5561</v>
      </c>
      <c r="B103" s="32" t="str">
        <f>'A) Base RI'!B105</f>
        <v>Grandson</v>
      </c>
      <c r="C103" s="95">
        <f>'A) Base RI'!V105</f>
        <v>3360</v>
      </c>
      <c r="D103" s="110">
        <f>'D) Ecrêtage'!E103</f>
        <v>36.245539002862579</v>
      </c>
      <c r="E103" s="34">
        <f t="shared" si="7"/>
        <v>8.5798046764570941</v>
      </c>
      <c r="F103" s="279">
        <f t="shared" si="8"/>
        <v>537068.31737124943</v>
      </c>
      <c r="G103" s="33">
        <f>+'A) Base RI'!U105</f>
        <v>69</v>
      </c>
      <c r="H103" s="280">
        <f t="shared" si="9"/>
        <v>1.0161966440375541</v>
      </c>
      <c r="I103" s="55">
        <f t="shared" si="10"/>
        <v>545767.02173155965</v>
      </c>
    </row>
    <row r="104" spans="1:9" x14ac:dyDescent="0.25">
      <c r="A104" s="49">
        <f>'A) Base RI'!A106</f>
        <v>5562</v>
      </c>
      <c r="B104" s="32" t="str">
        <f>'A) Base RI'!B106</f>
        <v>Mauborget</v>
      </c>
      <c r="C104" s="95">
        <f>'A) Base RI'!V106</f>
        <v>122</v>
      </c>
      <c r="D104" s="110">
        <f>'D) Ecrêtage'!E104</f>
        <v>43.393387530173122</v>
      </c>
      <c r="E104" s="34">
        <f t="shared" si="7"/>
        <v>1.4319561491465507</v>
      </c>
      <c r="F104" s="279">
        <f t="shared" si="8"/>
        <v>3301.8044887021165</v>
      </c>
      <c r="G104" s="33">
        <f>+'A) Base RI'!U106</f>
        <v>70</v>
      </c>
      <c r="H104" s="280">
        <f t="shared" si="9"/>
        <v>1.0309241316323012</v>
      </c>
      <c r="I104" s="55">
        <f t="shared" si="10"/>
        <v>3403.9099253348636</v>
      </c>
    </row>
    <row r="105" spans="1:9" x14ac:dyDescent="0.25">
      <c r="A105" s="49">
        <f>'A) Base RI'!A107</f>
        <v>5563</v>
      </c>
      <c r="B105" s="32" t="str">
        <f>'A) Base RI'!B107</f>
        <v>Mutrux</v>
      </c>
      <c r="C105" s="95">
        <f>'A) Base RI'!V107</f>
        <v>158</v>
      </c>
      <c r="D105" s="110">
        <f>'D) Ecrêtage'!E105</f>
        <v>20.838402529218783</v>
      </c>
      <c r="E105" s="34">
        <f t="shared" si="7"/>
        <v>23.98694115010089</v>
      </c>
      <c r="F105" s="279">
        <f t="shared" si="8"/>
        <v>80327.708392869376</v>
      </c>
      <c r="G105" s="33">
        <f>+'A) Base RI'!U107</f>
        <v>78.5</v>
      </c>
      <c r="H105" s="280">
        <f t="shared" si="9"/>
        <v>1.1561077761876521</v>
      </c>
      <c r="I105" s="55">
        <f t="shared" si="10"/>
        <v>92867.488316330418</v>
      </c>
    </row>
    <row r="106" spans="1:9" x14ac:dyDescent="0.25">
      <c r="A106" s="49">
        <f>'A) Base RI'!A108</f>
        <v>5564</v>
      </c>
      <c r="B106" s="32" t="str">
        <f>'A) Base RI'!B108</f>
        <v>Novalles</v>
      </c>
      <c r="C106" s="95">
        <f>'A) Base RI'!V108</f>
        <v>101</v>
      </c>
      <c r="D106" s="110">
        <f>'D) Ecrêtage'!E106</f>
        <v>28.503985257005635</v>
      </c>
      <c r="E106" s="34">
        <f t="shared" si="7"/>
        <v>16.321358422314038</v>
      </c>
      <c r="F106" s="279">
        <f t="shared" si="8"/>
        <v>33826.341757414288</v>
      </c>
      <c r="G106" s="33">
        <f>+'A) Base RI'!U108</f>
        <v>76</v>
      </c>
      <c r="H106" s="280">
        <f t="shared" si="9"/>
        <v>1.1192890572007841</v>
      </c>
      <c r="I106" s="55">
        <f t="shared" si="10"/>
        <v>37861.454174207749</v>
      </c>
    </row>
    <row r="107" spans="1:9" x14ac:dyDescent="0.25">
      <c r="A107" s="49">
        <f>'A) Base RI'!A109</f>
        <v>5565</v>
      </c>
      <c r="B107" s="32" t="str">
        <f>'A) Base RI'!B109</f>
        <v>Onnens</v>
      </c>
      <c r="C107" s="95">
        <f>'A) Base RI'!V109</f>
        <v>494</v>
      </c>
      <c r="D107" s="110">
        <f>'D) Ecrêtage'!E107</f>
        <v>45.538790757234842</v>
      </c>
      <c r="E107" s="34">
        <f t="shared" si="7"/>
        <v>0</v>
      </c>
      <c r="F107" s="279">
        <f t="shared" si="8"/>
        <v>0</v>
      </c>
      <c r="G107" s="33">
        <f>+'A) Base RI'!U109</f>
        <v>65</v>
      </c>
      <c r="H107" s="280">
        <f t="shared" si="9"/>
        <v>0.95728669365856545</v>
      </c>
      <c r="I107" s="55">
        <f t="shared" si="10"/>
        <v>0</v>
      </c>
    </row>
    <row r="108" spans="1:9" x14ac:dyDescent="0.25">
      <c r="A108" s="49">
        <f>'A) Base RI'!A110</f>
        <v>5566</v>
      </c>
      <c r="B108" s="32" t="str">
        <f>'A) Base RI'!B110</f>
        <v>Provence</v>
      </c>
      <c r="C108" s="95">
        <f>'A) Base RI'!V110</f>
        <v>373</v>
      </c>
      <c r="D108" s="110">
        <f>'D) Ecrêtage'!E108</f>
        <v>22.079576218896296</v>
      </c>
      <c r="E108" s="34">
        <f t="shared" si="7"/>
        <v>22.745767460423377</v>
      </c>
      <c r="F108" s="279">
        <f t="shared" si="8"/>
        <v>185548.82551607833</v>
      </c>
      <c r="G108" s="33">
        <f>+'A) Base RI'!U110</f>
        <v>81</v>
      </c>
      <c r="H108" s="280">
        <f t="shared" si="9"/>
        <v>1.19292649517452</v>
      </c>
      <c r="I108" s="55">
        <f t="shared" si="10"/>
        <v>221346.11010664387</v>
      </c>
    </row>
    <row r="109" spans="1:9" x14ac:dyDescent="0.25">
      <c r="A109" s="49">
        <f>'A) Base RI'!A111</f>
        <v>5568</v>
      </c>
      <c r="B109" s="32" t="str">
        <f>'A) Base RI'!B111</f>
        <v>Sainte-Croix</v>
      </c>
      <c r="C109" s="95">
        <f>'A) Base RI'!V111</f>
        <v>4845</v>
      </c>
      <c r="D109" s="110">
        <f>'D) Ecrêtage'!E109</f>
        <v>21.040048587434313</v>
      </c>
      <c r="E109" s="34">
        <f t="shared" si="7"/>
        <v>23.785295091885359</v>
      </c>
      <c r="F109" s="279">
        <f t="shared" si="8"/>
        <v>2178031.364211488</v>
      </c>
      <c r="G109" s="33">
        <f>+'A) Base RI'!U111</f>
        <v>70</v>
      </c>
      <c r="H109" s="280">
        <f t="shared" si="9"/>
        <v>1.0309241316323012</v>
      </c>
      <c r="I109" s="55">
        <f t="shared" si="10"/>
        <v>2245385.0928176446</v>
      </c>
    </row>
    <row r="110" spans="1:9" x14ac:dyDescent="0.25">
      <c r="A110" s="49">
        <f>'A) Base RI'!A112</f>
        <v>5571</v>
      </c>
      <c r="B110" s="32" t="str">
        <f>'A) Base RI'!B112</f>
        <v>Tévenon</v>
      </c>
      <c r="C110" s="95">
        <f>'A) Base RI'!V112</f>
        <v>877</v>
      </c>
      <c r="D110" s="110">
        <f>'D) Ecrêtage'!E110</f>
        <v>25.646741899468999</v>
      </c>
      <c r="E110" s="34">
        <f t="shared" si="7"/>
        <v>19.178601779850673</v>
      </c>
      <c r="F110" s="279">
        <f t="shared" si="8"/>
        <v>331514.98142791144</v>
      </c>
      <c r="G110" s="33">
        <f>+'A) Base RI'!U112</f>
        <v>73</v>
      </c>
      <c r="H110" s="280">
        <f t="shared" si="9"/>
        <v>1.0751065944165428</v>
      </c>
      <c r="I110" s="55">
        <f t="shared" si="10"/>
        <v>356413.94268102531</v>
      </c>
    </row>
    <row r="111" spans="1:9" x14ac:dyDescent="0.25">
      <c r="A111" s="49">
        <f>'A) Base RI'!A113</f>
        <v>5581</v>
      </c>
      <c r="B111" s="32" t="str">
        <f>'A) Base RI'!B113</f>
        <v>Belmont-sur-Lausanne</v>
      </c>
      <c r="C111" s="95">
        <f>'A) Base RI'!V113</f>
        <v>3732</v>
      </c>
      <c r="D111" s="110">
        <f>'D) Ecrêtage'!E111</f>
        <v>49.684602649813009</v>
      </c>
      <c r="E111" s="34">
        <f t="shared" si="7"/>
        <v>0</v>
      </c>
      <c r="F111" s="279">
        <f t="shared" si="8"/>
        <v>0</v>
      </c>
      <c r="G111" s="33">
        <f>+'A) Base RI'!U113</f>
        <v>69.5</v>
      </c>
      <c r="H111" s="280">
        <f t="shared" si="9"/>
        <v>1.0235603878349275</v>
      </c>
      <c r="I111" s="55">
        <f t="shared" si="10"/>
        <v>0</v>
      </c>
    </row>
    <row r="112" spans="1:9" x14ac:dyDescent="0.25">
      <c r="A112" s="49">
        <f>'A) Base RI'!A114</f>
        <v>5582</v>
      </c>
      <c r="B112" s="32" t="str">
        <f>'A) Base RI'!B114</f>
        <v>Cheseaux-sur-Lausanne</v>
      </c>
      <c r="C112" s="95">
        <f>'A) Base RI'!V114</f>
        <v>4338</v>
      </c>
      <c r="D112" s="110">
        <f>'D) Ecrêtage'!E112</f>
        <v>39.830597644872938</v>
      </c>
      <c r="E112" s="34">
        <f t="shared" si="7"/>
        <v>4.9947460344467345</v>
      </c>
      <c r="F112" s="279">
        <f t="shared" si="8"/>
        <v>435835.89490280318</v>
      </c>
      <c r="G112" s="33">
        <f>+'A) Base RI'!U114</f>
        <v>74.5</v>
      </c>
      <c r="H112" s="280">
        <f t="shared" si="9"/>
        <v>1.0971978258086634</v>
      </c>
      <c r="I112" s="55">
        <f t="shared" si="10"/>
        <v>478198.1962967288</v>
      </c>
    </row>
    <row r="113" spans="1:9" x14ac:dyDescent="0.25">
      <c r="A113" s="49">
        <f>'A) Base RI'!A115</f>
        <v>5583</v>
      </c>
      <c r="B113" s="32" t="str">
        <f>'A) Base RI'!B115</f>
        <v>Crissier</v>
      </c>
      <c r="C113" s="95">
        <f>'A) Base RI'!V115</f>
        <v>7905</v>
      </c>
      <c r="D113" s="110">
        <f>'D) Ecrêtage'!E113</f>
        <v>39.397162088499485</v>
      </c>
      <c r="E113" s="34">
        <f t="shared" si="7"/>
        <v>5.4281815908201878</v>
      </c>
      <c r="F113" s="279">
        <f t="shared" si="8"/>
        <v>753066.55959385948</v>
      </c>
      <c r="G113" s="33">
        <f>+'A) Base RI'!U115</f>
        <v>65</v>
      </c>
      <c r="H113" s="280">
        <f t="shared" si="9"/>
        <v>0.95728669365856545</v>
      </c>
      <c r="I113" s="55">
        <f t="shared" si="10"/>
        <v>720900.59693843673</v>
      </c>
    </row>
    <row r="114" spans="1:9" x14ac:dyDescent="0.25">
      <c r="A114" s="49">
        <f>'A) Base RI'!A116</f>
        <v>5584</v>
      </c>
      <c r="B114" s="32" t="str">
        <f>'A) Base RI'!B116</f>
        <v>Epalinges</v>
      </c>
      <c r="C114" s="95">
        <f>'A) Base RI'!V116</f>
        <v>9624</v>
      </c>
      <c r="D114" s="110">
        <f>'D) Ecrêtage'!E114</f>
        <v>48.098338678352199</v>
      </c>
      <c r="E114" s="34">
        <f t="shared" si="7"/>
        <v>0</v>
      </c>
      <c r="F114" s="279">
        <f t="shared" si="8"/>
        <v>0</v>
      </c>
      <c r="G114" s="33">
        <f>+'A) Base RI'!U116</f>
        <v>66</v>
      </c>
      <c r="H114" s="280">
        <f t="shared" si="9"/>
        <v>0.97201418125331251</v>
      </c>
      <c r="I114" s="55">
        <f t="shared" si="10"/>
        <v>0</v>
      </c>
    </row>
    <row r="115" spans="1:9" x14ac:dyDescent="0.25">
      <c r="A115" s="49">
        <f>'A) Base RI'!A117</f>
        <v>5585</v>
      </c>
      <c r="B115" s="32" t="str">
        <f>'A) Base RI'!B117</f>
        <v>Jouxtens-Mézery</v>
      </c>
      <c r="C115" s="95">
        <f>'A) Base RI'!V117</f>
        <v>1471</v>
      </c>
      <c r="D115" s="110">
        <f>'D) Ecrêtage'!E115</f>
        <v>149.23462849148066</v>
      </c>
      <c r="E115" s="34">
        <f t="shared" si="7"/>
        <v>0</v>
      </c>
      <c r="F115" s="279">
        <f t="shared" si="8"/>
        <v>0</v>
      </c>
      <c r="G115" s="33">
        <f>+'A) Base RI'!U117</f>
        <v>53</v>
      </c>
      <c r="H115" s="280">
        <f t="shared" si="9"/>
        <v>0.78055684252159951</v>
      </c>
      <c r="I115" s="55">
        <f t="shared" si="10"/>
        <v>0</v>
      </c>
    </row>
    <row r="116" spans="1:9" x14ac:dyDescent="0.25">
      <c r="A116" s="49">
        <f>'A) Base RI'!A118</f>
        <v>5586</v>
      </c>
      <c r="B116" s="32" t="str">
        <f>'A) Base RI'!B118</f>
        <v>Lausanne</v>
      </c>
      <c r="C116" s="95">
        <f>'A) Base RI'!V118</f>
        <v>139720</v>
      </c>
      <c r="D116" s="110">
        <f>'D) Ecrêtage'!E116</f>
        <v>40.307357118466101</v>
      </c>
      <c r="E116" s="34">
        <f t="shared" si="7"/>
        <v>4.5179865608535721</v>
      </c>
      <c r="F116" s="279">
        <f t="shared" si="8"/>
        <v>13464628.245084897</v>
      </c>
      <c r="G116" s="33">
        <f>+'A) Base RI'!U118</f>
        <v>79</v>
      </c>
      <c r="H116" s="280">
        <f t="shared" si="9"/>
        <v>1.1634715199850256</v>
      </c>
      <c r="I116" s="55">
        <f t="shared" si="10"/>
        <v>15665711.490342233</v>
      </c>
    </row>
    <row r="117" spans="1:9" x14ac:dyDescent="0.25">
      <c r="A117" s="49">
        <f>'A) Base RI'!A119</f>
        <v>5587</v>
      </c>
      <c r="B117" s="32" t="str">
        <f>'A) Base RI'!B119</f>
        <v>Le Mont-sur-Lausanne</v>
      </c>
      <c r="C117" s="95">
        <f>'A) Base RI'!V119</f>
        <v>8516</v>
      </c>
      <c r="D117" s="110">
        <f>'D) Ecrêtage'!E117</f>
        <v>49.220192293366729</v>
      </c>
      <c r="E117" s="34">
        <f t="shared" si="7"/>
        <v>0</v>
      </c>
      <c r="F117" s="279">
        <f t="shared" si="8"/>
        <v>0</v>
      </c>
      <c r="G117" s="33">
        <f>+'A) Base RI'!U119</f>
        <v>75</v>
      </c>
      <c r="H117" s="280">
        <f t="shared" si="9"/>
        <v>1.1045615696060369</v>
      </c>
      <c r="I117" s="55">
        <f t="shared" si="10"/>
        <v>0</v>
      </c>
    </row>
    <row r="118" spans="1:9" x14ac:dyDescent="0.25">
      <c r="A118" s="49">
        <f>'A) Base RI'!A120</f>
        <v>5588</v>
      </c>
      <c r="B118" s="32" t="str">
        <f>'A) Base RI'!B120</f>
        <v>Paudex</v>
      </c>
      <c r="C118" s="95">
        <f>'A) Base RI'!V120</f>
        <v>1507</v>
      </c>
      <c r="D118" s="110">
        <f>'D) Ecrêtage'!E118</f>
        <v>85.218315805561588</v>
      </c>
      <c r="E118" s="34">
        <f t="shared" si="7"/>
        <v>0</v>
      </c>
      <c r="F118" s="279">
        <f t="shared" si="8"/>
        <v>0</v>
      </c>
      <c r="G118" s="33">
        <f>+'A) Base RI'!U120</f>
        <v>61.5</v>
      </c>
      <c r="H118" s="280">
        <f t="shared" si="9"/>
        <v>0.90574048707695032</v>
      </c>
      <c r="I118" s="55">
        <f t="shared" si="10"/>
        <v>0</v>
      </c>
    </row>
    <row r="119" spans="1:9" x14ac:dyDescent="0.25">
      <c r="A119" s="49">
        <f>'A) Base RI'!A121</f>
        <v>5589</v>
      </c>
      <c r="B119" s="32" t="str">
        <f>'A) Base RI'!B121</f>
        <v>Prilly</v>
      </c>
      <c r="C119" s="95">
        <f>'A) Base RI'!V121</f>
        <v>12392</v>
      </c>
      <c r="D119" s="110">
        <f>'D) Ecrêtage'!E119</f>
        <v>30.754138528629184</v>
      </c>
      <c r="E119" s="34">
        <f t="shared" si="7"/>
        <v>14.071205150690488</v>
      </c>
      <c r="F119" s="279">
        <f t="shared" si="8"/>
        <v>3460380.0765418909</v>
      </c>
      <c r="G119" s="33">
        <f>+'A) Base RI'!U121</f>
        <v>73.5</v>
      </c>
      <c r="H119" s="280">
        <f t="shared" si="9"/>
        <v>1.0824703382139162</v>
      </c>
      <c r="I119" s="55">
        <f t="shared" si="10"/>
        <v>3745758.7918029982</v>
      </c>
    </row>
    <row r="120" spans="1:9" x14ac:dyDescent="0.25">
      <c r="A120" s="49">
        <f>'A) Base RI'!A122</f>
        <v>5590</v>
      </c>
      <c r="B120" s="32" t="str">
        <f>'A) Base RI'!B122</f>
        <v>Pully</v>
      </c>
      <c r="C120" s="95">
        <f>'A) Base RI'!V122</f>
        <v>18336</v>
      </c>
      <c r="D120" s="110">
        <f>'D) Ecrêtage'!E120</f>
        <v>76.393241021566368</v>
      </c>
      <c r="E120" s="34">
        <f t="shared" si="7"/>
        <v>0</v>
      </c>
      <c r="F120" s="279">
        <f t="shared" si="8"/>
        <v>0</v>
      </c>
      <c r="G120" s="33">
        <f>+'A) Base RI'!U122</f>
        <v>61</v>
      </c>
      <c r="H120" s="280">
        <f t="shared" si="9"/>
        <v>0.89837674327957673</v>
      </c>
      <c r="I120" s="55">
        <f t="shared" si="10"/>
        <v>0</v>
      </c>
    </row>
    <row r="121" spans="1:9" x14ac:dyDescent="0.25">
      <c r="A121" s="49">
        <f>'A) Base RI'!A123</f>
        <v>5591</v>
      </c>
      <c r="B121" s="32" t="str">
        <f>'A) Base RI'!B123</f>
        <v>Renens</v>
      </c>
      <c r="C121" s="95">
        <f>'A) Base RI'!V123</f>
        <v>20968</v>
      </c>
      <c r="D121" s="110">
        <f>'D) Ecrêtage'!E121</f>
        <v>25.890199230385143</v>
      </c>
      <c r="E121" s="34">
        <f t="shared" si="7"/>
        <v>18.93514444893453</v>
      </c>
      <c r="F121" s="279">
        <f t="shared" si="8"/>
        <v>8415095.5461274702</v>
      </c>
      <c r="G121" s="33">
        <f>+'A) Base RI'!U123</f>
        <v>78.5</v>
      </c>
      <c r="H121" s="280">
        <f t="shared" si="9"/>
        <v>1.1561077761876521</v>
      </c>
      <c r="I121" s="55">
        <f t="shared" si="10"/>
        <v>9728757.3982400466</v>
      </c>
    </row>
    <row r="122" spans="1:9" x14ac:dyDescent="0.25">
      <c r="A122" s="49">
        <f>'A) Base RI'!A124</f>
        <v>5592</v>
      </c>
      <c r="B122" s="32" t="str">
        <f>'A) Base RI'!B124</f>
        <v>Romanel-sur-Lausanne</v>
      </c>
      <c r="C122" s="95">
        <f>'A) Base RI'!V124</f>
        <v>3311</v>
      </c>
      <c r="D122" s="110">
        <f>'D) Ecrêtage'!E122</f>
        <v>34.329710484958511</v>
      </c>
      <c r="E122" s="34">
        <f t="shared" si="7"/>
        <v>10.495633194361162</v>
      </c>
      <c r="F122" s="279">
        <f t="shared" si="8"/>
        <v>656794.68447341339</v>
      </c>
      <c r="G122" s="33">
        <f>+'A) Base RI'!U124</f>
        <v>70</v>
      </c>
      <c r="H122" s="280">
        <f t="shared" si="9"/>
        <v>1.0309241316323012</v>
      </c>
      <c r="I122" s="55">
        <f t="shared" si="10"/>
        <v>677105.48975146504</v>
      </c>
    </row>
    <row r="123" spans="1:9" x14ac:dyDescent="0.25">
      <c r="A123" s="49">
        <f>'A) Base RI'!A125</f>
        <v>5601</v>
      </c>
      <c r="B123" s="32" t="str">
        <f>'A) Base RI'!B125</f>
        <v>Chexbres</v>
      </c>
      <c r="C123" s="95">
        <f>'A) Base RI'!V125</f>
        <v>2238</v>
      </c>
      <c r="D123" s="110">
        <f>'D) Ecrêtage'!E123</f>
        <v>45.766651020366645</v>
      </c>
      <c r="E123" s="34">
        <f t="shared" si="7"/>
        <v>0</v>
      </c>
      <c r="F123" s="279">
        <f t="shared" si="8"/>
        <v>0</v>
      </c>
      <c r="G123" s="33">
        <f>+'A) Base RI'!U125</f>
        <v>69</v>
      </c>
      <c r="H123" s="280">
        <f t="shared" si="9"/>
        <v>1.0161966440375541</v>
      </c>
      <c r="I123" s="55">
        <f t="shared" si="10"/>
        <v>0</v>
      </c>
    </row>
    <row r="124" spans="1:9" x14ac:dyDescent="0.25">
      <c r="A124" s="49">
        <f>'A) Base RI'!A126</f>
        <v>5604</v>
      </c>
      <c r="B124" s="32" t="str">
        <f>'A) Base RI'!B126</f>
        <v>Forel (Lavaux)</v>
      </c>
      <c r="C124" s="95">
        <f>'A) Base RI'!V126</f>
        <v>2082</v>
      </c>
      <c r="D124" s="110">
        <f>'D) Ecrêtage'!E124</f>
        <v>35.13719735612964</v>
      </c>
      <c r="E124" s="34">
        <f t="shared" si="7"/>
        <v>9.6881463231900327</v>
      </c>
      <c r="F124" s="279">
        <f t="shared" si="8"/>
        <v>381226.62018826313</v>
      </c>
      <c r="G124" s="33">
        <f>+'A) Base RI'!U126</f>
        <v>70</v>
      </c>
      <c r="H124" s="280">
        <f t="shared" si="9"/>
        <v>1.0309241316323012</v>
      </c>
      <c r="I124" s="55">
        <f t="shared" si="10"/>
        <v>393015.72237270226</v>
      </c>
    </row>
    <row r="125" spans="1:9" x14ac:dyDescent="0.25">
      <c r="A125" s="49">
        <f>'A) Base RI'!A127</f>
        <v>5606</v>
      </c>
      <c r="B125" s="32" t="str">
        <f>'A) Base RI'!B127</f>
        <v>Lutry</v>
      </c>
      <c r="C125" s="95">
        <f>'A) Base RI'!V127</f>
        <v>10285</v>
      </c>
      <c r="D125" s="110">
        <f>'D) Ecrêtage'!E125</f>
        <v>78.89564995030328</v>
      </c>
      <c r="E125" s="34">
        <f t="shared" si="7"/>
        <v>0</v>
      </c>
      <c r="F125" s="279">
        <f t="shared" si="8"/>
        <v>0</v>
      </c>
      <c r="G125" s="33">
        <f>+'A) Base RI'!U127</f>
        <v>55.5</v>
      </c>
      <c r="H125" s="280">
        <f t="shared" si="9"/>
        <v>0.81737556150846735</v>
      </c>
      <c r="I125" s="55">
        <f t="shared" si="10"/>
        <v>0</v>
      </c>
    </row>
    <row r="126" spans="1:9" x14ac:dyDescent="0.25">
      <c r="A126" s="49">
        <f>'A) Base RI'!A128</f>
        <v>5607</v>
      </c>
      <c r="B126" s="32" t="str">
        <f>'A) Base RI'!B128</f>
        <v>Puidoux</v>
      </c>
      <c r="C126" s="95">
        <f>'A) Base RI'!V128</f>
        <v>2880</v>
      </c>
      <c r="D126" s="110">
        <f>'D) Ecrêtage'!E126</f>
        <v>37.042328842464933</v>
      </c>
      <c r="E126" s="34">
        <f t="shared" si="7"/>
        <v>7.7830148368547398</v>
      </c>
      <c r="F126" s="279">
        <f t="shared" si="8"/>
        <v>423645.06359967723</v>
      </c>
      <c r="G126" s="33">
        <f>+'A) Base RI'!U128</f>
        <v>70</v>
      </c>
      <c r="H126" s="280">
        <f t="shared" si="9"/>
        <v>1.0309241316323012</v>
      </c>
      <c r="I126" s="55">
        <f t="shared" si="10"/>
        <v>436745.91931180831</v>
      </c>
    </row>
    <row r="127" spans="1:9" x14ac:dyDescent="0.25">
      <c r="A127" s="49">
        <f>'A) Base RI'!A129</f>
        <v>5609</v>
      </c>
      <c r="B127" s="32" t="str">
        <f>'A) Base RI'!B129</f>
        <v>Rivaz</v>
      </c>
      <c r="C127" s="95">
        <f>'A) Base RI'!V129</f>
        <v>358</v>
      </c>
      <c r="D127" s="110">
        <f>'D) Ecrêtage'!E127</f>
        <v>37.636210739441012</v>
      </c>
      <c r="E127" s="34">
        <f t="shared" si="7"/>
        <v>7.189132939878661</v>
      </c>
      <c r="F127" s="279">
        <f t="shared" si="8"/>
        <v>44126.250963010643</v>
      </c>
      <c r="G127" s="33">
        <f>+'A) Base RI'!U129</f>
        <v>63.5</v>
      </c>
      <c r="H127" s="280">
        <f t="shared" si="9"/>
        <v>0.93519546226644468</v>
      </c>
      <c r="I127" s="55">
        <f t="shared" si="10"/>
        <v>41266.669667437891</v>
      </c>
    </row>
    <row r="128" spans="1:9" x14ac:dyDescent="0.25">
      <c r="A128" s="49">
        <f>'A) Base RI'!A130</f>
        <v>5610</v>
      </c>
      <c r="B128" s="32" t="str">
        <f>'A) Base RI'!B130</f>
        <v>St-Saphorin (Lavaux)</v>
      </c>
      <c r="C128" s="95">
        <f>'A) Base RI'!V130</f>
        <v>391</v>
      </c>
      <c r="D128" s="110">
        <f>'D) Ecrêtage'!E128</f>
        <v>55.084551428457317</v>
      </c>
      <c r="E128" s="34">
        <f t="shared" si="7"/>
        <v>0</v>
      </c>
      <c r="F128" s="279">
        <f t="shared" si="8"/>
        <v>0</v>
      </c>
      <c r="G128" s="33">
        <f>+'A) Base RI'!U130</f>
        <v>70</v>
      </c>
      <c r="H128" s="280">
        <f t="shared" si="9"/>
        <v>1.0309241316323012</v>
      </c>
      <c r="I128" s="55">
        <f t="shared" si="10"/>
        <v>0</v>
      </c>
    </row>
    <row r="129" spans="1:9" x14ac:dyDescent="0.25">
      <c r="A129" s="49">
        <f>'A) Base RI'!A131</f>
        <v>5611</v>
      </c>
      <c r="B129" s="32" t="str">
        <f>'A) Base RI'!B131</f>
        <v>Savigny</v>
      </c>
      <c r="C129" s="95">
        <f>'A) Base RI'!V131</f>
        <v>3353</v>
      </c>
      <c r="D129" s="110">
        <f>'D) Ecrêtage'!E129</f>
        <v>40.279651980311201</v>
      </c>
      <c r="E129" s="34">
        <f t="shared" si="7"/>
        <v>4.5456916990084721</v>
      </c>
      <c r="F129" s="279">
        <f t="shared" si="8"/>
        <v>283952.95049002586</v>
      </c>
      <c r="G129" s="33">
        <f>+'A) Base RI'!U131</f>
        <v>69</v>
      </c>
      <c r="H129" s="280">
        <f t="shared" si="9"/>
        <v>1.0161966440375541</v>
      </c>
      <c r="I129" s="55">
        <f t="shared" si="10"/>
        <v>288552.035352526</v>
      </c>
    </row>
    <row r="130" spans="1:9" x14ac:dyDescent="0.25">
      <c r="A130" s="49">
        <f>'A) Base RI'!A132</f>
        <v>5613</v>
      </c>
      <c r="B130" s="32" t="str">
        <f>'A) Base RI'!B132</f>
        <v>Bourg-en-Lavaux</v>
      </c>
      <c r="C130" s="95">
        <f>'A) Base RI'!V132</f>
        <v>5367</v>
      </c>
      <c r="D130" s="110">
        <f>'D) Ecrêtage'!E130</f>
        <v>54.595315544883398</v>
      </c>
      <c r="E130" s="34">
        <f t="shared" si="7"/>
        <v>0</v>
      </c>
      <c r="F130" s="279">
        <f t="shared" si="8"/>
        <v>0</v>
      </c>
      <c r="G130" s="33">
        <f>+'A) Base RI'!U132</f>
        <v>61</v>
      </c>
      <c r="H130" s="280">
        <f t="shared" si="9"/>
        <v>0.89837674327957673</v>
      </c>
      <c r="I130" s="55">
        <f t="shared" si="10"/>
        <v>0</v>
      </c>
    </row>
    <row r="131" spans="1:9" x14ac:dyDescent="0.25">
      <c r="A131" s="49">
        <f>'A) Base RI'!A133</f>
        <v>5621</v>
      </c>
      <c r="B131" s="32" t="str">
        <f>'A) Base RI'!B133</f>
        <v>Aclens</v>
      </c>
      <c r="C131" s="95">
        <f>'A) Base RI'!V133</f>
        <v>535</v>
      </c>
      <c r="D131" s="110">
        <f>'D) Ecrêtage'!E131</f>
        <v>63.014437557500749</v>
      </c>
      <c r="E131" s="34">
        <f t="shared" si="7"/>
        <v>0</v>
      </c>
      <c r="F131" s="279">
        <f t="shared" si="8"/>
        <v>0</v>
      </c>
      <c r="G131" s="33">
        <f>+'A) Base RI'!U133</f>
        <v>62</v>
      </c>
      <c r="H131" s="280">
        <f t="shared" si="9"/>
        <v>0.91310423087432391</v>
      </c>
      <c r="I131" s="55">
        <f t="shared" si="10"/>
        <v>0</v>
      </c>
    </row>
    <row r="132" spans="1:9" x14ac:dyDescent="0.25">
      <c r="A132" s="49">
        <f>'A) Base RI'!A134</f>
        <v>5622</v>
      </c>
      <c r="B132" s="32" t="str">
        <f>'A) Base RI'!B134</f>
        <v>Bremblens</v>
      </c>
      <c r="C132" s="95">
        <f>'A) Base RI'!V134</f>
        <v>548</v>
      </c>
      <c r="D132" s="110">
        <f>'D) Ecrêtage'!E132</f>
        <v>47.008018408189187</v>
      </c>
      <c r="E132" s="34">
        <f t="shared" si="7"/>
        <v>0</v>
      </c>
      <c r="F132" s="279">
        <f t="shared" si="8"/>
        <v>0</v>
      </c>
      <c r="G132" s="33">
        <f>+'A) Base RI'!U134</f>
        <v>66</v>
      </c>
      <c r="H132" s="280">
        <f t="shared" si="9"/>
        <v>0.97201418125331251</v>
      </c>
      <c r="I132" s="55">
        <f t="shared" si="10"/>
        <v>0</v>
      </c>
    </row>
    <row r="133" spans="1:9" x14ac:dyDescent="0.25">
      <c r="A133" s="49">
        <f>'A) Base RI'!A135</f>
        <v>5623</v>
      </c>
      <c r="B133" s="32" t="str">
        <f>'A) Base RI'!B135</f>
        <v>Buchillon</v>
      </c>
      <c r="C133" s="95">
        <f>'A) Base RI'!V135</f>
        <v>650</v>
      </c>
      <c r="D133" s="110">
        <f>'D) Ecrêtage'!E133</f>
        <v>183.15097469556997</v>
      </c>
      <c r="E133" s="34">
        <f t="shared" si="7"/>
        <v>0</v>
      </c>
      <c r="F133" s="279">
        <f t="shared" si="8"/>
        <v>0</v>
      </c>
      <c r="G133" s="33">
        <f>+'A) Base RI'!U135</f>
        <v>53</v>
      </c>
      <c r="H133" s="280">
        <f t="shared" si="9"/>
        <v>0.78055684252159951</v>
      </c>
      <c r="I133" s="55">
        <f t="shared" si="10"/>
        <v>0</v>
      </c>
    </row>
    <row r="134" spans="1:9" x14ac:dyDescent="0.25">
      <c r="A134" s="49">
        <f>'A) Base RI'!A136</f>
        <v>5624</v>
      </c>
      <c r="B134" s="32" t="str">
        <f>'A) Base RI'!B136</f>
        <v>Bussigny</v>
      </c>
      <c r="C134" s="95">
        <f>'A) Base RI'!V136</f>
        <v>8759</v>
      </c>
      <c r="D134" s="110">
        <f>'D) Ecrêtage'!E134</f>
        <v>40.698963332011658</v>
      </c>
      <c r="E134" s="34">
        <f t="shared" ref="E134:E197" si="11">IF($D$314-D134&lt;0,0,$D$314-D134)</f>
        <v>4.1263803473080145</v>
      </c>
      <c r="F134" s="279">
        <f t="shared" ref="F134:F197" si="12">(C134*E134*G134)*$E$4</f>
        <v>614791.84250982595</v>
      </c>
      <c r="G134" s="33">
        <f>+'A) Base RI'!U136</f>
        <v>63</v>
      </c>
      <c r="H134" s="280">
        <f t="shared" ref="H134:H197" si="13">G134/$G$314</f>
        <v>0.92783171846907109</v>
      </c>
      <c r="I134" s="55">
        <f t="shared" ref="I134:I197" si="14">F134*H134</f>
        <v>570423.37173665827</v>
      </c>
    </row>
    <row r="135" spans="1:9" x14ac:dyDescent="0.25">
      <c r="A135" s="49">
        <f>'A) Base RI'!A137</f>
        <v>5625</v>
      </c>
      <c r="B135" s="32" t="str">
        <f>'A) Base RI'!B137</f>
        <v>Bussy-Chardonney</v>
      </c>
      <c r="C135" s="95">
        <f>'A) Base RI'!V137</f>
        <v>376</v>
      </c>
      <c r="D135" s="110">
        <f>'D) Ecrêtage'!E135</f>
        <v>35.559341401592135</v>
      </c>
      <c r="E135" s="34">
        <f t="shared" si="11"/>
        <v>9.2660022777275373</v>
      </c>
      <c r="F135" s="279">
        <f t="shared" si="12"/>
        <v>73373.394996322182</v>
      </c>
      <c r="G135" s="33">
        <f>+'A) Base RI'!U137</f>
        <v>78</v>
      </c>
      <c r="H135" s="280">
        <f t="shared" si="13"/>
        <v>1.1487440323902784</v>
      </c>
      <c r="I135" s="55">
        <f t="shared" si="14"/>
        <v>84287.249638239824</v>
      </c>
    </row>
    <row r="136" spans="1:9" x14ac:dyDescent="0.25">
      <c r="A136" s="49">
        <f>'A) Base RI'!A138</f>
        <v>5627</v>
      </c>
      <c r="B136" s="32" t="str">
        <f>'A) Base RI'!B138</f>
        <v>Chavannes-près-Renens</v>
      </c>
      <c r="C136" s="95">
        <f>'A) Base RI'!V138</f>
        <v>7741</v>
      </c>
      <c r="D136" s="110">
        <f>'D) Ecrêtage'!E136</f>
        <v>22.398990169387002</v>
      </c>
      <c r="E136" s="34">
        <f t="shared" si="11"/>
        <v>22.426353509932671</v>
      </c>
      <c r="F136" s="279">
        <f t="shared" si="12"/>
        <v>3702939.2457598937</v>
      </c>
      <c r="G136" s="33">
        <f>+'A) Base RI'!U138</f>
        <v>79</v>
      </c>
      <c r="H136" s="280">
        <f t="shared" si="13"/>
        <v>1.1634715199850256</v>
      </c>
      <c r="I136" s="55">
        <f t="shared" si="14"/>
        <v>4308264.352676468</v>
      </c>
    </row>
    <row r="137" spans="1:9" x14ac:dyDescent="0.25">
      <c r="A137" s="49">
        <f>'A) Base RI'!A139</f>
        <v>5628</v>
      </c>
      <c r="B137" s="32" t="str">
        <f>'A) Base RI'!B139</f>
        <v>Chigny</v>
      </c>
      <c r="C137" s="95">
        <f>'A) Base RI'!V139</f>
        <v>358</v>
      </c>
      <c r="D137" s="110">
        <f>'D) Ecrêtage'!E137</f>
        <v>61.157424445109683</v>
      </c>
      <c r="E137" s="34">
        <f t="shared" si="11"/>
        <v>0</v>
      </c>
      <c r="F137" s="279">
        <f t="shared" si="12"/>
        <v>0</v>
      </c>
      <c r="G137" s="33">
        <f>+'A) Base RI'!U139</f>
        <v>62</v>
      </c>
      <c r="H137" s="280">
        <f t="shared" si="13"/>
        <v>0.91310423087432391</v>
      </c>
      <c r="I137" s="55">
        <f t="shared" si="14"/>
        <v>0</v>
      </c>
    </row>
    <row r="138" spans="1:9" x14ac:dyDescent="0.25">
      <c r="A138" s="49">
        <f>'A) Base RI'!A140</f>
        <v>5629</v>
      </c>
      <c r="B138" s="32" t="str">
        <f>'A) Base RI'!B140</f>
        <v>Clarmont</v>
      </c>
      <c r="C138" s="95">
        <f>'A) Base RI'!V140</f>
        <v>190</v>
      </c>
      <c r="D138" s="110">
        <f>'D) Ecrêtage'!E138</f>
        <v>36.40121643650432</v>
      </c>
      <c r="E138" s="34">
        <f t="shared" si="11"/>
        <v>8.4241272428153522</v>
      </c>
      <c r="F138" s="279">
        <f t="shared" si="12"/>
        <v>32411.829566732074</v>
      </c>
      <c r="G138" s="33">
        <f>+'A) Base RI'!U140</f>
        <v>75</v>
      </c>
      <c r="H138" s="280">
        <f t="shared" si="13"/>
        <v>1.1045615696060369</v>
      </c>
      <c r="I138" s="55">
        <f t="shared" si="14"/>
        <v>35800.861340032934</v>
      </c>
    </row>
    <row r="139" spans="1:9" x14ac:dyDescent="0.25">
      <c r="A139" s="49">
        <f>'A) Base RI'!A141</f>
        <v>5631</v>
      </c>
      <c r="B139" s="32" t="str">
        <f>'A) Base RI'!B141</f>
        <v>Denens</v>
      </c>
      <c r="C139" s="95">
        <f>'A) Base RI'!V141</f>
        <v>747</v>
      </c>
      <c r="D139" s="110">
        <f>'D) Ecrêtage'!E139</f>
        <v>58.655926232214483</v>
      </c>
      <c r="E139" s="34">
        <f t="shared" si="11"/>
        <v>0</v>
      </c>
      <c r="F139" s="279">
        <f t="shared" si="12"/>
        <v>0</v>
      </c>
      <c r="G139" s="33">
        <f>+'A) Base RI'!U141</f>
        <v>70</v>
      </c>
      <c r="H139" s="280">
        <f t="shared" si="13"/>
        <v>1.0309241316323012</v>
      </c>
      <c r="I139" s="55">
        <f t="shared" si="14"/>
        <v>0</v>
      </c>
    </row>
    <row r="140" spans="1:9" x14ac:dyDescent="0.25">
      <c r="A140" s="49">
        <f>'A) Base RI'!A142</f>
        <v>5632</v>
      </c>
      <c r="B140" s="32" t="str">
        <f>'A) Base RI'!B142</f>
        <v>Denges</v>
      </c>
      <c r="C140" s="95">
        <f>'A) Base RI'!V142</f>
        <v>1610</v>
      </c>
      <c r="D140" s="110">
        <f>'D) Ecrêtage'!E140</f>
        <v>42.041861010227805</v>
      </c>
      <c r="E140" s="34">
        <f t="shared" si="11"/>
        <v>2.7834826690918675</v>
      </c>
      <c r="F140" s="279">
        <f t="shared" si="12"/>
        <v>75018.754807762554</v>
      </c>
      <c r="G140" s="33">
        <f>+'A) Base RI'!U142</f>
        <v>62</v>
      </c>
      <c r="H140" s="280">
        <f t="shared" si="13"/>
        <v>0.91310423087432391</v>
      </c>
      <c r="I140" s="55">
        <f t="shared" si="14"/>
        <v>68499.942409891519</v>
      </c>
    </row>
    <row r="141" spans="1:9" x14ac:dyDescent="0.25">
      <c r="A141" s="49">
        <f>'A) Base RI'!A143</f>
        <v>5633</v>
      </c>
      <c r="B141" s="32" t="str">
        <f>'A) Base RI'!B143</f>
        <v>Echandens</v>
      </c>
      <c r="C141" s="95">
        <f>'A) Base RI'!V143</f>
        <v>2789</v>
      </c>
      <c r="D141" s="110">
        <f>'D) Ecrêtage'!E141</f>
        <v>49.278924694970065</v>
      </c>
      <c r="E141" s="34">
        <f t="shared" si="11"/>
        <v>0</v>
      </c>
      <c r="F141" s="279">
        <f t="shared" si="12"/>
        <v>0</v>
      </c>
      <c r="G141" s="33">
        <f>+'A) Base RI'!U143</f>
        <v>62</v>
      </c>
      <c r="H141" s="280">
        <f t="shared" si="13"/>
        <v>0.91310423087432391</v>
      </c>
      <c r="I141" s="55">
        <f t="shared" si="14"/>
        <v>0</v>
      </c>
    </row>
    <row r="142" spans="1:9" x14ac:dyDescent="0.25">
      <c r="A142" s="49">
        <f>'A) Base RI'!A144</f>
        <v>5634</v>
      </c>
      <c r="B142" s="32" t="str">
        <f>'A) Base RI'!B144</f>
        <v>Echichens</v>
      </c>
      <c r="C142" s="95">
        <f>'A) Base RI'!V144</f>
        <v>3050</v>
      </c>
      <c r="D142" s="110">
        <f>'D) Ecrêtage'!E142</f>
        <v>56.625380622753703</v>
      </c>
      <c r="E142" s="34">
        <f t="shared" si="11"/>
        <v>0</v>
      </c>
      <c r="F142" s="279">
        <f t="shared" si="12"/>
        <v>0</v>
      </c>
      <c r="G142" s="33">
        <f>+'A) Base RI'!U144</f>
        <v>68</v>
      </c>
      <c r="H142" s="280">
        <f t="shared" si="13"/>
        <v>1.0014691564428069</v>
      </c>
      <c r="I142" s="55">
        <f t="shared" si="14"/>
        <v>0</v>
      </c>
    </row>
    <row r="143" spans="1:9" x14ac:dyDescent="0.25">
      <c r="A143" s="49">
        <f>'A) Base RI'!A145</f>
        <v>5635</v>
      </c>
      <c r="B143" s="32" t="str">
        <f>'A) Base RI'!B145</f>
        <v>Ecublens</v>
      </c>
      <c r="C143" s="95">
        <f>'A) Base RI'!V145</f>
        <v>12939</v>
      </c>
      <c r="D143" s="110">
        <f>'D) Ecrêtage'!E143</f>
        <v>32.90859888666045</v>
      </c>
      <c r="E143" s="34">
        <f t="shared" si="11"/>
        <v>11.916744792659223</v>
      </c>
      <c r="F143" s="279">
        <f t="shared" si="12"/>
        <v>2664416.3478719215</v>
      </c>
      <c r="G143" s="33">
        <f>+'A) Base RI'!U145</f>
        <v>64</v>
      </c>
      <c r="H143" s="280">
        <f t="shared" si="13"/>
        <v>0.94255920606381827</v>
      </c>
      <c r="I143" s="55">
        <f t="shared" si="14"/>
        <v>2511370.1574736168</v>
      </c>
    </row>
    <row r="144" spans="1:9" x14ac:dyDescent="0.25">
      <c r="A144" s="49">
        <f>'A) Base RI'!A146</f>
        <v>5636</v>
      </c>
      <c r="B144" s="32" t="str">
        <f>'A) Base RI'!B146</f>
        <v>Etoy</v>
      </c>
      <c r="C144" s="95">
        <f>'A) Base RI'!V146</f>
        <v>2905</v>
      </c>
      <c r="D144" s="110">
        <f>'D) Ecrêtage'!E144</f>
        <v>56.285051604973773</v>
      </c>
      <c r="E144" s="34">
        <f t="shared" si="11"/>
        <v>0</v>
      </c>
      <c r="F144" s="279">
        <f t="shared" si="12"/>
        <v>0</v>
      </c>
      <c r="G144" s="33">
        <f>+'A) Base RI'!U146</f>
        <v>61</v>
      </c>
      <c r="H144" s="280">
        <f t="shared" si="13"/>
        <v>0.89837674327957673</v>
      </c>
      <c r="I144" s="55">
        <f t="shared" si="14"/>
        <v>0</v>
      </c>
    </row>
    <row r="145" spans="1:9" x14ac:dyDescent="0.25">
      <c r="A145" s="49">
        <f>'A) Base RI'!A147</f>
        <v>5637</v>
      </c>
      <c r="B145" s="32" t="str">
        <f>'A) Base RI'!B147</f>
        <v>Lavigny</v>
      </c>
      <c r="C145" s="95">
        <f>'A) Base RI'!V147</f>
        <v>999</v>
      </c>
      <c r="D145" s="110">
        <f>'D) Ecrêtage'!E145</f>
        <v>35.563233936050736</v>
      </c>
      <c r="E145" s="34">
        <f t="shared" si="11"/>
        <v>9.2621097432689368</v>
      </c>
      <c r="F145" s="279">
        <f t="shared" si="12"/>
        <v>186121.03014836879</v>
      </c>
      <c r="G145" s="33">
        <f>+'A) Base RI'!U147</f>
        <v>74.5</v>
      </c>
      <c r="H145" s="280">
        <f t="shared" si="13"/>
        <v>1.0971978258086634</v>
      </c>
      <c r="I145" s="55">
        <f t="shared" si="14"/>
        <v>204211.58961605895</v>
      </c>
    </row>
    <row r="146" spans="1:9" x14ac:dyDescent="0.25">
      <c r="A146" s="49">
        <f>'A) Base RI'!A148</f>
        <v>5638</v>
      </c>
      <c r="B146" s="32" t="str">
        <f>'A) Base RI'!B148</f>
        <v>Lonay</v>
      </c>
      <c r="C146" s="95">
        <f>'A) Base RI'!V148</f>
        <v>2593</v>
      </c>
      <c r="D146" s="110">
        <f>'D) Ecrêtage'!E146</f>
        <v>60.470931435865317</v>
      </c>
      <c r="E146" s="34">
        <f t="shared" si="11"/>
        <v>0</v>
      </c>
      <c r="F146" s="279">
        <f t="shared" si="12"/>
        <v>0</v>
      </c>
      <c r="G146" s="33">
        <f>+'A) Base RI'!U148</f>
        <v>55</v>
      </c>
      <c r="H146" s="280">
        <f t="shared" si="13"/>
        <v>0.81001181771109376</v>
      </c>
      <c r="I146" s="55">
        <f t="shared" si="14"/>
        <v>0</v>
      </c>
    </row>
    <row r="147" spans="1:9" x14ac:dyDescent="0.25">
      <c r="A147" s="49">
        <f>'A) Base RI'!A149</f>
        <v>5639</v>
      </c>
      <c r="B147" s="32" t="str">
        <f>'A) Base RI'!B149</f>
        <v>Lully</v>
      </c>
      <c r="C147" s="95">
        <f>'A) Base RI'!V149</f>
        <v>790</v>
      </c>
      <c r="D147" s="110">
        <f>'D) Ecrêtage'!E147</f>
        <v>56.624873795091062</v>
      </c>
      <c r="E147" s="34">
        <f t="shared" si="11"/>
        <v>0</v>
      </c>
      <c r="F147" s="279">
        <f t="shared" si="12"/>
        <v>0</v>
      </c>
      <c r="G147" s="33">
        <f>+'A) Base RI'!U149</f>
        <v>61</v>
      </c>
      <c r="H147" s="280">
        <f t="shared" si="13"/>
        <v>0.89837674327957673</v>
      </c>
      <c r="I147" s="55">
        <f t="shared" si="14"/>
        <v>0</v>
      </c>
    </row>
    <row r="148" spans="1:9" x14ac:dyDescent="0.25">
      <c r="A148" s="49">
        <f>'A) Base RI'!A150</f>
        <v>5640</v>
      </c>
      <c r="B148" s="32" t="str">
        <f>'A) Base RI'!B150</f>
        <v>Lussy-sur-Morges</v>
      </c>
      <c r="C148" s="95">
        <f>'A) Base RI'!V150</f>
        <v>687</v>
      </c>
      <c r="D148" s="110">
        <f>'D) Ecrêtage'!E148</f>
        <v>77.45879167506753</v>
      </c>
      <c r="E148" s="34">
        <f t="shared" si="11"/>
        <v>0</v>
      </c>
      <c r="F148" s="279">
        <f t="shared" si="12"/>
        <v>0</v>
      </c>
      <c r="G148" s="33">
        <f>+'A) Base RI'!U150</f>
        <v>66</v>
      </c>
      <c r="H148" s="280">
        <f t="shared" si="13"/>
        <v>0.97201418125331251</v>
      </c>
      <c r="I148" s="55">
        <f t="shared" si="14"/>
        <v>0</v>
      </c>
    </row>
    <row r="149" spans="1:9" x14ac:dyDescent="0.25">
      <c r="A149" s="49">
        <f>'A) Base RI'!A151</f>
        <v>5642</v>
      </c>
      <c r="B149" s="32" t="str">
        <f>'A) Base RI'!B151</f>
        <v>Morges</v>
      </c>
      <c r="C149" s="95">
        <f>'A) Base RI'!V151</f>
        <v>15725</v>
      </c>
      <c r="D149" s="110">
        <f>'D) Ecrêtage'!E149</f>
        <v>46.3778032133701</v>
      </c>
      <c r="E149" s="34">
        <f t="shared" si="11"/>
        <v>0</v>
      </c>
      <c r="F149" s="279">
        <f t="shared" si="12"/>
        <v>0</v>
      </c>
      <c r="G149" s="33">
        <f>+'A) Base RI'!U151</f>
        <v>68.5</v>
      </c>
      <c r="H149" s="280">
        <f t="shared" si="13"/>
        <v>1.0088329002401804</v>
      </c>
      <c r="I149" s="55">
        <f t="shared" si="14"/>
        <v>0</v>
      </c>
    </row>
    <row r="150" spans="1:9" x14ac:dyDescent="0.25">
      <c r="A150" s="49">
        <f>'A) Base RI'!A152</f>
        <v>5643</v>
      </c>
      <c r="B150" s="32" t="str">
        <f>'A) Base RI'!B152</f>
        <v>Préverenges</v>
      </c>
      <c r="C150" s="95">
        <f>'A) Base RI'!V152</f>
        <v>5298</v>
      </c>
      <c r="D150" s="110">
        <f>'D) Ecrêtage'!E150</f>
        <v>48.455368654193201</v>
      </c>
      <c r="E150" s="34">
        <f t="shared" si="11"/>
        <v>0</v>
      </c>
      <c r="F150" s="279">
        <f t="shared" si="12"/>
        <v>0</v>
      </c>
      <c r="G150" s="33">
        <f>+'A) Base RI'!U152</f>
        <v>64</v>
      </c>
      <c r="H150" s="280">
        <f t="shared" si="13"/>
        <v>0.94255920606381827</v>
      </c>
      <c r="I150" s="55">
        <f t="shared" si="14"/>
        <v>0</v>
      </c>
    </row>
    <row r="151" spans="1:9" x14ac:dyDescent="0.25">
      <c r="A151" s="49">
        <f>'A) Base RI'!A153</f>
        <v>5644</v>
      </c>
      <c r="B151" s="32" t="str">
        <f>'A) Base RI'!B153</f>
        <v>Reverolle</v>
      </c>
      <c r="C151" s="95">
        <f>'A) Base RI'!V153</f>
        <v>399</v>
      </c>
      <c r="D151" s="110">
        <f>'D) Ecrêtage'!E151</f>
        <v>33.647199502161627</v>
      </c>
      <c r="E151" s="34">
        <f t="shared" si="11"/>
        <v>11.178144177158046</v>
      </c>
      <c r="F151" s="279">
        <f t="shared" si="12"/>
        <v>91520.831887597975</v>
      </c>
      <c r="G151" s="33">
        <f>+'A) Base RI'!U153</f>
        <v>76</v>
      </c>
      <c r="H151" s="280">
        <f t="shared" si="13"/>
        <v>1.1192890572007841</v>
      </c>
      <c r="I151" s="55">
        <f t="shared" si="14"/>
        <v>102438.265637701</v>
      </c>
    </row>
    <row r="152" spans="1:9" x14ac:dyDescent="0.25">
      <c r="A152" s="49">
        <f>'A) Base RI'!A154</f>
        <v>5645</v>
      </c>
      <c r="B152" s="32" t="str">
        <f>'A) Base RI'!B154</f>
        <v>Romanel-sur-Morges</v>
      </c>
      <c r="C152" s="95">
        <f>'A) Base RI'!V154</f>
        <v>458</v>
      </c>
      <c r="D152" s="110">
        <f>'D) Ecrêtage'!E152</f>
        <v>52.903608450060084</v>
      </c>
      <c r="E152" s="34">
        <f t="shared" si="11"/>
        <v>0</v>
      </c>
      <c r="F152" s="279">
        <f t="shared" si="12"/>
        <v>0</v>
      </c>
      <c r="G152" s="33">
        <f>+'A) Base RI'!U154</f>
        <v>56</v>
      </c>
      <c r="H152" s="280">
        <f t="shared" si="13"/>
        <v>0.82473930530584094</v>
      </c>
      <c r="I152" s="55">
        <f t="shared" si="14"/>
        <v>0</v>
      </c>
    </row>
    <row r="153" spans="1:9" x14ac:dyDescent="0.25">
      <c r="A153" s="49">
        <f>'A) Base RI'!A155</f>
        <v>5646</v>
      </c>
      <c r="B153" s="32" t="str">
        <f>'A) Base RI'!B155</f>
        <v>Saint-Prex</v>
      </c>
      <c r="C153" s="95">
        <f>'A) Base RI'!V155</f>
        <v>5684</v>
      </c>
      <c r="D153" s="110">
        <f>'D) Ecrêtage'!E153</f>
        <v>81.225245189477903</v>
      </c>
      <c r="E153" s="34">
        <f t="shared" si="11"/>
        <v>0</v>
      </c>
      <c r="F153" s="279">
        <f t="shared" si="12"/>
        <v>0</v>
      </c>
      <c r="G153" s="33">
        <f>+'A) Base RI'!U155</f>
        <v>55</v>
      </c>
      <c r="H153" s="280">
        <f t="shared" si="13"/>
        <v>0.81001181771109376</v>
      </c>
      <c r="I153" s="55">
        <f t="shared" si="14"/>
        <v>0</v>
      </c>
    </row>
    <row r="154" spans="1:9" x14ac:dyDescent="0.25">
      <c r="A154" s="49">
        <f>'A) Base RI'!A156</f>
        <v>5648</v>
      </c>
      <c r="B154" s="32" t="str">
        <f>'A) Base RI'!B156</f>
        <v>Saint-Sulpice</v>
      </c>
      <c r="C154" s="95">
        <f>'A) Base RI'!V156</f>
        <v>4669</v>
      </c>
      <c r="D154" s="110">
        <f>'D) Ecrêtage'!E154</f>
        <v>77.100881513647522</v>
      </c>
      <c r="E154" s="34">
        <f t="shared" si="11"/>
        <v>0</v>
      </c>
      <c r="F154" s="279">
        <f t="shared" si="12"/>
        <v>0</v>
      </c>
      <c r="G154" s="33">
        <f>+'A) Base RI'!U156</f>
        <v>55</v>
      </c>
      <c r="H154" s="280">
        <f t="shared" si="13"/>
        <v>0.81001181771109376</v>
      </c>
      <c r="I154" s="55">
        <f t="shared" si="14"/>
        <v>0</v>
      </c>
    </row>
    <row r="155" spans="1:9" x14ac:dyDescent="0.25">
      <c r="A155" s="49">
        <f>'A) Base RI'!A157</f>
        <v>5649</v>
      </c>
      <c r="B155" s="32" t="str">
        <f>'A) Base RI'!B157</f>
        <v>Tolochenaz</v>
      </c>
      <c r="C155" s="95">
        <f>'A) Base RI'!V157</f>
        <v>1933</v>
      </c>
      <c r="D155" s="110">
        <f>'D) Ecrêtage'!E155</f>
        <v>58.974991476908372</v>
      </c>
      <c r="E155" s="34">
        <f t="shared" si="11"/>
        <v>0</v>
      </c>
      <c r="F155" s="279">
        <f t="shared" si="12"/>
        <v>0</v>
      </c>
      <c r="G155" s="33">
        <f>+'A) Base RI'!U157</f>
        <v>65</v>
      </c>
      <c r="H155" s="280">
        <f t="shared" si="13"/>
        <v>0.95728669365856545</v>
      </c>
      <c r="I155" s="55">
        <f t="shared" si="14"/>
        <v>0</v>
      </c>
    </row>
    <row r="156" spans="1:9" x14ac:dyDescent="0.25">
      <c r="A156" s="49">
        <f>'A) Base RI'!A158</f>
        <v>5650</v>
      </c>
      <c r="B156" s="32" t="str">
        <f>'A) Base RI'!B158</f>
        <v>Vaux-sur-Morges</v>
      </c>
      <c r="C156" s="95">
        <f>'A) Base RI'!V158</f>
        <v>184</v>
      </c>
      <c r="D156" s="110">
        <f>'D) Ecrêtage'!E156</f>
        <v>1006.0017696832563</v>
      </c>
      <c r="E156" s="34">
        <f t="shared" si="11"/>
        <v>0</v>
      </c>
      <c r="F156" s="279">
        <f t="shared" si="12"/>
        <v>0</v>
      </c>
      <c r="G156" s="33">
        <f>+'A) Base RI'!U158</f>
        <v>56</v>
      </c>
      <c r="H156" s="280">
        <f t="shared" si="13"/>
        <v>0.82473930530584094</v>
      </c>
      <c r="I156" s="55">
        <f t="shared" si="14"/>
        <v>0</v>
      </c>
    </row>
    <row r="157" spans="1:9" x14ac:dyDescent="0.25">
      <c r="A157" s="49">
        <f>'A) Base RI'!A159</f>
        <v>5651</v>
      </c>
      <c r="B157" s="32" t="str">
        <f>'A) Base RI'!B159</f>
        <v>Villars-Sainte-Croix</v>
      </c>
      <c r="C157" s="95">
        <f>'A) Base RI'!V159</f>
        <v>963</v>
      </c>
      <c r="D157" s="110">
        <f>'D) Ecrêtage'!E157</f>
        <v>52.260657310938356</v>
      </c>
      <c r="E157" s="34">
        <f t="shared" si="11"/>
        <v>0</v>
      </c>
      <c r="F157" s="279">
        <f t="shared" si="12"/>
        <v>0</v>
      </c>
      <c r="G157" s="33">
        <f>+'A) Base RI'!U159</f>
        <v>59</v>
      </c>
      <c r="H157" s="280">
        <f t="shared" si="13"/>
        <v>0.86892176809008248</v>
      </c>
      <c r="I157" s="55">
        <f t="shared" si="14"/>
        <v>0</v>
      </c>
    </row>
    <row r="158" spans="1:9" x14ac:dyDescent="0.25">
      <c r="A158" s="49">
        <f>'A) Base RI'!A160</f>
        <v>5652</v>
      </c>
      <c r="B158" s="32" t="str">
        <f>'A) Base RI'!B160</f>
        <v>Villars-sous-Yens</v>
      </c>
      <c r="C158" s="95">
        <f>'A) Base RI'!V160</f>
        <v>608</v>
      </c>
      <c r="D158" s="110">
        <f>'D) Ecrêtage'!E158</f>
        <v>48.791689831977131</v>
      </c>
      <c r="E158" s="34">
        <f t="shared" si="11"/>
        <v>0</v>
      </c>
      <c r="F158" s="279">
        <f t="shared" si="12"/>
        <v>0</v>
      </c>
      <c r="G158" s="33">
        <f>+'A) Base RI'!U160</f>
        <v>76</v>
      </c>
      <c r="H158" s="280">
        <f t="shared" si="13"/>
        <v>1.1192890572007841</v>
      </c>
      <c r="I158" s="55">
        <f t="shared" si="14"/>
        <v>0</v>
      </c>
    </row>
    <row r="159" spans="1:9" x14ac:dyDescent="0.25">
      <c r="A159" s="49">
        <f>'A) Base RI'!A161</f>
        <v>5653</v>
      </c>
      <c r="B159" s="32" t="str">
        <f>'A) Base RI'!B161</f>
        <v>Vufflens-le-Château</v>
      </c>
      <c r="C159" s="95">
        <f>'A) Base RI'!V161</f>
        <v>886</v>
      </c>
      <c r="D159" s="110">
        <f>'D) Ecrêtage'!E159</f>
        <v>69.558391598653898</v>
      </c>
      <c r="E159" s="34">
        <f t="shared" si="11"/>
        <v>0</v>
      </c>
      <c r="F159" s="279">
        <f t="shared" si="12"/>
        <v>0</v>
      </c>
      <c r="G159" s="33">
        <f>+'A) Base RI'!U161</f>
        <v>55</v>
      </c>
      <c r="H159" s="280">
        <f t="shared" si="13"/>
        <v>0.81001181771109376</v>
      </c>
      <c r="I159" s="55">
        <f t="shared" si="14"/>
        <v>0</v>
      </c>
    </row>
    <row r="160" spans="1:9" x14ac:dyDescent="0.25">
      <c r="A160" s="49">
        <f>'A) Base RI'!A162</f>
        <v>5654</v>
      </c>
      <c r="B160" s="32" t="str">
        <f>'A) Base RI'!B162</f>
        <v>Vullierens</v>
      </c>
      <c r="C160" s="95">
        <f>'A) Base RI'!V162</f>
        <v>507</v>
      </c>
      <c r="D160" s="110">
        <f>'D) Ecrêtage'!E160</f>
        <v>37.76642069378363</v>
      </c>
      <c r="E160" s="34">
        <f t="shared" si="11"/>
        <v>7.0589229855360429</v>
      </c>
      <c r="F160" s="279">
        <f t="shared" si="12"/>
        <v>73438.493529242201</v>
      </c>
      <c r="G160" s="33">
        <f>+'A) Base RI'!U162</f>
        <v>76</v>
      </c>
      <c r="H160" s="280">
        <f t="shared" si="13"/>
        <v>1.1192890572007841</v>
      </c>
      <c r="I160" s="55">
        <f t="shared" si="14"/>
        <v>82198.902184591381</v>
      </c>
    </row>
    <row r="161" spans="1:9" x14ac:dyDescent="0.25">
      <c r="A161" s="49">
        <f>'A) Base RI'!A163</f>
        <v>5655</v>
      </c>
      <c r="B161" s="32" t="str">
        <f>'A) Base RI'!B163</f>
        <v>Yens</v>
      </c>
      <c r="C161" s="95">
        <f>'A) Base RI'!V163</f>
        <v>1429</v>
      </c>
      <c r="D161" s="110">
        <f>'D) Ecrêtage'!E161</f>
        <v>60.250145615151176</v>
      </c>
      <c r="E161" s="34">
        <f t="shared" si="11"/>
        <v>0</v>
      </c>
      <c r="F161" s="279">
        <f t="shared" si="12"/>
        <v>0</v>
      </c>
      <c r="G161" s="33">
        <f>+'A) Base RI'!U163</f>
        <v>73</v>
      </c>
      <c r="H161" s="280">
        <f t="shared" si="13"/>
        <v>1.0751065944165428</v>
      </c>
      <c r="I161" s="55">
        <f t="shared" si="14"/>
        <v>0</v>
      </c>
    </row>
    <row r="162" spans="1:9" x14ac:dyDescent="0.25">
      <c r="A162" s="49">
        <f>'A) Base RI'!A164</f>
        <v>5661</v>
      </c>
      <c r="B162" s="32" t="str">
        <f>'A) Base RI'!B164</f>
        <v>Boulens</v>
      </c>
      <c r="C162" s="95">
        <f>'A) Base RI'!V164</f>
        <v>384</v>
      </c>
      <c r="D162" s="110">
        <f>'D) Ecrêtage'!E162</f>
        <v>26.672127993356867</v>
      </c>
      <c r="E162" s="34">
        <f t="shared" si="11"/>
        <v>18.153215685962806</v>
      </c>
      <c r="F162" s="279">
        <f t="shared" si="12"/>
        <v>148687.90678332926</v>
      </c>
      <c r="G162" s="33">
        <f>+'A) Base RI'!U164</f>
        <v>79</v>
      </c>
      <c r="H162" s="280">
        <f t="shared" si="13"/>
        <v>1.1634715199850256</v>
      </c>
      <c r="I162" s="55">
        <f t="shared" si="14"/>
        <v>172994.1449085919</v>
      </c>
    </row>
    <row r="163" spans="1:9" x14ac:dyDescent="0.25">
      <c r="A163" s="49">
        <f>'A) Base RI'!A165</f>
        <v>5663</v>
      </c>
      <c r="B163" s="32" t="str">
        <f>'A) Base RI'!B165</f>
        <v>Bussy-sur-Moudon</v>
      </c>
      <c r="C163" s="95">
        <f>'A) Base RI'!V165</f>
        <v>214</v>
      </c>
      <c r="D163" s="110">
        <f>'D) Ecrêtage'!E163</f>
        <v>24.652372751755433</v>
      </c>
      <c r="E163" s="34">
        <f t="shared" si="11"/>
        <v>20.17297092756424</v>
      </c>
      <c r="F163" s="279">
        <f t="shared" si="12"/>
        <v>93247.540815572953</v>
      </c>
      <c r="G163" s="33">
        <f>+'A) Base RI'!U165</f>
        <v>80</v>
      </c>
      <c r="H163" s="280">
        <f t="shared" si="13"/>
        <v>1.1781990075797728</v>
      </c>
      <c r="I163" s="55">
        <f t="shared" si="14"/>
        <v>109864.1600481624</v>
      </c>
    </row>
    <row r="164" spans="1:9" x14ac:dyDescent="0.25">
      <c r="A164" s="49">
        <f>'A) Base RI'!A166</f>
        <v>5665</v>
      </c>
      <c r="B164" s="32" t="str">
        <f>'A) Base RI'!B166</f>
        <v>Chavannes-sur-Moudon</v>
      </c>
      <c r="C164" s="95">
        <f>'A) Base RI'!V166</f>
        <v>216</v>
      </c>
      <c r="D164" s="110">
        <f>'D) Ecrêtage'!E164</f>
        <v>21.329891419101727</v>
      </c>
      <c r="E164" s="34">
        <f t="shared" si="11"/>
        <v>23.495452260217945</v>
      </c>
      <c r="F164" s="279">
        <f t="shared" si="12"/>
        <v>100028.59863456148</v>
      </c>
      <c r="G164" s="33">
        <f>+'A) Base RI'!U166</f>
        <v>73</v>
      </c>
      <c r="H164" s="280">
        <f t="shared" si="13"/>
        <v>1.0751065944165428</v>
      </c>
      <c r="I164" s="55">
        <f t="shared" si="14"/>
        <v>107541.40602226263</v>
      </c>
    </row>
    <row r="165" spans="1:9" x14ac:dyDescent="0.25">
      <c r="A165" s="49">
        <f>'A) Base RI'!A167</f>
        <v>5669</v>
      </c>
      <c r="B165" s="32" t="str">
        <f>'A) Base RI'!B167</f>
        <v>Curtilles</v>
      </c>
      <c r="C165" s="95">
        <f>'A) Base RI'!V167</f>
        <v>313</v>
      </c>
      <c r="D165" s="110">
        <f>'D) Ecrêtage'!E165</f>
        <v>24.698075795640829</v>
      </c>
      <c r="E165" s="34">
        <f t="shared" si="11"/>
        <v>20.127267883678844</v>
      </c>
      <c r="F165" s="279">
        <f t="shared" si="12"/>
        <v>127571.65566372745</v>
      </c>
      <c r="G165" s="33">
        <f>+'A) Base RI'!U167</f>
        <v>75</v>
      </c>
      <c r="H165" s="280">
        <f t="shared" si="13"/>
        <v>1.1045615696060369</v>
      </c>
      <c r="I165" s="55">
        <f t="shared" si="14"/>
        <v>140910.74821716765</v>
      </c>
    </row>
    <row r="166" spans="1:9" x14ac:dyDescent="0.25">
      <c r="A166" s="49">
        <f>'A) Base RI'!A168</f>
        <v>5671</v>
      </c>
      <c r="B166" s="32" t="str">
        <f>'A) Base RI'!B168</f>
        <v>Dompierre</v>
      </c>
      <c r="C166" s="95">
        <f>'A) Base RI'!V168</f>
        <v>239</v>
      </c>
      <c r="D166" s="110">
        <f>'D) Ecrêtage'!E166</f>
        <v>25.55410672887249</v>
      </c>
      <c r="E166" s="34">
        <f t="shared" si="11"/>
        <v>19.271236950447182</v>
      </c>
      <c r="F166" s="279">
        <f t="shared" si="12"/>
        <v>99485.833632988535</v>
      </c>
      <c r="G166" s="33">
        <f>+'A) Base RI'!U168</f>
        <v>80</v>
      </c>
      <c r="H166" s="280">
        <f t="shared" si="13"/>
        <v>1.1781990075797728</v>
      </c>
      <c r="I166" s="55">
        <f t="shared" si="14"/>
        <v>117214.11045463347</v>
      </c>
    </row>
    <row r="167" spans="1:9" x14ac:dyDescent="0.25">
      <c r="A167" s="49">
        <f>'A) Base RI'!A169</f>
        <v>5673</v>
      </c>
      <c r="B167" s="32" t="str">
        <f>'A) Base RI'!B169</f>
        <v>Hermenches</v>
      </c>
      <c r="C167" s="95">
        <f>'A) Base RI'!V169</f>
        <v>364</v>
      </c>
      <c r="D167" s="110">
        <f>'D) Ecrêtage'!E167</f>
        <v>25.482271205859018</v>
      </c>
      <c r="E167" s="34">
        <f t="shared" si="11"/>
        <v>19.343072473460655</v>
      </c>
      <c r="F167" s="279">
        <f t="shared" si="12"/>
        <v>142577.7872018785</v>
      </c>
      <c r="G167" s="33">
        <f>+'A) Base RI'!U169</f>
        <v>75</v>
      </c>
      <c r="H167" s="280">
        <f t="shared" si="13"/>
        <v>1.1045615696060369</v>
      </c>
      <c r="I167" s="55">
        <f t="shared" si="14"/>
        <v>157485.94442266243</v>
      </c>
    </row>
    <row r="168" spans="1:9" x14ac:dyDescent="0.25">
      <c r="A168" s="49">
        <f>'A) Base RI'!A170</f>
        <v>5674</v>
      </c>
      <c r="B168" s="32" t="str">
        <f>'A) Base RI'!B170</f>
        <v>Lovatens</v>
      </c>
      <c r="C168" s="95">
        <f>'A) Base RI'!V170</f>
        <v>146</v>
      </c>
      <c r="D168" s="110">
        <f>'D) Ecrêtage'!E168</f>
        <v>22.410910862535111</v>
      </c>
      <c r="E168" s="34">
        <f t="shared" si="11"/>
        <v>22.414432816784561</v>
      </c>
      <c r="F168" s="279">
        <f t="shared" si="12"/>
        <v>66268.270622823562</v>
      </c>
      <c r="G168" s="33">
        <f>+'A) Base RI'!U170</f>
        <v>75</v>
      </c>
      <c r="H168" s="280">
        <f t="shared" si="13"/>
        <v>1.1045615696060369</v>
      </c>
      <c r="I168" s="55">
        <f t="shared" si="14"/>
        <v>73197.385014223619</v>
      </c>
    </row>
    <row r="169" spans="1:9" x14ac:dyDescent="0.25">
      <c r="A169" s="49">
        <f>'A) Base RI'!A171</f>
        <v>5675</v>
      </c>
      <c r="B169" s="32" t="str">
        <f>'A) Base RI'!B171</f>
        <v>Lucens</v>
      </c>
      <c r="C169" s="95">
        <f>'A) Base RI'!V171</f>
        <v>4199</v>
      </c>
      <c r="D169" s="110">
        <f>'D) Ecrêtage'!E169</f>
        <v>21.467740389662982</v>
      </c>
      <c r="E169" s="34">
        <f t="shared" si="11"/>
        <v>23.357603289656691</v>
      </c>
      <c r="F169" s="279">
        <f t="shared" si="12"/>
        <v>1827203.8748531912</v>
      </c>
      <c r="G169" s="33">
        <f>+'A) Base RI'!U171</f>
        <v>69</v>
      </c>
      <c r="H169" s="280">
        <f t="shared" si="13"/>
        <v>1.0161966440375541</v>
      </c>
      <c r="I169" s="55">
        <f t="shared" si="14"/>
        <v>1856798.4455982279</v>
      </c>
    </row>
    <row r="170" spans="1:9" x14ac:dyDescent="0.25">
      <c r="A170" s="49">
        <f>'A) Base RI'!A172</f>
        <v>5678</v>
      </c>
      <c r="B170" s="32" t="str">
        <f>'A) Base RI'!B172</f>
        <v>Moudon</v>
      </c>
      <c r="C170" s="95">
        <f>'A) Base RI'!V172</f>
        <v>6135</v>
      </c>
      <c r="D170" s="110">
        <f>'D) Ecrêtage'!E170</f>
        <v>18.867524525314749</v>
      </c>
      <c r="E170" s="34">
        <f t="shared" si="11"/>
        <v>25.957819154004923</v>
      </c>
      <c r="F170" s="279">
        <f t="shared" si="12"/>
        <v>3224837.2153238594</v>
      </c>
      <c r="G170" s="33">
        <f>+'A) Base RI'!U172</f>
        <v>75</v>
      </c>
      <c r="H170" s="280">
        <f t="shared" si="13"/>
        <v>1.1045615696060369</v>
      </c>
      <c r="I170" s="55">
        <f t="shared" si="14"/>
        <v>3562031.2562820832</v>
      </c>
    </row>
    <row r="171" spans="1:9" x14ac:dyDescent="0.25">
      <c r="A171" s="49">
        <f>'A) Base RI'!A173</f>
        <v>5680</v>
      </c>
      <c r="B171" s="32" t="str">
        <f>'A) Base RI'!B173</f>
        <v>Ogens</v>
      </c>
      <c r="C171" s="95">
        <f>'A) Base RI'!V173</f>
        <v>299</v>
      </c>
      <c r="D171" s="110">
        <f>'D) Ecrêtage'!E171</f>
        <v>21.488620109843772</v>
      </c>
      <c r="E171" s="34">
        <f t="shared" si="11"/>
        <v>23.3367235694759</v>
      </c>
      <c r="F171" s="279">
        <f t="shared" si="12"/>
        <v>146949.94811357561</v>
      </c>
      <c r="G171" s="33">
        <f>+'A) Base RI'!U173</f>
        <v>78</v>
      </c>
      <c r="H171" s="280">
        <f t="shared" si="13"/>
        <v>1.1487440323902784</v>
      </c>
      <c r="I171" s="55">
        <f t="shared" si="14"/>
        <v>168807.87595553102</v>
      </c>
    </row>
    <row r="172" spans="1:9" x14ac:dyDescent="0.25">
      <c r="A172" s="49">
        <f>'A) Base RI'!A174</f>
        <v>5683</v>
      </c>
      <c r="B172" s="32" t="str">
        <f>'A) Base RI'!B174</f>
        <v>Prévonloup</v>
      </c>
      <c r="C172" s="95">
        <f>'A) Base RI'!V174</f>
        <v>184</v>
      </c>
      <c r="D172" s="110">
        <f>'D) Ecrêtage'!E172</f>
        <v>20.324778727382071</v>
      </c>
      <c r="E172" s="34">
        <f t="shared" si="11"/>
        <v>24.500564951937601</v>
      </c>
      <c r="F172" s="279">
        <f t="shared" si="12"/>
        <v>90071.916944107244</v>
      </c>
      <c r="G172" s="33">
        <f>+'A) Base RI'!U174</f>
        <v>74</v>
      </c>
      <c r="H172" s="280">
        <f t="shared" si="13"/>
        <v>1.0898340820112897</v>
      </c>
      <c r="I172" s="55">
        <f t="shared" si="14"/>
        <v>98163.444917778252</v>
      </c>
    </row>
    <row r="173" spans="1:9" x14ac:dyDescent="0.25">
      <c r="A173" s="49">
        <f>'A) Base RI'!A175</f>
        <v>5684</v>
      </c>
      <c r="B173" s="32" t="str">
        <f>'A) Base RI'!B175</f>
        <v>Rossenges</v>
      </c>
      <c r="C173" s="95">
        <f>'A) Base RI'!V175</f>
        <v>65</v>
      </c>
      <c r="D173" s="110">
        <f>'D) Ecrêtage'!E173</f>
        <v>30.153929986651338</v>
      </c>
      <c r="E173" s="34">
        <f t="shared" si="11"/>
        <v>14.671413692668335</v>
      </c>
      <c r="F173" s="279">
        <f t="shared" si="12"/>
        <v>19311.248272974695</v>
      </c>
      <c r="G173" s="33">
        <f>+'A) Base RI'!U175</f>
        <v>75</v>
      </c>
      <c r="H173" s="280">
        <f t="shared" si="13"/>
        <v>1.1045615696060369</v>
      </c>
      <c r="I173" s="55">
        <f t="shared" si="14"/>
        <v>21330.4627034488</v>
      </c>
    </row>
    <row r="174" spans="1:9" x14ac:dyDescent="0.25">
      <c r="A174" s="49">
        <f>'A) Base RI'!A176</f>
        <v>5688</v>
      </c>
      <c r="B174" s="32" t="str">
        <f>'A) Base RI'!B176</f>
        <v>Syens</v>
      </c>
      <c r="C174" s="95">
        <f>'A) Base RI'!V176</f>
        <v>159</v>
      </c>
      <c r="D174" s="110">
        <f>'D) Ecrêtage'!E174</f>
        <v>23.689121034981799</v>
      </c>
      <c r="E174" s="34">
        <f t="shared" si="11"/>
        <v>21.136222644337874</v>
      </c>
      <c r="F174" s="279">
        <f t="shared" si="12"/>
        <v>68597.779681979722</v>
      </c>
      <c r="G174" s="33">
        <f>+'A) Base RI'!U176</f>
        <v>75.599999999999994</v>
      </c>
      <c r="H174" s="280">
        <f t="shared" si="13"/>
        <v>1.1133980621628852</v>
      </c>
      <c r="I174" s="55">
        <f t="shared" si="14"/>
        <v>76376.634966592756</v>
      </c>
    </row>
    <row r="175" spans="1:9" x14ac:dyDescent="0.25">
      <c r="A175" s="49">
        <f>'A) Base RI'!A177</f>
        <v>5690</v>
      </c>
      <c r="B175" s="32" t="str">
        <f>'A) Base RI'!B177</f>
        <v>Villars-le-Comte</v>
      </c>
      <c r="C175" s="95">
        <f>'A) Base RI'!V177</f>
        <v>132</v>
      </c>
      <c r="D175" s="110">
        <f>'D) Ecrêtage'!E175</f>
        <v>30.809643291015423</v>
      </c>
      <c r="E175" s="34">
        <f t="shared" si="11"/>
        <v>14.01570038830425</v>
      </c>
      <c r="F175" s="279">
        <f t="shared" si="12"/>
        <v>34966.36932874145</v>
      </c>
      <c r="G175" s="33">
        <f>+'A) Base RI'!U177</f>
        <v>70</v>
      </c>
      <c r="H175" s="280">
        <f t="shared" si="13"/>
        <v>1.0309241316323012</v>
      </c>
      <c r="I175" s="55">
        <f t="shared" si="14"/>
        <v>36047.673936567109</v>
      </c>
    </row>
    <row r="176" spans="1:9" x14ac:dyDescent="0.25">
      <c r="A176" s="49">
        <f>'A) Base RI'!A178</f>
        <v>5692</v>
      </c>
      <c r="B176" s="32" t="str">
        <f>'A) Base RI'!B178</f>
        <v>Vucherens</v>
      </c>
      <c r="C176" s="95">
        <f>'A) Base RI'!V178</f>
        <v>577</v>
      </c>
      <c r="D176" s="110">
        <f>'D) Ecrêtage'!E176</f>
        <v>28.044995391529579</v>
      </c>
      <c r="E176" s="34">
        <f t="shared" si="11"/>
        <v>16.780348287790094</v>
      </c>
      <c r="F176" s="279">
        <f t="shared" si="12"/>
        <v>206522.62632063072</v>
      </c>
      <c r="G176" s="33">
        <f>+'A) Base RI'!U178</f>
        <v>79</v>
      </c>
      <c r="H176" s="280">
        <f t="shared" si="13"/>
        <v>1.1634715199850256</v>
      </c>
      <c r="I176" s="55">
        <f t="shared" si="14"/>
        <v>240283.19395656369</v>
      </c>
    </row>
    <row r="177" spans="1:9" x14ac:dyDescent="0.25">
      <c r="A177" s="49">
        <f>'A) Base RI'!A179</f>
        <v>5693</v>
      </c>
      <c r="B177" s="32" t="str">
        <f>'A) Base RI'!B179</f>
        <v>Montanaire</v>
      </c>
      <c r="C177" s="95">
        <f>'A) Base RI'!V179</f>
        <v>2685</v>
      </c>
      <c r="D177" s="110">
        <f>'D) Ecrêtage'!E177</f>
        <v>25.769024334036875</v>
      </c>
      <c r="E177" s="34">
        <f t="shared" si="11"/>
        <v>19.056319345282798</v>
      </c>
      <c r="F177" s="279">
        <f t="shared" si="12"/>
        <v>994671.26707411918</v>
      </c>
      <c r="G177" s="33">
        <f>+'A) Base RI'!U179</f>
        <v>72</v>
      </c>
      <c r="H177" s="280">
        <f t="shared" si="13"/>
        <v>1.0603791068217956</v>
      </c>
      <c r="I177" s="55">
        <f t="shared" si="14"/>
        <v>1054728.6297613583</v>
      </c>
    </row>
    <row r="178" spans="1:9" x14ac:dyDescent="0.25">
      <c r="A178" s="49">
        <f>'A) Base RI'!A180</f>
        <v>5701</v>
      </c>
      <c r="B178" s="32" t="str">
        <f>'A) Base RI'!B180</f>
        <v>Arnex-sur-Nyon</v>
      </c>
      <c r="C178" s="95">
        <f>'A) Base RI'!V180</f>
        <v>235</v>
      </c>
      <c r="D178" s="110">
        <f>'D) Ecrêtage'!E178</f>
        <v>57.421921821375513</v>
      </c>
      <c r="E178" s="34">
        <f t="shared" si="11"/>
        <v>0</v>
      </c>
      <c r="F178" s="279">
        <f t="shared" si="12"/>
        <v>0</v>
      </c>
      <c r="G178" s="33">
        <f>+'A) Base RI'!U180</f>
        <v>70</v>
      </c>
      <c r="H178" s="280">
        <f t="shared" si="13"/>
        <v>1.0309241316323012</v>
      </c>
      <c r="I178" s="55">
        <f t="shared" si="14"/>
        <v>0</v>
      </c>
    </row>
    <row r="179" spans="1:9" x14ac:dyDescent="0.25">
      <c r="A179" s="49">
        <f>'A) Base RI'!A181</f>
        <v>5702</v>
      </c>
      <c r="B179" s="32" t="str">
        <f>'A) Base RI'!B181</f>
        <v>Arzier-Le Muids</v>
      </c>
      <c r="C179" s="95">
        <f>'A) Base RI'!V181</f>
        <v>2697</v>
      </c>
      <c r="D179" s="110">
        <f>'D) Ecrêtage'!E179</f>
        <v>65.327159478966252</v>
      </c>
      <c r="E179" s="34">
        <f t="shared" si="11"/>
        <v>0</v>
      </c>
      <c r="F179" s="279">
        <f t="shared" si="12"/>
        <v>0</v>
      </c>
      <c r="G179" s="33">
        <f>+'A) Base RI'!U181</f>
        <v>64</v>
      </c>
      <c r="H179" s="280">
        <f t="shared" si="13"/>
        <v>0.94255920606381827</v>
      </c>
      <c r="I179" s="55">
        <f t="shared" si="14"/>
        <v>0</v>
      </c>
    </row>
    <row r="180" spans="1:9" x14ac:dyDescent="0.25">
      <c r="A180" s="49">
        <f>'A) Base RI'!A182</f>
        <v>5703</v>
      </c>
      <c r="B180" s="32" t="str">
        <f>'A) Base RI'!B182</f>
        <v>Bassins</v>
      </c>
      <c r="C180" s="95">
        <f>'A) Base RI'!V182</f>
        <v>1347</v>
      </c>
      <c r="D180" s="110">
        <f>'D) Ecrêtage'!E180</f>
        <v>41.054668633489278</v>
      </c>
      <c r="E180" s="34">
        <f t="shared" si="11"/>
        <v>3.7706750458303944</v>
      </c>
      <c r="F180" s="279">
        <f t="shared" si="12"/>
        <v>101480.40374893615</v>
      </c>
      <c r="G180" s="33">
        <f>+'A) Base RI'!U182</f>
        <v>74</v>
      </c>
      <c r="H180" s="280">
        <f t="shared" si="13"/>
        <v>1.0898340820112897</v>
      </c>
      <c r="I180" s="55">
        <f t="shared" si="14"/>
        <v>110596.80266185687</v>
      </c>
    </row>
    <row r="181" spans="1:9" x14ac:dyDescent="0.25">
      <c r="A181" s="49">
        <f>'A) Base RI'!A183</f>
        <v>5704</v>
      </c>
      <c r="B181" s="32" t="str">
        <f>'A) Base RI'!B183</f>
        <v>Begnins</v>
      </c>
      <c r="C181" s="95">
        <f>'A) Base RI'!V183</f>
        <v>1952</v>
      </c>
      <c r="D181" s="110">
        <f>'D) Ecrêtage'!E181</f>
        <v>62.723073039967396</v>
      </c>
      <c r="E181" s="34">
        <f t="shared" si="11"/>
        <v>0</v>
      </c>
      <c r="F181" s="279">
        <f t="shared" si="12"/>
        <v>0</v>
      </c>
      <c r="G181" s="33">
        <f>+'A) Base RI'!U183</f>
        <v>64</v>
      </c>
      <c r="H181" s="280">
        <f t="shared" si="13"/>
        <v>0.94255920606381827</v>
      </c>
      <c r="I181" s="55">
        <f t="shared" si="14"/>
        <v>0</v>
      </c>
    </row>
    <row r="182" spans="1:9" x14ac:dyDescent="0.25">
      <c r="A182" s="49">
        <f>'A) Base RI'!A184</f>
        <v>5705</v>
      </c>
      <c r="B182" s="32" t="str">
        <f>'A) Base RI'!B184</f>
        <v>Bogis-Bossey</v>
      </c>
      <c r="C182" s="95">
        <f>'A) Base RI'!V184</f>
        <v>867</v>
      </c>
      <c r="D182" s="110">
        <f>'D) Ecrêtage'!E182</f>
        <v>56.9285550543932</v>
      </c>
      <c r="E182" s="34">
        <f t="shared" si="11"/>
        <v>0</v>
      </c>
      <c r="F182" s="279">
        <f t="shared" si="12"/>
        <v>0</v>
      </c>
      <c r="G182" s="33">
        <f>+'A) Base RI'!U184</f>
        <v>70</v>
      </c>
      <c r="H182" s="280">
        <f t="shared" si="13"/>
        <v>1.0309241316323012</v>
      </c>
      <c r="I182" s="55">
        <f t="shared" si="14"/>
        <v>0</v>
      </c>
    </row>
    <row r="183" spans="1:9" x14ac:dyDescent="0.25">
      <c r="A183" s="49">
        <f>'A) Base RI'!A185</f>
        <v>5706</v>
      </c>
      <c r="B183" s="32" t="str">
        <f>'A) Base RI'!B185</f>
        <v>Borex</v>
      </c>
      <c r="C183" s="95">
        <f>'A) Base RI'!V185</f>
        <v>1140</v>
      </c>
      <c r="D183" s="110">
        <f>'D) Ecrêtage'!E183</f>
        <v>62.118238733492817</v>
      </c>
      <c r="E183" s="34">
        <f t="shared" si="11"/>
        <v>0</v>
      </c>
      <c r="F183" s="279">
        <f t="shared" si="12"/>
        <v>0</v>
      </c>
      <c r="G183" s="33">
        <f>+'A) Base RI'!U185</f>
        <v>58</v>
      </c>
      <c r="H183" s="280">
        <f t="shared" si="13"/>
        <v>0.8541942804953353</v>
      </c>
      <c r="I183" s="55">
        <f t="shared" si="14"/>
        <v>0</v>
      </c>
    </row>
    <row r="184" spans="1:9" x14ac:dyDescent="0.25">
      <c r="A184" s="49">
        <f>'A) Base RI'!A186</f>
        <v>5707</v>
      </c>
      <c r="B184" s="32" t="str">
        <f>'A) Base RI'!B186</f>
        <v>Chavannes-de-Bogis</v>
      </c>
      <c r="C184" s="95">
        <f>'A) Base RI'!V186</f>
        <v>1281</v>
      </c>
      <c r="D184" s="110">
        <f>'D) Ecrêtage'!E184</f>
        <v>58.53065777200711</v>
      </c>
      <c r="E184" s="34">
        <f t="shared" si="11"/>
        <v>0</v>
      </c>
      <c r="F184" s="279">
        <f t="shared" si="12"/>
        <v>0</v>
      </c>
      <c r="G184" s="33">
        <f>+'A) Base RI'!U186</f>
        <v>59</v>
      </c>
      <c r="H184" s="280">
        <f t="shared" si="13"/>
        <v>0.86892176809008248</v>
      </c>
      <c r="I184" s="55">
        <f t="shared" si="14"/>
        <v>0</v>
      </c>
    </row>
    <row r="185" spans="1:9" x14ac:dyDescent="0.25">
      <c r="A185" s="49">
        <f>'A) Base RI'!A187</f>
        <v>5708</v>
      </c>
      <c r="B185" s="32" t="str">
        <f>'A) Base RI'!B187</f>
        <v>Chavannes-des-Bois</v>
      </c>
      <c r="C185" s="95">
        <f>'A) Base RI'!V187</f>
        <v>964</v>
      </c>
      <c r="D185" s="110">
        <f>'D) Ecrêtage'!E185</f>
        <v>59.174232699662895</v>
      </c>
      <c r="E185" s="34">
        <f t="shared" si="11"/>
        <v>0</v>
      </c>
      <c r="F185" s="279">
        <f t="shared" si="12"/>
        <v>0</v>
      </c>
      <c r="G185" s="33">
        <f>+'A) Base RI'!U187</f>
        <v>63</v>
      </c>
      <c r="H185" s="280">
        <f t="shared" si="13"/>
        <v>0.92783171846907109</v>
      </c>
      <c r="I185" s="55">
        <f t="shared" si="14"/>
        <v>0</v>
      </c>
    </row>
    <row r="186" spans="1:9" x14ac:dyDescent="0.25">
      <c r="A186" s="49">
        <f>'A) Base RI'!A188</f>
        <v>5709</v>
      </c>
      <c r="B186" s="32" t="str">
        <f>'A) Base RI'!B188</f>
        <v>Chéserex</v>
      </c>
      <c r="C186" s="95">
        <f>'A) Base RI'!V188</f>
        <v>1227</v>
      </c>
      <c r="D186" s="110">
        <f>'D) Ecrêtage'!E186</f>
        <v>86.484031620618893</v>
      </c>
      <c r="E186" s="34">
        <f t="shared" si="11"/>
        <v>0</v>
      </c>
      <c r="F186" s="279">
        <f t="shared" si="12"/>
        <v>0</v>
      </c>
      <c r="G186" s="33">
        <f>+'A) Base RI'!U188</f>
        <v>57</v>
      </c>
      <c r="H186" s="280">
        <f t="shared" si="13"/>
        <v>0.83946679290058812</v>
      </c>
      <c r="I186" s="55">
        <f t="shared" si="14"/>
        <v>0</v>
      </c>
    </row>
    <row r="187" spans="1:9" x14ac:dyDescent="0.25">
      <c r="A187" s="49">
        <f>'A) Base RI'!A189</f>
        <v>5710</v>
      </c>
      <c r="B187" s="32" t="str">
        <f>'A) Base RI'!B189</f>
        <v>Coinsins</v>
      </c>
      <c r="C187" s="95">
        <f>'A) Base RI'!V189</f>
        <v>499</v>
      </c>
      <c r="D187" s="110">
        <f>'D) Ecrêtage'!E187</f>
        <v>272.76652025950779</v>
      </c>
      <c r="E187" s="34">
        <f t="shared" si="11"/>
        <v>0</v>
      </c>
      <c r="F187" s="279">
        <f t="shared" si="12"/>
        <v>0</v>
      </c>
      <c r="G187" s="33">
        <f>+'A) Base RI'!U189</f>
        <v>51</v>
      </c>
      <c r="H187" s="280">
        <f t="shared" si="13"/>
        <v>0.75110186733210516</v>
      </c>
      <c r="I187" s="55">
        <f t="shared" si="14"/>
        <v>0</v>
      </c>
    </row>
    <row r="188" spans="1:9" x14ac:dyDescent="0.25">
      <c r="A188" s="49">
        <f>'A) Base RI'!A190</f>
        <v>5711</v>
      </c>
      <c r="B188" s="32" t="str">
        <f>'A) Base RI'!B190</f>
        <v>Commugny</v>
      </c>
      <c r="C188" s="95">
        <f>'A) Base RI'!V190</f>
        <v>2877</v>
      </c>
      <c r="D188" s="110">
        <f>'D) Ecrêtage'!E188</f>
        <v>96.527261166589952</v>
      </c>
      <c r="E188" s="34">
        <f t="shared" si="11"/>
        <v>0</v>
      </c>
      <c r="F188" s="279">
        <f t="shared" si="12"/>
        <v>0</v>
      </c>
      <c r="G188" s="33">
        <f>+'A) Base RI'!U190</f>
        <v>57</v>
      </c>
      <c r="H188" s="280">
        <f t="shared" si="13"/>
        <v>0.83946679290058812</v>
      </c>
      <c r="I188" s="55">
        <f t="shared" si="14"/>
        <v>0</v>
      </c>
    </row>
    <row r="189" spans="1:9" x14ac:dyDescent="0.25">
      <c r="A189" s="49">
        <f>'A) Base RI'!A191</f>
        <v>5712</v>
      </c>
      <c r="B189" s="32" t="str">
        <f>'A) Base RI'!B191</f>
        <v>Coppet</v>
      </c>
      <c r="C189" s="95">
        <f>'A) Base RI'!V191</f>
        <v>3126</v>
      </c>
      <c r="D189" s="110">
        <f>'D) Ecrêtage'!E189</f>
        <v>107.97654908231091</v>
      </c>
      <c r="E189" s="34">
        <f t="shared" si="11"/>
        <v>0</v>
      </c>
      <c r="F189" s="279">
        <f t="shared" si="12"/>
        <v>0</v>
      </c>
      <c r="G189" s="33">
        <f>+'A) Base RI'!U191</f>
        <v>53</v>
      </c>
      <c r="H189" s="280">
        <f t="shared" si="13"/>
        <v>0.78055684252159951</v>
      </c>
      <c r="I189" s="55">
        <f t="shared" si="14"/>
        <v>0</v>
      </c>
    </row>
    <row r="190" spans="1:9" x14ac:dyDescent="0.25">
      <c r="A190" s="49">
        <f>'A) Base RI'!A192</f>
        <v>5713</v>
      </c>
      <c r="B190" s="32" t="str">
        <f>'A) Base RI'!B192</f>
        <v>Crans-près-Céligny</v>
      </c>
      <c r="C190" s="95">
        <f>'A) Base RI'!V192</f>
        <v>2193</v>
      </c>
      <c r="D190" s="110">
        <f>'D) Ecrêtage'!E190</f>
        <v>124.55940367176825</v>
      </c>
      <c r="E190" s="34">
        <f t="shared" si="11"/>
        <v>0</v>
      </c>
      <c r="F190" s="279">
        <f t="shared" si="12"/>
        <v>0</v>
      </c>
      <c r="G190" s="33">
        <f>+'A) Base RI'!U192</f>
        <v>53</v>
      </c>
      <c r="H190" s="280">
        <f t="shared" si="13"/>
        <v>0.78055684252159951</v>
      </c>
      <c r="I190" s="55">
        <f t="shared" si="14"/>
        <v>0</v>
      </c>
    </row>
    <row r="191" spans="1:9" x14ac:dyDescent="0.25">
      <c r="A191" s="49">
        <f>'A) Base RI'!A193</f>
        <v>5714</v>
      </c>
      <c r="B191" s="32" t="str">
        <f>'A) Base RI'!B193</f>
        <v>Crassier</v>
      </c>
      <c r="C191" s="95">
        <f>'A) Base RI'!V193</f>
        <v>1175</v>
      </c>
      <c r="D191" s="110">
        <f>'D) Ecrêtage'!E191</f>
        <v>63.373742677725055</v>
      </c>
      <c r="E191" s="34">
        <f t="shared" si="11"/>
        <v>0</v>
      </c>
      <c r="F191" s="279">
        <f t="shared" si="12"/>
        <v>0</v>
      </c>
      <c r="G191" s="33">
        <f>+'A) Base RI'!U193</f>
        <v>64</v>
      </c>
      <c r="H191" s="280">
        <f t="shared" si="13"/>
        <v>0.94255920606381827</v>
      </c>
      <c r="I191" s="55">
        <f t="shared" si="14"/>
        <v>0</v>
      </c>
    </row>
    <row r="192" spans="1:9" x14ac:dyDescent="0.25">
      <c r="A192" s="49">
        <f>'A) Base RI'!A194</f>
        <v>5715</v>
      </c>
      <c r="B192" s="32" t="str">
        <f>'A) Base RI'!B194</f>
        <v>Duillier</v>
      </c>
      <c r="C192" s="95">
        <f>'A) Base RI'!V194</f>
        <v>1085</v>
      </c>
      <c r="D192" s="110">
        <f>'D) Ecrêtage'!E192</f>
        <v>71.480726087236093</v>
      </c>
      <c r="E192" s="34">
        <f t="shared" si="11"/>
        <v>0</v>
      </c>
      <c r="F192" s="279">
        <f t="shared" si="12"/>
        <v>0</v>
      </c>
      <c r="G192" s="33">
        <f>+'A) Base RI'!U194</f>
        <v>66</v>
      </c>
      <c r="H192" s="280">
        <f t="shared" si="13"/>
        <v>0.97201418125331251</v>
      </c>
      <c r="I192" s="55">
        <f t="shared" si="14"/>
        <v>0</v>
      </c>
    </row>
    <row r="193" spans="1:9" x14ac:dyDescent="0.25">
      <c r="A193" s="49">
        <f>'A) Base RI'!A195</f>
        <v>5716</v>
      </c>
      <c r="B193" s="32" t="str">
        <f>'A) Base RI'!B195</f>
        <v>Eysins</v>
      </c>
      <c r="C193" s="95">
        <f>'A) Base RI'!V195</f>
        <v>1618</v>
      </c>
      <c r="D193" s="110">
        <f>'D) Ecrêtage'!E193</f>
        <v>110.00115159439329</v>
      </c>
      <c r="E193" s="34">
        <f t="shared" si="11"/>
        <v>0</v>
      </c>
      <c r="F193" s="279">
        <f t="shared" si="12"/>
        <v>0</v>
      </c>
      <c r="G193" s="33">
        <f>+'A) Base RI'!U195</f>
        <v>61</v>
      </c>
      <c r="H193" s="280">
        <f t="shared" si="13"/>
        <v>0.89837674327957673</v>
      </c>
      <c r="I193" s="55">
        <f t="shared" si="14"/>
        <v>0</v>
      </c>
    </row>
    <row r="194" spans="1:9" x14ac:dyDescent="0.25">
      <c r="A194" s="49">
        <f>'A) Base RI'!A196</f>
        <v>5717</v>
      </c>
      <c r="B194" s="32" t="str">
        <f>'A) Base RI'!B196</f>
        <v>Founex</v>
      </c>
      <c r="C194" s="95">
        <f>'A) Base RI'!V196</f>
        <v>3790</v>
      </c>
      <c r="D194" s="110">
        <f>'D) Ecrêtage'!E194</f>
        <v>98.344719120607351</v>
      </c>
      <c r="E194" s="34">
        <f t="shared" si="11"/>
        <v>0</v>
      </c>
      <c r="F194" s="279">
        <f t="shared" si="12"/>
        <v>0</v>
      </c>
      <c r="G194" s="33">
        <f>+'A) Base RI'!U196</f>
        <v>57</v>
      </c>
      <c r="H194" s="280">
        <f t="shared" si="13"/>
        <v>0.83946679290058812</v>
      </c>
      <c r="I194" s="55">
        <f t="shared" si="14"/>
        <v>0</v>
      </c>
    </row>
    <row r="195" spans="1:9" x14ac:dyDescent="0.25">
      <c r="A195" s="49">
        <f>'A) Base RI'!A197</f>
        <v>5718</v>
      </c>
      <c r="B195" s="32" t="str">
        <f>'A) Base RI'!B197</f>
        <v>Genolier</v>
      </c>
      <c r="C195" s="95">
        <f>'A) Base RI'!V197</f>
        <v>1961</v>
      </c>
      <c r="D195" s="110">
        <f>'D) Ecrêtage'!E195</f>
        <v>87.030299957774375</v>
      </c>
      <c r="E195" s="34">
        <f t="shared" si="11"/>
        <v>0</v>
      </c>
      <c r="F195" s="279">
        <f t="shared" si="12"/>
        <v>0</v>
      </c>
      <c r="G195" s="33">
        <f>+'A) Base RI'!U197</f>
        <v>55</v>
      </c>
      <c r="H195" s="280">
        <f t="shared" si="13"/>
        <v>0.81001181771109376</v>
      </c>
      <c r="I195" s="55">
        <f t="shared" si="14"/>
        <v>0</v>
      </c>
    </row>
    <row r="196" spans="1:9" x14ac:dyDescent="0.25">
      <c r="A196" s="49">
        <f>'A) Base RI'!A198</f>
        <v>5719</v>
      </c>
      <c r="B196" s="32" t="str">
        <f>'A) Base RI'!B198</f>
        <v>Gingins</v>
      </c>
      <c r="C196" s="95">
        <f>'A) Base RI'!V198</f>
        <v>1226</v>
      </c>
      <c r="D196" s="110">
        <f>'D) Ecrêtage'!E196</f>
        <v>90.135116787082055</v>
      </c>
      <c r="E196" s="34">
        <f t="shared" si="11"/>
        <v>0</v>
      </c>
      <c r="F196" s="279">
        <f t="shared" si="12"/>
        <v>0</v>
      </c>
      <c r="G196" s="33">
        <f>+'A) Base RI'!U198</f>
        <v>57</v>
      </c>
      <c r="H196" s="280">
        <f t="shared" si="13"/>
        <v>0.83946679290058812</v>
      </c>
      <c r="I196" s="55">
        <f t="shared" si="14"/>
        <v>0</v>
      </c>
    </row>
    <row r="197" spans="1:9" x14ac:dyDescent="0.25">
      <c r="A197" s="49">
        <f>'A) Base RI'!A199</f>
        <v>5720</v>
      </c>
      <c r="B197" s="32" t="str">
        <f>'A) Base RI'!B199</f>
        <v>Givrins</v>
      </c>
      <c r="C197" s="95">
        <f>'A) Base RI'!V199</f>
        <v>1033</v>
      </c>
      <c r="D197" s="110">
        <f>'D) Ecrêtage'!E197</f>
        <v>64.840542467527271</v>
      </c>
      <c r="E197" s="34">
        <f t="shared" si="11"/>
        <v>0</v>
      </c>
      <c r="F197" s="279">
        <f t="shared" si="12"/>
        <v>0</v>
      </c>
      <c r="G197" s="33">
        <f>+'A) Base RI'!U199</f>
        <v>67</v>
      </c>
      <c r="H197" s="280">
        <f t="shared" si="13"/>
        <v>0.98674166884805969</v>
      </c>
      <c r="I197" s="55">
        <f t="shared" si="14"/>
        <v>0</v>
      </c>
    </row>
    <row r="198" spans="1:9" x14ac:dyDescent="0.25">
      <c r="A198" s="49">
        <f>'A) Base RI'!A200</f>
        <v>5721</v>
      </c>
      <c r="B198" s="32" t="str">
        <f>'A) Base RI'!B200</f>
        <v>Gland</v>
      </c>
      <c r="C198" s="95">
        <f>'A) Base RI'!V200</f>
        <v>13101</v>
      </c>
      <c r="D198" s="110">
        <f>'D) Ecrêtage'!E198</f>
        <v>48.555103935462292</v>
      </c>
      <c r="E198" s="34">
        <f t="shared" ref="E198:E261" si="15">IF($D$314-D198&lt;0,0,$D$314-D198)</f>
        <v>0</v>
      </c>
      <c r="F198" s="279">
        <f t="shared" ref="F198:F261" si="16">(C198*E198*G198)*$E$4</f>
        <v>0</v>
      </c>
      <c r="G198" s="33">
        <f>+'A) Base RI'!U200</f>
        <v>62.5</v>
      </c>
      <c r="H198" s="280">
        <f t="shared" ref="H198:H261" si="17">G198/$G$314</f>
        <v>0.9204679746716975</v>
      </c>
      <c r="I198" s="55">
        <f t="shared" ref="I198:I261" si="18">F198*H198</f>
        <v>0</v>
      </c>
    </row>
    <row r="199" spans="1:9" x14ac:dyDescent="0.25">
      <c r="A199" s="49">
        <f>'A) Base RI'!A201</f>
        <v>5722</v>
      </c>
      <c r="B199" s="32" t="str">
        <f>'A) Base RI'!B201</f>
        <v>Grens</v>
      </c>
      <c r="C199" s="95">
        <f>'A) Base RI'!V201</f>
        <v>391</v>
      </c>
      <c r="D199" s="110">
        <f>'D) Ecrêtage'!E199</f>
        <v>56.424255864212064</v>
      </c>
      <c r="E199" s="34">
        <f t="shared" si="15"/>
        <v>0</v>
      </c>
      <c r="F199" s="279">
        <f t="shared" si="16"/>
        <v>0</v>
      </c>
      <c r="G199" s="33">
        <f>+'A) Base RI'!U201</f>
        <v>62</v>
      </c>
      <c r="H199" s="280">
        <f t="shared" si="17"/>
        <v>0.91310423087432391</v>
      </c>
      <c r="I199" s="55">
        <f t="shared" si="18"/>
        <v>0</v>
      </c>
    </row>
    <row r="200" spans="1:9" x14ac:dyDescent="0.25">
      <c r="A200" s="49">
        <f>'A) Base RI'!A202</f>
        <v>5723</v>
      </c>
      <c r="B200" s="32" t="str">
        <f>'A) Base RI'!B202</f>
        <v>Mies</v>
      </c>
      <c r="C200" s="95">
        <f>'A) Base RI'!V202</f>
        <v>2075</v>
      </c>
      <c r="D200" s="110">
        <f>'D) Ecrêtage'!E200</f>
        <v>245.18226281076582</v>
      </c>
      <c r="E200" s="34">
        <f t="shared" si="15"/>
        <v>0</v>
      </c>
      <c r="F200" s="279">
        <f t="shared" si="16"/>
        <v>0</v>
      </c>
      <c r="G200" s="33">
        <f>+'A) Base RI'!U202</f>
        <v>49</v>
      </c>
      <c r="H200" s="280">
        <f t="shared" si="17"/>
        <v>0.7216468921426108</v>
      </c>
      <c r="I200" s="55">
        <f t="shared" si="18"/>
        <v>0</v>
      </c>
    </row>
    <row r="201" spans="1:9" x14ac:dyDescent="0.25">
      <c r="A201" s="49">
        <f>'A) Base RI'!A203</f>
        <v>5724</v>
      </c>
      <c r="B201" s="32" t="str">
        <f>'A) Base RI'!B203</f>
        <v>Nyon</v>
      </c>
      <c r="C201" s="95">
        <f>'A) Base RI'!V203</f>
        <v>21239</v>
      </c>
      <c r="D201" s="110">
        <f>'D) Ecrêtage'!E201</f>
        <v>60.485378246396792</v>
      </c>
      <c r="E201" s="34">
        <f t="shared" si="15"/>
        <v>0</v>
      </c>
      <c r="F201" s="279">
        <f t="shared" si="16"/>
        <v>0</v>
      </c>
      <c r="G201" s="33">
        <f>+'A) Base RI'!U203</f>
        <v>61</v>
      </c>
      <c r="H201" s="280">
        <f t="shared" si="17"/>
        <v>0.89837674327957673</v>
      </c>
      <c r="I201" s="55">
        <f t="shared" si="18"/>
        <v>0</v>
      </c>
    </row>
    <row r="202" spans="1:9" x14ac:dyDescent="0.25">
      <c r="A202" s="49">
        <f>'A) Base RI'!A204</f>
        <v>5725</v>
      </c>
      <c r="B202" s="32" t="str">
        <f>'A) Base RI'!B204</f>
        <v>Prangins</v>
      </c>
      <c r="C202" s="95">
        <f>'A) Base RI'!V204</f>
        <v>4040</v>
      </c>
      <c r="D202" s="110">
        <f>'D) Ecrêtage'!E202</f>
        <v>82.03579978971527</v>
      </c>
      <c r="E202" s="34">
        <f t="shared" si="15"/>
        <v>0</v>
      </c>
      <c r="F202" s="279">
        <f t="shared" si="16"/>
        <v>0</v>
      </c>
      <c r="G202" s="33">
        <f>+'A) Base RI'!U204</f>
        <v>56</v>
      </c>
      <c r="H202" s="280">
        <f t="shared" si="17"/>
        <v>0.82473930530584094</v>
      </c>
      <c r="I202" s="55">
        <f t="shared" si="18"/>
        <v>0</v>
      </c>
    </row>
    <row r="203" spans="1:9" x14ac:dyDescent="0.25">
      <c r="A203" s="49">
        <f>'A) Base RI'!A205</f>
        <v>5726</v>
      </c>
      <c r="B203" s="32" t="str">
        <f>'A) Base RI'!B205</f>
        <v>La Rippe</v>
      </c>
      <c r="C203" s="95">
        <f>'A) Base RI'!V205</f>
        <v>1161</v>
      </c>
      <c r="D203" s="110">
        <f>'D) Ecrêtage'!E203</f>
        <v>51.486351462046713</v>
      </c>
      <c r="E203" s="34">
        <f t="shared" si="15"/>
        <v>0</v>
      </c>
      <c r="F203" s="279">
        <f t="shared" si="16"/>
        <v>0</v>
      </c>
      <c r="G203" s="33">
        <f>+'A) Base RI'!U205</f>
        <v>65</v>
      </c>
      <c r="H203" s="280">
        <f t="shared" si="17"/>
        <v>0.95728669365856545</v>
      </c>
      <c r="I203" s="55">
        <f t="shared" si="18"/>
        <v>0</v>
      </c>
    </row>
    <row r="204" spans="1:9" x14ac:dyDescent="0.25">
      <c r="A204" s="49">
        <f>'A) Base RI'!A206</f>
        <v>5727</v>
      </c>
      <c r="B204" s="32" t="str">
        <f>'A) Base RI'!B206</f>
        <v>Saint-Cergue</v>
      </c>
      <c r="C204" s="95">
        <f>'A) Base RI'!V206</f>
        <v>2583</v>
      </c>
      <c r="D204" s="110">
        <f>'D) Ecrêtage'!E204</f>
        <v>32.844605831164479</v>
      </c>
      <c r="E204" s="34">
        <f t="shared" si="15"/>
        <v>11.980737848155194</v>
      </c>
      <c r="F204" s="279">
        <f t="shared" si="16"/>
        <v>551462.10125700629</v>
      </c>
      <c r="G204" s="33">
        <f>+'A) Base RI'!U206</f>
        <v>66</v>
      </c>
      <c r="H204" s="280">
        <f t="shared" si="17"/>
        <v>0.97201418125331251</v>
      </c>
      <c r="I204" s="55">
        <f t="shared" si="18"/>
        <v>536028.9828455603</v>
      </c>
    </row>
    <row r="205" spans="1:9" x14ac:dyDescent="0.25">
      <c r="A205" s="49">
        <f>'A) Base RI'!A207</f>
        <v>5728</v>
      </c>
      <c r="B205" s="32" t="str">
        <f>'A) Base RI'!B207</f>
        <v>Signy-Avenex</v>
      </c>
      <c r="C205" s="95">
        <f>'A) Base RI'!V207</f>
        <v>592</v>
      </c>
      <c r="D205" s="110">
        <f>'D) Ecrêtage'!E205</f>
        <v>73.719813944533641</v>
      </c>
      <c r="E205" s="34">
        <f t="shared" si="15"/>
        <v>0</v>
      </c>
      <c r="F205" s="279">
        <f t="shared" si="16"/>
        <v>0</v>
      </c>
      <c r="G205" s="33">
        <f>+'A) Base RI'!U207</f>
        <v>58</v>
      </c>
      <c r="H205" s="280">
        <f t="shared" si="17"/>
        <v>0.8541942804953353</v>
      </c>
      <c r="I205" s="55">
        <f t="shared" si="18"/>
        <v>0</v>
      </c>
    </row>
    <row r="206" spans="1:9" x14ac:dyDescent="0.25">
      <c r="A206" s="49">
        <f>'A) Base RI'!A208</f>
        <v>5729</v>
      </c>
      <c r="B206" s="32" t="str">
        <f>'A) Base RI'!B208</f>
        <v>Tannay</v>
      </c>
      <c r="C206" s="95">
        <f>'A) Base RI'!V208</f>
        <v>1593</v>
      </c>
      <c r="D206" s="110">
        <f>'D) Ecrêtage'!E206</f>
        <v>88.379733453024969</v>
      </c>
      <c r="E206" s="34">
        <f t="shared" si="15"/>
        <v>0</v>
      </c>
      <c r="F206" s="279">
        <f t="shared" si="16"/>
        <v>0</v>
      </c>
      <c r="G206" s="33">
        <f>+'A) Base RI'!U208</f>
        <v>61</v>
      </c>
      <c r="H206" s="280">
        <f t="shared" si="17"/>
        <v>0.89837674327957673</v>
      </c>
      <c r="I206" s="55">
        <f t="shared" si="18"/>
        <v>0</v>
      </c>
    </row>
    <row r="207" spans="1:9" x14ac:dyDescent="0.25">
      <c r="A207" s="49">
        <f>'A) Base RI'!A209</f>
        <v>5730</v>
      </c>
      <c r="B207" s="32" t="str">
        <f>'A) Base RI'!B209</f>
        <v>Trélex</v>
      </c>
      <c r="C207" s="95">
        <f>'A) Base RI'!V209</f>
        <v>1408</v>
      </c>
      <c r="D207" s="110">
        <f>'D) Ecrêtage'!E207</f>
        <v>113.19968472365281</v>
      </c>
      <c r="E207" s="34">
        <f t="shared" si="15"/>
        <v>0</v>
      </c>
      <c r="F207" s="279">
        <f t="shared" si="16"/>
        <v>0</v>
      </c>
      <c r="G207" s="33">
        <f>+'A) Base RI'!U209</f>
        <v>57</v>
      </c>
      <c r="H207" s="280">
        <f t="shared" si="17"/>
        <v>0.83946679290058812</v>
      </c>
      <c r="I207" s="55">
        <f t="shared" si="18"/>
        <v>0</v>
      </c>
    </row>
    <row r="208" spans="1:9" x14ac:dyDescent="0.25">
      <c r="A208" s="49">
        <f>'A) Base RI'!A210</f>
        <v>5731</v>
      </c>
      <c r="B208" s="32" t="str">
        <f>'A) Base RI'!B210</f>
        <v>Le Vaud</v>
      </c>
      <c r="C208" s="95">
        <f>'A) Base RI'!V210</f>
        <v>1319</v>
      </c>
      <c r="D208" s="110">
        <f>'D) Ecrêtage'!E208</f>
        <v>40.020534265824772</v>
      </c>
      <c r="E208" s="34">
        <f t="shared" si="15"/>
        <v>4.8048094134949011</v>
      </c>
      <c r="F208" s="279">
        <f t="shared" si="16"/>
        <v>128335.25823209544</v>
      </c>
      <c r="G208" s="33">
        <f>+'A) Base RI'!U210</f>
        <v>75</v>
      </c>
      <c r="H208" s="280">
        <f t="shared" si="17"/>
        <v>1.1045615696060369</v>
      </c>
      <c r="I208" s="55">
        <f t="shared" si="18"/>
        <v>141754.1942686394</v>
      </c>
    </row>
    <row r="209" spans="1:9" x14ac:dyDescent="0.25">
      <c r="A209" s="49">
        <f>'A) Base RI'!A211</f>
        <v>5732</v>
      </c>
      <c r="B209" s="32" t="str">
        <f>'A) Base RI'!B211</f>
        <v>Vich</v>
      </c>
      <c r="C209" s="95">
        <f>'A) Base RI'!V211</f>
        <v>1039</v>
      </c>
      <c r="D209" s="110">
        <f>'D) Ecrêtage'!E209</f>
        <v>61.288893064684082</v>
      </c>
      <c r="E209" s="34">
        <f t="shared" si="15"/>
        <v>0</v>
      </c>
      <c r="F209" s="279">
        <f t="shared" si="16"/>
        <v>0</v>
      </c>
      <c r="G209" s="33">
        <f>+'A) Base RI'!U211</f>
        <v>67</v>
      </c>
      <c r="H209" s="280">
        <f t="shared" si="17"/>
        <v>0.98674166884805969</v>
      </c>
      <c r="I209" s="55">
        <f t="shared" si="18"/>
        <v>0</v>
      </c>
    </row>
    <row r="210" spans="1:9" x14ac:dyDescent="0.25">
      <c r="A210" s="49">
        <f>'A) Base RI'!A212</f>
        <v>5741</v>
      </c>
      <c r="B210" s="32" t="str">
        <f>'A) Base RI'!B212</f>
        <v>L'Abergement</v>
      </c>
      <c r="C210" s="95">
        <f>'A) Base RI'!V212</f>
        <v>248</v>
      </c>
      <c r="D210" s="110">
        <f>'D) Ecrêtage'!E210</f>
        <v>29.910723692446059</v>
      </c>
      <c r="E210" s="34">
        <f t="shared" si="15"/>
        <v>14.914619986873614</v>
      </c>
      <c r="F210" s="279">
        <f t="shared" si="16"/>
        <v>80893.319300005634</v>
      </c>
      <c r="G210" s="33">
        <f>+'A) Base RI'!U212</f>
        <v>81</v>
      </c>
      <c r="H210" s="280">
        <f t="shared" si="17"/>
        <v>1.19292649517452</v>
      </c>
      <c r="I210" s="55">
        <f t="shared" si="18"/>
        <v>96499.78387558907</v>
      </c>
    </row>
    <row r="211" spans="1:9" x14ac:dyDescent="0.25">
      <c r="A211" s="49">
        <f>'A) Base RI'!A213</f>
        <v>5742</v>
      </c>
      <c r="B211" s="32" t="str">
        <f>'A) Base RI'!B213</f>
        <v>Agiez</v>
      </c>
      <c r="C211" s="95">
        <f>'A) Base RI'!V213</f>
        <v>327</v>
      </c>
      <c r="D211" s="110">
        <f>'D) Ecrêtage'!E211</f>
        <v>27.658193751220768</v>
      </c>
      <c r="E211" s="34">
        <f t="shared" si="15"/>
        <v>17.167149928098905</v>
      </c>
      <c r="F211" s="279">
        <f t="shared" si="16"/>
        <v>115192.26270354078</v>
      </c>
      <c r="G211" s="33">
        <f>+'A) Base RI'!U213</f>
        <v>76</v>
      </c>
      <c r="H211" s="280">
        <f t="shared" si="17"/>
        <v>1.1192890572007841</v>
      </c>
      <c r="I211" s="55">
        <f t="shared" si="18"/>
        <v>128933.4391182712</v>
      </c>
    </row>
    <row r="212" spans="1:9" x14ac:dyDescent="0.25">
      <c r="A212" s="49">
        <f>'A) Base RI'!A214</f>
        <v>5743</v>
      </c>
      <c r="B212" s="32" t="str">
        <f>'A) Base RI'!B214</f>
        <v>Arnex-sur-Orbe</v>
      </c>
      <c r="C212" s="95">
        <f>'A) Base RI'!V214</f>
        <v>631</v>
      </c>
      <c r="D212" s="110">
        <f>'D) Ecrêtage'!E212</f>
        <v>29.12848550575351</v>
      </c>
      <c r="E212" s="34">
        <f t="shared" si="15"/>
        <v>15.696858173566163</v>
      </c>
      <c r="F212" s="279">
        <f t="shared" si="16"/>
        <v>195221.98207322412</v>
      </c>
      <c r="G212" s="33">
        <f>+'A) Base RI'!U214</f>
        <v>73</v>
      </c>
      <c r="H212" s="280">
        <f t="shared" si="17"/>
        <v>1.0751065944165428</v>
      </c>
      <c r="I212" s="55">
        <f t="shared" si="18"/>
        <v>209884.44030199136</v>
      </c>
    </row>
    <row r="213" spans="1:9" x14ac:dyDescent="0.25">
      <c r="A213" s="49">
        <f>'A) Base RI'!A215</f>
        <v>5744</v>
      </c>
      <c r="B213" s="32" t="str">
        <f>'A) Base RI'!B215</f>
        <v>Ballaigues</v>
      </c>
      <c r="C213" s="95">
        <f>'A) Base RI'!V215</f>
        <v>1075</v>
      </c>
      <c r="D213" s="110">
        <f>'D) Ecrêtage'!E213</f>
        <v>34.106581396206799</v>
      </c>
      <c r="E213" s="34">
        <f t="shared" si="15"/>
        <v>10.718762283112873</v>
      </c>
      <c r="F213" s="279">
        <f t="shared" si="16"/>
        <v>205333.96967645176</v>
      </c>
      <c r="G213" s="33">
        <f>+'A) Base RI'!U215</f>
        <v>66</v>
      </c>
      <c r="H213" s="280">
        <f t="shared" si="17"/>
        <v>0.97201418125331251</v>
      </c>
      <c r="I213" s="55">
        <f t="shared" si="18"/>
        <v>199587.53041854876</v>
      </c>
    </row>
    <row r="214" spans="1:9" x14ac:dyDescent="0.25">
      <c r="A214" s="49">
        <f>'A) Base RI'!A216</f>
        <v>5745</v>
      </c>
      <c r="B214" s="32" t="str">
        <f>'A) Base RI'!B216</f>
        <v>Baulmes</v>
      </c>
      <c r="C214" s="95">
        <f>'A) Base RI'!V216</f>
        <v>1027</v>
      </c>
      <c r="D214" s="110">
        <f>'D) Ecrêtage'!E214</f>
        <v>25.767204823684288</v>
      </c>
      <c r="E214" s="34">
        <f t="shared" si="15"/>
        <v>19.058138855635384</v>
      </c>
      <c r="F214" s="279">
        <f t="shared" si="16"/>
        <v>412201.24321577261</v>
      </c>
      <c r="G214" s="33">
        <f>+'A) Base RI'!U216</f>
        <v>78</v>
      </c>
      <c r="H214" s="280">
        <f t="shared" si="17"/>
        <v>1.1487440323902784</v>
      </c>
      <c r="I214" s="55">
        <f t="shared" si="18"/>
        <v>473513.71828797256</v>
      </c>
    </row>
    <row r="215" spans="1:9" x14ac:dyDescent="0.25">
      <c r="A215" s="49">
        <f>'A) Base RI'!A217</f>
        <v>5746</v>
      </c>
      <c r="B215" s="32" t="str">
        <f>'A) Base RI'!B217</f>
        <v>Bavois</v>
      </c>
      <c r="C215" s="95">
        <f>'A) Base RI'!V217</f>
        <v>942</v>
      </c>
      <c r="D215" s="110">
        <f>'D) Ecrêtage'!E215</f>
        <v>28.188920231980394</v>
      </c>
      <c r="E215" s="34">
        <f t="shared" si="15"/>
        <v>16.636423447339279</v>
      </c>
      <c r="F215" s="279">
        <f t="shared" si="16"/>
        <v>308885.47959052789</v>
      </c>
      <c r="G215" s="33">
        <f>+'A) Base RI'!U217</f>
        <v>73</v>
      </c>
      <c r="H215" s="280">
        <f t="shared" si="17"/>
        <v>1.0751065944165428</v>
      </c>
      <c r="I215" s="55">
        <f t="shared" si="18"/>
        <v>332084.81602729298</v>
      </c>
    </row>
    <row r="216" spans="1:9" x14ac:dyDescent="0.25">
      <c r="A216" s="49">
        <f>'A) Base RI'!A218</f>
        <v>5747</v>
      </c>
      <c r="B216" s="32" t="str">
        <f>'A) Base RI'!B218</f>
        <v>Bofflens</v>
      </c>
      <c r="C216" s="95">
        <f>'A) Base RI'!V218</f>
        <v>196</v>
      </c>
      <c r="D216" s="110">
        <f>'D) Ecrêtage'!E216</f>
        <v>25.387420129173798</v>
      </c>
      <c r="E216" s="34">
        <f t="shared" si="15"/>
        <v>19.437923550145875</v>
      </c>
      <c r="F216" s="279">
        <f t="shared" si="16"/>
        <v>70977.189084886661</v>
      </c>
      <c r="G216" s="33">
        <f>+'A) Base RI'!U218</f>
        <v>69</v>
      </c>
      <c r="H216" s="280">
        <f t="shared" si="17"/>
        <v>1.0161966440375541</v>
      </c>
      <c r="I216" s="55">
        <f t="shared" si="18"/>
        <v>72126.781351280733</v>
      </c>
    </row>
    <row r="217" spans="1:9" x14ac:dyDescent="0.25">
      <c r="A217" s="49">
        <f>'A) Base RI'!A219</f>
        <v>5748</v>
      </c>
      <c r="B217" s="32" t="str">
        <f>'A) Base RI'!B219</f>
        <v>Bretonnières</v>
      </c>
      <c r="C217" s="95">
        <f>'A) Base RI'!V219</f>
        <v>265</v>
      </c>
      <c r="D217" s="110">
        <f>'D) Ecrêtage'!E217</f>
        <v>20.935350075555423</v>
      </c>
      <c r="E217" s="34">
        <f t="shared" si="15"/>
        <v>23.88999360376425</v>
      </c>
      <c r="F217" s="279">
        <f t="shared" si="16"/>
        <v>123071.69104915192</v>
      </c>
      <c r="G217" s="33">
        <f>+'A) Base RI'!U219</f>
        <v>72</v>
      </c>
      <c r="H217" s="280">
        <f t="shared" si="17"/>
        <v>1.0603791068217956</v>
      </c>
      <c r="I217" s="55">
        <f t="shared" si="18"/>
        <v>130502.64982974769</v>
      </c>
    </row>
    <row r="218" spans="1:9" x14ac:dyDescent="0.25">
      <c r="A218" s="49">
        <f>'A) Base RI'!A220</f>
        <v>5749</v>
      </c>
      <c r="B218" s="32" t="str">
        <f>'A) Base RI'!B220</f>
        <v>Chavornay</v>
      </c>
      <c r="C218" s="95">
        <f>'A) Base RI'!V220</f>
        <v>4996</v>
      </c>
      <c r="D218" s="110">
        <f>'D) Ecrêtage'!E218</f>
        <v>27.36446057558021</v>
      </c>
      <c r="E218" s="34">
        <f t="shared" si="15"/>
        <v>17.460883103739462</v>
      </c>
      <c r="F218" s="279">
        <f t="shared" si="16"/>
        <v>1695840.0794133293</v>
      </c>
      <c r="G218" s="33">
        <f>+'A) Base RI'!U220</f>
        <v>72</v>
      </c>
      <c r="H218" s="280">
        <f t="shared" si="17"/>
        <v>1.0603791068217956</v>
      </c>
      <c r="I218" s="55">
        <f t="shared" si="18"/>
        <v>1798233.3887209089</v>
      </c>
    </row>
    <row r="219" spans="1:9" x14ac:dyDescent="0.25">
      <c r="A219" s="49">
        <f>'A) Base RI'!A221</f>
        <v>5750</v>
      </c>
      <c r="B219" s="32" t="str">
        <f>'A) Base RI'!B221</f>
        <v>Les Clées</v>
      </c>
      <c r="C219" s="95">
        <f>'A) Base RI'!V221</f>
        <v>185</v>
      </c>
      <c r="D219" s="110">
        <f>'D) Ecrêtage'!E219</f>
        <v>27.899257988128319</v>
      </c>
      <c r="E219" s="34">
        <f t="shared" si="15"/>
        <v>16.926085691191354</v>
      </c>
      <c r="F219" s="279">
        <f t="shared" si="16"/>
        <v>67636.638422000658</v>
      </c>
      <c r="G219" s="33">
        <f>+'A) Base RI'!U221</f>
        <v>80</v>
      </c>
      <c r="H219" s="280">
        <f t="shared" si="17"/>
        <v>1.1781990075797728</v>
      </c>
      <c r="I219" s="55">
        <f t="shared" si="18"/>
        <v>79689.420264833112</v>
      </c>
    </row>
    <row r="220" spans="1:9" x14ac:dyDescent="0.25">
      <c r="A220" s="49">
        <f>'A) Base RI'!A222</f>
        <v>5752</v>
      </c>
      <c r="B220" s="32" t="str">
        <f>'A) Base RI'!B222</f>
        <v>Croy</v>
      </c>
      <c r="C220" s="95">
        <f>'A) Base RI'!V222</f>
        <v>404</v>
      </c>
      <c r="D220" s="110">
        <f>'D) Ecrêtage'!E220</f>
        <v>26.626629787345692</v>
      </c>
      <c r="E220" s="34">
        <f t="shared" si="15"/>
        <v>18.198713891973981</v>
      </c>
      <c r="F220" s="279">
        <f t="shared" si="16"/>
        <v>146898.5626389026</v>
      </c>
      <c r="G220" s="33">
        <f>+'A) Base RI'!U222</f>
        <v>74</v>
      </c>
      <c r="H220" s="280">
        <f t="shared" si="17"/>
        <v>1.0898340820112897</v>
      </c>
      <c r="I220" s="55">
        <f t="shared" si="18"/>
        <v>160095.06016234634</v>
      </c>
    </row>
    <row r="221" spans="1:9" x14ac:dyDescent="0.25">
      <c r="A221" s="49">
        <f>'A) Base RI'!A223</f>
        <v>5754</v>
      </c>
      <c r="B221" s="32" t="str">
        <f>'A) Base RI'!B223</f>
        <v>Juriens</v>
      </c>
      <c r="C221" s="95">
        <f>'A) Base RI'!V223</f>
        <v>308</v>
      </c>
      <c r="D221" s="110">
        <f>'D) Ecrêtage'!E221</f>
        <v>26.115898369071761</v>
      </c>
      <c r="E221" s="34">
        <f t="shared" si="15"/>
        <v>18.709445310247911</v>
      </c>
      <c r="F221" s="279">
        <f t="shared" si="16"/>
        <v>122914.3202880171</v>
      </c>
      <c r="G221" s="33">
        <f>+'A) Base RI'!U223</f>
        <v>79</v>
      </c>
      <c r="H221" s="280">
        <f t="shared" si="17"/>
        <v>1.1634715199850256</v>
      </c>
      <c r="I221" s="55">
        <f t="shared" si="18"/>
        <v>143007.31105342554</v>
      </c>
    </row>
    <row r="222" spans="1:9" x14ac:dyDescent="0.25">
      <c r="A222" s="49">
        <f>'A) Base RI'!A224</f>
        <v>5755</v>
      </c>
      <c r="B222" s="32" t="str">
        <f>'A) Base RI'!B224</f>
        <v>Lignerolle</v>
      </c>
      <c r="C222" s="95">
        <f>'A) Base RI'!V224</f>
        <v>422</v>
      </c>
      <c r="D222" s="110">
        <f>'D) Ecrêtage'!E222</f>
        <v>22.547809005330599</v>
      </c>
      <c r="E222" s="34">
        <f t="shared" si="15"/>
        <v>22.277534673989074</v>
      </c>
      <c r="F222" s="279">
        <f t="shared" si="16"/>
        <v>203064.18406034523</v>
      </c>
      <c r="G222" s="33">
        <f>+'A) Base RI'!U224</f>
        <v>80</v>
      </c>
      <c r="H222" s="280">
        <f t="shared" si="17"/>
        <v>1.1781990075797728</v>
      </c>
      <c r="I222" s="55">
        <f t="shared" si="18"/>
        <v>239250.02013489508</v>
      </c>
    </row>
    <row r="223" spans="1:9" x14ac:dyDescent="0.25">
      <c r="A223" s="49">
        <f>'A) Base RI'!A225</f>
        <v>5756</v>
      </c>
      <c r="B223" s="32" t="str">
        <f>'A) Base RI'!B225</f>
        <v>Montcherand</v>
      </c>
      <c r="C223" s="95">
        <f>'A) Base RI'!V225</f>
        <v>489</v>
      </c>
      <c r="D223" s="110">
        <f>'D) Ecrêtage'!E223</f>
        <v>33.679009190441079</v>
      </c>
      <c r="E223" s="34">
        <f t="shared" si="15"/>
        <v>11.146334488878594</v>
      </c>
      <c r="F223" s="279">
        <f t="shared" si="16"/>
        <v>105958.83906479814</v>
      </c>
      <c r="G223" s="33">
        <f>+'A) Base RI'!U225</f>
        <v>72</v>
      </c>
      <c r="H223" s="280">
        <f t="shared" si="17"/>
        <v>1.0603791068217956</v>
      </c>
      <c r="I223" s="55">
        <f t="shared" si="18"/>
        <v>112356.53912740503</v>
      </c>
    </row>
    <row r="224" spans="1:9" x14ac:dyDescent="0.25">
      <c r="A224" s="49">
        <f>'A) Base RI'!A226</f>
        <v>5757</v>
      </c>
      <c r="B224" s="32" t="str">
        <f>'A) Base RI'!B226</f>
        <v>Orbe</v>
      </c>
      <c r="C224" s="95">
        <f>'A) Base RI'!V226</f>
        <v>6942</v>
      </c>
      <c r="D224" s="110">
        <f>'D) Ecrêtage'!E224</f>
        <v>29.509056069690502</v>
      </c>
      <c r="E224" s="34">
        <f t="shared" si="15"/>
        <v>15.316287609629171</v>
      </c>
      <c r="F224" s="279">
        <f t="shared" si="16"/>
        <v>2210510.6499038902</v>
      </c>
      <c r="G224" s="33">
        <f>+'A) Base RI'!U226</f>
        <v>77</v>
      </c>
      <c r="H224" s="280">
        <f t="shared" si="17"/>
        <v>1.1340165447955313</v>
      </c>
      <c r="I224" s="55">
        <f t="shared" si="18"/>
        <v>2506755.6494377339</v>
      </c>
    </row>
    <row r="225" spans="1:9" x14ac:dyDescent="0.25">
      <c r="A225" s="49">
        <f>'A) Base RI'!A227</f>
        <v>5758</v>
      </c>
      <c r="B225" s="32" t="str">
        <f>'A) Base RI'!B227</f>
        <v>La Praz</v>
      </c>
      <c r="C225" s="95">
        <f>'A) Base RI'!V227</f>
        <v>165</v>
      </c>
      <c r="D225" s="110">
        <f>'D) Ecrêtage'!E225</f>
        <v>26.98279558914437</v>
      </c>
      <c r="E225" s="34">
        <f t="shared" si="15"/>
        <v>17.842548090175303</v>
      </c>
      <c r="F225" s="279">
        <f t="shared" si="16"/>
        <v>65975.4979456367</v>
      </c>
      <c r="G225" s="33">
        <f>+'A) Base RI'!U227</f>
        <v>83</v>
      </c>
      <c r="H225" s="280">
        <f t="shared" si="17"/>
        <v>1.2223814703640143</v>
      </c>
      <c r="I225" s="55">
        <f t="shared" si="18"/>
        <v>80647.226186785396</v>
      </c>
    </row>
    <row r="226" spans="1:9" x14ac:dyDescent="0.25">
      <c r="A226" s="49">
        <f>'A) Base RI'!A228</f>
        <v>5759</v>
      </c>
      <c r="B226" s="32" t="str">
        <f>'A) Base RI'!B228</f>
        <v>Premier</v>
      </c>
      <c r="C226" s="95">
        <f>'A) Base RI'!V228</f>
        <v>213</v>
      </c>
      <c r="D226" s="110">
        <f>'D) Ecrêtage'!E226</f>
        <v>22.276524196137995</v>
      </c>
      <c r="E226" s="34">
        <f t="shared" si="15"/>
        <v>22.548819483181678</v>
      </c>
      <c r="F226" s="279">
        <f t="shared" si="16"/>
        <v>105039.39128670005</v>
      </c>
      <c r="G226" s="33">
        <f>+'A) Base RI'!U228</f>
        <v>81</v>
      </c>
      <c r="H226" s="280">
        <f t="shared" si="17"/>
        <v>1.19292649517452</v>
      </c>
      <c r="I226" s="55">
        <f t="shared" si="18"/>
        <v>125304.27290290809</v>
      </c>
    </row>
    <row r="227" spans="1:9" x14ac:dyDescent="0.25">
      <c r="A227" s="49">
        <f>'A) Base RI'!A229</f>
        <v>5760</v>
      </c>
      <c r="B227" s="32" t="str">
        <f>'A) Base RI'!B229</f>
        <v>Rances</v>
      </c>
      <c r="C227" s="95">
        <f>'A) Base RI'!V229</f>
        <v>482</v>
      </c>
      <c r="D227" s="110">
        <f>'D) Ecrêtage'!E227</f>
        <v>23.695517899270126</v>
      </c>
      <c r="E227" s="34">
        <f t="shared" si="15"/>
        <v>21.129825780049547</v>
      </c>
      <c r="F227" s="279">
        <f t="shared" si="16"/>
        <v>214487.17110722058</v>
      </c>
      <c r="G227" s="33">
        <f>+'A) Base RI'!U229</f>
        <v>78</v>
      </c>
      <c r="H227" s="280">
        <f t="shared" si="17"/>
        <v>1.1487440323902784</v>
      </c>
      <c r="I227" s="55">
        <f t="shared" si="18"/>
        <v>246390.85783369219</v>
      </c>
    </row>
    <row r="228" spans="1:9" x14ac:dyDescent="0.25">
      <c r="A228" s="49">
        <f>'A) Base RI'!A230</f>
        <v>5761</v>
      </c>
      <c r="B228" s="32" t="str">
        <f>'A) Base RI'!B230</f>
        <v>Romainmôtier-Envy</v>
      </c>
      <c r="C228" s="95">
        <f>'A) Base RI'!V230</f>
        <v>540</v>
      </c>
      <c r="D228" s="110">
        <f>'D) Ecrêtage'!E228</f>
        <v>26.939622472965684</v>
      </c>
      <c r="E228" s="34">
        <f t="shared" si="15"/>
        <v>17.885721206353988</v>
      </c>
      <c r="F228" s="279">
        <f t="shared" si="16"/>
        <v>211226.79030279935</v>
      </c>
      <c r="G228" s="33">
        <f>+'A) Base RI'!U230</f>
        <v>81</v>
      </c>
      <c r="H228" s="280">
        <f t="shared" si="17"/>
        <v>1.19292649517452</v>
      </c>
      <c r="I228" s="55">
        <f t="shared" si="18"/>
        <v>251978.03464288171</v>
      </c>
    </row>
    <row r="229" spans="1:9" x14ac:dyDescent="0.25">
      <c r="A229" s="49">
        <f>'A) Base RI'!A231</f>
        <v>5762</v>
      </c>
      <c r="B229" s="32" t="str">
        <f>'A) Base RI'!B231</f>
        <v>Sergey</v>
      </c>
      <c r="C229" s="95">
        <f>'A) Base RI'!V231</f>
        <v>146</v>
      </c>
      <c r="D229" s="110">
        <f>'D) Ecrêtage'!E229</f>
        <v>25.778967928921663</v>
      </c>
      <c r="E229" s="34">
        <f t="shared" si="15"/>
        <v>19.04637575039801</v>
      </c>
      <c r="F229" s="279">
        <f t="shared" si="16"/>
        <v>58563.034302293789</v>
      </c>
      <c r="G229" s="33">
        <f>+'A) Base RI'!U231</f>
        <v>78</v>
      </c>
      <c r="H229" s="280">
        <f t="shared" si="17"/>
        <v>1.1487440323902784</v>
      </c>
      <c r="I229" s="55">
        <f t="shared" si="18"/>
        <v>67273.936173427166</v>
      </c>
    </row>
    <row r="230" spans="1:9" x14ac:dyDescent="0.25">
      <c r="A230" s="49">
        <f>'A) Base RI'!A232</f>
        <v>5763</v>
      </c>
      <c r="B230" s="32" t="str">
        <f>'A) Base RI'!B232</f>
        <v>Valeyres-sous-Rances</v>
      </c>
      <c r="C230" s="95">
        <f>'A) Base RI'!V232</f>
        <v>622</v>
      </c>
      <c r="D230" s="110">
        <f>'D) Ecrêtage'!E230</f>
        <v>33.627646577458634</v>
      </c>
      <c r="E230" s="34">
        <f t="shared" si="15"/>
        <v>11.197697101861039</v>
      </c>
      <c r="F230" s="279">
        <f t="shared" si="16"/>
        <v>122235.1813336253</v>
      </c>
      <c r="G230" s="33">
        <f>+'A) Base RI'!U232</f>
        <v>65</v>
      </c>
      <c r="H230" s="280">
        <f t="shared" si="17"/>
        <v>0.95728669365856545</v>
      </c>
      <c r="I230" s="55">
        <f t="shared" si="18"/>
        <v>117014.11258762136</v>
      </c>
    </row>
    <row r="231" spans="1:9" x14ac:dyDescent="0.25">
      <c r="A231" s="49">
        <f>'A) Base RI'!A233</f>
        <v>5764</v>
      </c>
      <c r="B231" s="32" t="str">
        <f>'A) Base RI'!B233</f>
        <v>Vallorbe</v>
      </c>
      <c r="C231" s="95">
        <f>'A) Base RI'!V233</f>
        <v>3852</v>
      </c>
      <c r="D231" s="110">
        <f>'D) Ecrêtage'!E231</f>
        <v>21.67253164215612</v>
      </c>
      <c r="E231" s="34">
        <f t="shared" si="15"/>
        <v>23.152812037163553</v>
      </c>
      <c r="F231" s="279">
        <f t="shared" si="16"/>
        <v>1757829.0960726058</v>
      </c>
      <c r="G231" s="33">
        <f>+'A) Base RI'!U233</f>
        <v>73</v>
      </c>
      <c r="H231" s="280">
        <f t="shared" si="17"/>
        <v>1.0751065944165428</v>
      </c>
      <c r="I231" s="55">
        <f t="shared" si="18"/>
        <v>1889853.653044929</v>
      </c>
    </row>
    <row r="232" spans="1:9" x14ac:dyDescent="0.25">
      <c r="A232" s="49">
        <f>'A) Base RI'!A234</f>
        <v>5765</v>
      </c>
      <c r="B232" s="32" t="str">
        <f>'A) Base RI'!B234</f>
        <v>Vaulion</v>
      </c>
      <c r="C232" s="95">
        <f>'A) Base RI'!V234</f>
        <v>469</v>
      </c>
      <c r="D232" s="110">
        <f>'D) Ecrêtage'!E232</f>
        <v>20.834480345096367</v>
      </c>
      <c r="E232" s="34">
        <f t="shared" si="15"/>
        <v>23.990863334223306</v>
      </c>
      <c r="F232" s="279">
        <f t="shared" si="16"/>
        <v>246075.00494502849</v>
      </c>
      <c r="G232" s="33">
        <f>+'A) Base RI'!U234</f>
        <v>81</v>
      </c>
      <c r="H232" s="280">
        <f t="shared" si="17"/>
        <v>1.19292649517452</v>
      </c>
      <c r="I232" s="55">
        <f t="shared" si="18"/>
        <v>293549.39319912548</v>
      </c>
    </row>
    <row r="233" spans="1:9" x14ac:dyDescent="0.25">
      <c r="A233" s="49">
        <f>'A) Base RI'!A235</f>
        <v>5766</v>
      </c>
      <c r="B233" s="32" t="str">
        <f>'A) Base RI'!B235</f>
        <v>Vuiteboeuf</v>
      </c>
      <c r="C233" s="95">
        <f>'A) Base RI'!V235</f>
        <v>584</v>
      </c>
      <c r="D233" s="110">
        <f>'D) Ecrêtage'!E233</f>
        <v>22.529091403543514</v>
      </c>
      <c r="E233" s="34">
        <f t="shared" si="15"/>
        <v>22.296252275776158</v>
      </c>
      <c r="F233" s="279">
        <f t="shared" si="16"/>
        <v>270706.82553101762</v>
      </c>
      <c r="G233" s="33">
        <f>+'A) Base RI'!U235</f>
        <v>77</v>
      </c>
      <c r="H233" s="280">
        <f t="shared" si="17"/>
        <v>1.1340165447955313</v>
      </c>
      <c r="I233" s="55">
        <f t="shared" si="18"/>
        <v>306986.01894125133</v>
      </c>
    </row>
    <row r="234" spans="1:9" x14ac:dyDescent="0.25">
      <c r="A234" s="49">
        <f>'A) Base RI'!A236</f>
        <v>5785</v>
      </c>
      <c r="B234" s="32" t="str">
        <f>'A) Base RI'!B236</f>
        <v>Corcelles-le-Jorat</v>
      </c>
      <c r="C234" s="95">
        <f>'A) Base RI'!V236</f>
        <v>445</v>
      </c>
      <c r="D234" s="110">
        <f>'D) Ecrêtage'!E234</f>
        <v>34.993373143730686</v>
      </c>
      <c r="E234" s="34">
        <f t="shared" si="15"/>
        <v>9.8319705355889866</v>
      </c>
      <c r="F234" s="279">
        <f t="shared" si="16"/>
        <v>90960.9670085283</v>
      </c>
      <c r="G234" s="33">
        <f>+'A) Base RI'!U236</f>
        <v>77</v>
      </c>
      <c r="H234" s="280">
        <f t="shared" si="17"/>
        <v>1.1340165447955313</v>
      </c>
      <c r="I234" s="55">
        <f t="shared" si="18"/>
        <v>103151.24151827158</v>
      </c>
    </row>
    <row r="235" spans="1:9" x14ac:dyDescent="0.25">
      <c r="A235" s="49">
        <f>'A) Base RI'!A237</f>
        <v>5788</v>
      </c>
      <c r="B235" s="32" t="str">
        <f>'A) Base RI'!B237</f>
        <v>Essertes</v>
      </c>
      <c r="C235" s="95">
        <f>'A) Base RI'!V237</f>
        <v>374</v>
      </c>
      <c r="D235" s="110">
        <f>'D) Ecrêtage'!E235</f>
        <v>31.775011412697776</v>
      </c>
      <c r="E235" s="34">
        <f t="shared" si="15"/>
        <v>13.050332266621897</v>
      </c>
      <c r="F235" s="279">
        <f t="shared" si="16"/>
        <v>94883.223764410519</v>
      </c>
      <c r="G235" s="33">
        <f>+'A) Base RI'!U237</f>
        <v>72</v>
      </c>
      <c r="H235" s="280">
        <f t="shared" si="17"/>
        <v>1.0603791068217956</v>
      </c>
      <c r="I235" s="55">
        <f t="shared" si="18"/>
        <v>100612.1880676782</v>
      </c>
    </row>
    <row r="236" spans="1:9" x14ac:dyDescent="0.25">
      <c r="A236" s="49">
        <f>'A) Base RI'!A238</f>
        <v>5790</v>
      </c>
      <c r="B236" s="32" t="str">
        <f>'A) Base RI'!B238</f>
        <v>Maracon</v>
      </c>
      <c r="C236" s="95">
        <f>'A) Base RI'!V238</f>
        <v>492</v>
      </c>
      <c r="D236" s="110">
        <f>'D) Ecrêtage'!E236</f>
        <v>26.943423020277017</v>
      </c>
      <c r="E236" s="34">
        <f t="shared" si="15"/>
        <v>17.881920659042656</v>
      </c>
      <c r="F236" s="279">
        <f t="shared" si="16"/>
        <v>180533.00986638921</v>
      </c>
      <c r="G236" s="33">
        <f>+'A) Base RI'!U238</f>
        <v>76</v>
      </c>
      <c r="H236" s="280">
        <f t="shared" si="17"/>
        <v>1.1192890572007841</v>
      </c>
      <c r="I236" s="55">
        <f t="shared" si="18"/>
        <v>202068.62240697062</v>
      </c>
    </row>
    <row r="237" spans="1:9" x14ac:dyDescent="0.25">
      <c r="A237" s="49">
        <f>'A) Base RI'!A239</f>
        <v>5792</v>
      </c>
      <c r="B237" s="32" t="str">
        <f>'A) Base RI'!B239</f>
        <v>Montpreveyres</v>
      </c>
      <c r="C237" s="95">
        <f>'A) Base RI'!V239</f>
        <v>643</v>
      </c>
      <c r="D237" s="110">
        <f>'D) Ecrêtage'!E237</f>
        <v>29.123594577620832</v>
      </c>
      <c r="E237" s="34">
        <f t="shared" si="15"/>
        <v>15.701749101698841</v>
      </c>
      <c r="F237" s="279">
        <f t="shared" si="16"/>
        <v>209900.51093903705</v>
      </c>
      <c r="G237" s="33">
        <f>+'A) Base RI'!U239</f>
        <v>77</v>
      </c>
      <c r="H237" s="280">
        <f t="shared" si="17"/>
        <v>1.1340165447955313</v>
      </c>
      <c r="I237" s="55">
        <f t="shared" si="18"/>
        <v>238030.65216590342</v>
      </c>
    </row>
    <row r="238" spans="1:9" x14ac:dyDescent="0.25">
      <c r="A238" s="49">
        <f>'A) Base RI'!A240</f>
        <v>5798</v>
      </c>
      <c r="B238" s="32" t="str">
        <f>'A) Base RI'!B240</f>
        <v>Ropraz</v>
      </c>
      <c r="C238" s="95">
        <f>'A) Base RI'!V240</f>
        <v>494</v>
      </c>
      <c r="D238" s="110">
        <f>'D) Ecrêtage'!E238</f>
        <v>27.783927430937364</v>
      </c>
      <c r="E238" s="34">
        <f t="shared" si="15"/>
        <v>17.041416248382308</v>
      </c>
      <c r="F238" s="279">
        <f t="shared" si="16"/>
        <v>176156.26768871551</v>
      </c>
      <c r="G238" s="33">
        <f>+'A) Base RI'!U240</f>
        <v>77.5</v>
      </c>
      <c r="H238" s="280">
        <f t="shared" si="17"/>
        <v>1.141380288592905</v>
      </c>
      <c r="I238" s="55">
        <f t="shared" si="18"/>
        <v>201061.29165199512</v>
      </c>
    </row>
    <row r="239" spans="1:9" x14ac:dyDescent="0.25">
      <c r="A239" s="49">
        <f>'A) Base RI'!A241</f>
        <v>5799</v>
      </c>
      <c r="B239" s="32" t="str">
        <f>'A) Base RI'!B241</f>
        <v>Servion</v>
      </c>
      <c r="C239" s="95">
        <f>'A) Base RI'!V241</f>
        <v>1942</v>
      </c>
      <c r="D239" s="110">
        <f>'D) Ecrêtage'!E239</f>
        <v>35.382377258612024</v>
      </c>
      <c r="E239" s="34">
        <f t="shared" si="15"/>
        <v>9.4429664207076485</v>
      </c>
      <c r="F239" s="279">
        <f t="shared" si="16"/>
        <v>341641.42589933553</v>
      </c>
      <c r="G239" s="33">
        <f>+'A) Base RI'!U241</f>
        <v>69</v>
      </c>
      <c r="H239" s="280">
        <f t="shared" si="17"/>
        <v>1.0161966440375541</v>
      </c>
      <c r="I239" s="55">
        <f t="shared" si="18"/>
        <v>347174.87046310946</v>
      </c>
    </row>
    <row r="240" spans="1:9" x14ac:dyDescent="0.25">
      <c r="A240" s="49">
        <f>'A) Base RI'!A242</f>
        <v>5803</v>
      </c>
      <c r="B240" s="32" t="str">
        <f>'A) Base RI'!B242</f>
        <v>Vulliens</v>
      </c>
      <c r="C240" s="95">
        <f>'A) Base RI'!V242</f>
        <v>595</v>
      </c>
      <c r="D240" s="110">
        <f>'D) Ecrêtage'!E240</f>
        <v>27.808985412276691</v>
      </c>
      <c r="E240" s="34">
        <f t="shared" si="15"/>
        <v>17.016358267042982</v>
      </c>
      <c r="F240" s="279">
        <f t="shared" si="16"/>
        <v>213226.88053683552</v>
      </c>
      <c r="G240" s="33">
        <f>+'A) Base RI'!U242</f>
        <v>78</v>
      </c>
      <c r="H240" s="280">
        <f t="shared" si="17"/>
        <v>1.1487440323902784</v>
      </c>
      <c r="I240" s="55">
        <f t="shared" si="18"/>
        <v>244943.10656188463</v>
      </c>
    </row>
    <row r="241" spans="1:9" x14ac:dyDescent="0.25">
      <c r="A241" s="49">
        <f>'A) Base RI'!A243</f>
        <v>5804</v>
      </c>
      <c r="B241" s="32" t="str">
        <f>'A) Base RI'!B243</f>
        <v>Jorat-Menthue</v>
      </c>
      <c r="C241" s="95">
        <f>'A) Base RI'!V243</f>
        <v>1586</v>
      </c>
      <c r="D241" s="110">
        <f>'D) Ecrêtage'!E241</f>
        <v>29.95233181993656</v>
      </c>
      <c r="E241" s="34">
        <f t="shared" si="15"/>
        <v>14.873011859383112</v>
      </c>
      <c r="F241" s="279">
        <f t="shared" si="16"/>
        <v>458562.32196660264</v>
      </c>
      <c r="G241" s="33">
        <f>+'A) Base RI'!U243</f>
        <v>72</v>
      </c>
      <c r="H241" s="280">
        <f t="shared" si="17"/>
        <v>1.0603791068217956</v>
      </c>
      <c r="I241" s="55">
        <f t="shared" si="18"/>
        <v>486249.90538907476</v>
      </c>
    </row>
    <row r="242" spans="1:9" x14ac:dyDescent="0.25">
      <c r="A242" s="49">
        <f>'A) Base RI'!A244</f>
        <v>5805</v>
      </c>
      <c r="B242" s="32" t="str">
        <f>'A) Base RI'!B244</f>
        <v>Oron</v>
      </c>
      <c r="C242" s="95">
        <f>'A) Base RI'!V244</f>
        <v>5501</v>
      </c>
      <c r="D242" s="110">
        <f>'D) Ecrêtage'!E242</f>
        <v>27.70678399520768</v>
      </c>
      <c r="E242" s="34">
        <f t="shared" si="15"/>
        <v>17.118559684111993</v>
      </c>
      <c r="F242" s="279">
        <f t="shared" si="16"/>
        <v>1754372.1367994503</v>
      </c>
      <c r="G242" s="33">
        <f>+'A) Base RI'!U244</f>
        <v>69</v>
      </c>
      <c r="H242" s="280">
        <f t="shared" si="17"/>
        <v>1.0161966440375541</v>
      </c>
      <c r="I242" s="55">
        <f t="shared" si="18"/>
        <v>1782787.0778085941</v>
      </c>
    </row>
    <row r="243" spans="1:9" x14ac:dyDescent="0.25">
      <c r="A243" s="49">
        <f>'A) Base RI'!A245</f>
        <v>5806</v>
      </c>
      <c r="B243" s="32" t="str">
        <f>'A) Base RI'!B245</f>
        <v>Jorat-Mézières</v>
      </c>
      <c r="C243" s="95">
        <f>'A) Base RI'!V245</f>
        <v>2869</v>
      </c>
      <c r="D243" s="110">
        <f>'D) Ecrêtage'!E243</f>
        <v>31.309725659224796</v>
      </c>
      <c r="E243" s="34">
        <f t="shared" si="15"/>
        <v>13.515618020094877</v>
      </c>
      <c r="F243" s="279">
        <f t="shared" si="16"/>
        <v>795689.84220486332</v>
      </c>
      <c r="G243" s="33">
        <f>+'A) Base RI'!U245</f>
        <v>76</v>
      </c>
      <c r="H243" s="280">
        <f t="shared" si="17"/>
        <v>1.1192890572007841</v>
      </c>
      <c r="I243" s="55">
        <f t="shared" si="18"/>
        <v>890606.93330572208</v>
      </c>
    </row>
    <row r="244" spans="1:9" x14ac:dyDescent="0.25">
      <c r="A244" s="49">
        <f>'A) Base RI'!A246</f>
        <v>5812</v>
      </c>
      <c r="B244" s="32" t="str">
        <f>'A) Base RI'!B246</f>
        <v>Champtauroz</v>
      </c>
      <c r="C244" s="95">
        <f>'A) Base RI'!V246</f>
        <v>122</v>
      </c>
      <c r="D244" s="110">
        <f>'D) Ecrêtage'!E244</f>
        <v>19.942233034595823</v>
      </c>
      <c r="E244" s="34">
        <f t="shared" si="15"/>
        <v>24.88311064472385</v>
      </c>
      <c r="F244" s="279">
        <f t="shared" si="16"/>
        <v>63113.024177064683</v>
      </c>
      <c r="G244" s="33">
        <f>+'A) Base RI'!U246</f>
        <v>77</v>
      </c>
      <c r="H244" s="280">
        <f t="shared" si="17"/>
        <v>1.1340165447955313</v>
      </c>
      <c r="I244" s="55">
        <f t="shared" si="18"/>
        <v>71571.213608871723</v>
      </c>
    </row>
    <row r="245" spans="1:9" x14ac:dyDescent="0.25">
      <c r="A245" s="49">
        <f>'A) Base RI'!A247</f>
        <v>5813</v>
      </c>
      <c r="B245" s="32" t="str">
        <f>'A) Base RI'!B247</f>
        <v>Chevroux</v>
      </c>
      <c r="C245" s="95">
        <f>'A) Base RI'!V247</f>
        <v>480</v>
      </c>
      <c r="D245" s="110">
        <f>'D) Ecrêtage'!E245</f>
        <v>26.752570701211198</v>
      </c>
      <c r="E245" s="34">
        <f t="shared" si="15"/>
        <v>18.072772978108475</v>
      </c>
      <c r="F245" s="279">
        <f t="shared" si="16"/>
        <v>163956.19645740013</v>
      </c>
      <c r="G245" s="33">
        <f>+'A) Base RI'!U247</f>
        <v>70</v>
      </c>
      <c r="H245" s="280">
        <f t="shared" si="17"/>
        <v>1.0309241316323012</v>
      </c>
      <c r="I245" s="55">
        <f t="shared" si="18"/>
        <v>169026.39945858021</v>
      </c>
    </row>
    <row r="246" spans="1:9" x14ac:dyDescent="0.25">
      <c r="A246" s="49">
        <f>'A) Base RI'!A248</f>
        <v>5816</v>
      </c>
      <c r="B246" s="32" t="str">
        <f>'A) Base RI'!B248</f>
        <v>Corcelles-près-Payerne</v>
      </c>
      <c r="C246" s="95">
        <f>'A) Base RI'!V248</f>
        <v>2479</v>
      </c>
      <c r="D246" s="110">
        <f>'D) Ecrêtage'!E246</f>
        <v>22.318719765819036</v>
      </c>
      <c r="E246" s="34">
        <f t="shared" si="15"/>
        <v>22.506623913500636</v>
      </c>
      <c r="F246" s="279">
        <f t="shared" si="16"/>
        <v>1084633.8180496837</v>
      </c>
      <c r="G246" s="33">
        <f>+'A) Base RI'!U248</f>
        <v>72</v>
      </c>
      <c r="H246" s="280">
        <f t="shared" si="17"/>
        <v>1.0603791068217956</v>
      </c>
      <c r="I246" s="55">
        <f t="shared" si="18"/>
        <v>1150123.0392122376</v>
      </c>
    </row>
    <row r="247" spans="1:9" x14ac:dyDescent="0.25">
      <c r="A247" s="49">
        <f>'A) Base RI'!A249</f>
        <v>5817</v>
      </c>
      <c r="B247" s="32" t="str">
        <f>'A) Base RI'!B249</f>
        <v>Grandcour</v>
      </c>
      <c r="C247" s="95">
        <f>'A) Base RI'!V249</f>
        <v>929</v>
      </c>
      <c r="D247" s="110">
        <f>'D) Ecrêtage'!E247</f>
        <v>25.194904845731617</v>
      </c>
      <c r="E247" s="34">
        <f t="shared" si="15"/>
        <v>19.630438833588055</v>
      </c>
      <c r="F247" s="279">
        <f t="shared" si="16"/>
        <v>379140.52889242466</v>
      </c>
      <c r="G247" s="33">
        <f>+'A) Base RI'!U249</f>
        <v>77</v>
      </c>
      <c r="H247" s="280">
        <f t="shared" si="17"/>
        <v>1.1340165447955313</v>
      </c>
      <c r="I247" s="55">
        <f t="shared" si="18"/>
        <v>429951.63256653771</v>
      </c>
    </row>
    <row r="248" spans="1:9" x14ac:dyDescent="0.25">
      <c r="A248" s="49">
        <f>'A) Base RI'!A250</f>
        <v>5819</v>
      </c>
      <c r="B248" s="32" t="str">
        <f>'A) Base RI'!B250</f>
        <v>Henniez</v>
      </c>
      <c r="C248" s="95">
        <f>'A) Base RI'!V250</f>
        <v>341</v>
      </c>
      <c r="D248" s="110">
        <f>'D) Ecrêtage'!E248</f>
        <v>36.476754259675722</v>
      </c>
      <c r="E248" s="34">
        <f t="shared" si="15"/>
        <v>8.3485894196439503</v>
      </c>
      <c r="F248" s="279">
        <f t="shared" si="16"/>
        <v>53037.169322796683</v>
      </c>
      <c r="G248" s="33">
        <f>+'A) Base RI'!U250</f>
        <v>69</v>
      </c>
      <c r="H248" s="280">
        <f t="shared" si="17"/>
        <v>1.0161966440375541</v>
      </c>
      <c r="I248" s="55">
        <f t="shared" si="18"/>
        <v>53896.193475077504</v>
      </c>
    </row>
    <row r="249" spans="1:9" x14ac:dyDescent="0.25">
      <c r="A249" s="49">
        <f>'A) Base RI'!A251</f>
        <v>5821</v>
      </c>
      <c r="B249" s="32" t="str">
        <f>'A) Base RI'!B251</f>
        <v>Missy</v>
      </c>
      <c r="C249" s="95">
        <f>'A) Base RI'!V251</f>
        <v>368</v>
      </c>
      <c r="D249" s="110">
        <f>'D) Ecrêtage'!E249</f>
        <v>23.30334606423639</v>
      </c>
      <c r="E249" s="34">
        <f t="shared" si="15"/>
        <v>21.521997615083283</v>
      </c>
      <c r="F249" s="279">
        <f t="shared" si="16"/>
        <v>153966.64917849662</v>
      </c>
      <c r="G249" s="33">
        <f>+'A) Base RI'!U251</f>
        <v>72</v>
      </c>
      <c r="H249" s="280">
        <f t="shared" si="17"/>
        <v>1.0603791068217956</v>
      </c>
      <c r="I249" s="55">
        <f t="shared" si="18"/>
        <v>163263.01793623899</v>
      </c>
    </row>
    <row r="250" spans="1:9" x14ac:dyDescent="0.25">
      <c r="A250" s="49">
        <f>'A) Base RI'!A252</f>
        <v>5822</v>
      </c>
      <c r="B250" s="32" t="str">
        <f>'A) Base RI'!B252</f>
        <v>Payerne</v>
      </c>
      <c r="C250" s="95">
        <f>'A) Base RI'!V252</f>
        <v>9971</v>
      </c>
      <c r="D250" s="110">
        <f>'D) Ecrêtage'!E250</f>
        <v>23.760509917763777</v>
      </c>
      <c r="E250" s="34">
        <f t="shared" si="15"/>
        <v>21.064833761555896</v>
      </c>
      <c r="F250" s="279">
        <f t="shared" si="16"/>
        <v>4253258.5130885951</v>
      </c>
      <c r="G250" s="33">
        <f>+'A) Base RI'!U252</f>
        <v>75</v>
      </c>
      <c r="H250" s="280">
        <f t="shared" si="17"/>
        <v>1.1045615696060369</v>
      </c>
      <c r="I250" s="55">
        <f t="shared" si="18"/>
        <v>4697985.899157377</v>
      </c>
    </row>
    <row r="251" spans="1:9" x14ac:dyDescent="0.25">
      <c r="A251" s="49">
        <f>'A) Base RI'!A253</f>
        <v>5827</v>
      </c>
      <c r="B251" s="32" t="str">
        <f>'A) Base RI'!B253</f>
        <v>Trey</v>
      </c>
      <c r="C251" s="95">
        <f>'A) Base RI'!V253</f>
        <v>267</v>
      </c>
      <c r="D251" s="110">
        <f>'D) Ecrêtage'!E251</f>
        <v>26.522906221427366</v>
      </c>
      <c r="E251" s="34">
        <f t="shared" si="15"/>
        <v>18.302437457892307</v>
      </c>
      <c r="F251" s="279">
        <f t="shared" si="16"/>
        <v>105553.81730715653</v>
      </c>
      <c r="G251" s="33">
        <f>+'A) Base RI'!U253</f>
        <v>80</v>
      </c>
      <c r="H251" s="280">
        <f t="shared" si="17"/>
        <v>1.1781990075797728</v>
      </c>
      <c r="I251" s="55">
        <f t="shared" si="18"/>
        <v>124363.40279754846</v>
      </c>
    </row>
    <row r="252" spans="1:9" x14ac:dyDescent="0.25">
      <c r="A252" s="49">
        <f>'A) Base RI'!A254</f>
        <v>5828</v>
      </c>
      <c r="B252" s="32" t="str">
        <f>'A) Base RI'!B254</f>
        <v>Treytorrens (Payerne)</v>
      </c>
      <c r="C252" s="95">
        <f>'A) Base RI'!V254</f>
        <v>119</v>
      </c>
      <c r="D252" s="110">
        <f>'D) Ecrêtage'!E252</f>
        <v>22.464219797889676</v>
      </c>
      <c r="E252" s="34">
        <f t="shared" si="15"/>
        <v>22.361123881429997</v>
      </c>
      <c r="F252" s="279">
        <f t="shared" si="16"/>
        <v>60350.884466069052</v>
      </c>
      <c r="G252" s="33">
        <f>+'A) Base RI'!U254</f>
        <v>84</v>
      </c>
      <c r="H252" s="280">
        <f t="shared" si="17"/>
        <v>1.2371089579587615</v>
      </c>
      <c r="I252" s="55">
        <f t="shared" si="18"/>
        <v>74660.619793708291</v>
      </c>
    </row>
    <row r="253" spans="1:9" x14ac:dyDescent="0.25">
      <c r="A253" s="49">
        <f>'A) Base RI'!A255</f>
        <v>5830</v>
      </c>
      <c r="B253" s="32" t="str">
        <f>'A) Base RI'!B255</f>
        <v>Villarzel</v>
      </c>
      <c r="C253" s="95">
        <f>'A) Base RI'!V255</f>
        <v>446</v>
      </c>
      <c r="D253" s="110">
        <f>'D) Ecrêtage'!E253</f>
        <v>27.169409889718345</v>
      </c>
      <c r="E253" s="34">
        <f t="shared" si="15"/>
        <v>17.655933789601328</v>
      </c>
      <c r="F253" s="279">
        <f t="shared" si="16"/>
        <v>167964.07620855956</v>
      </c>
      <c r="G253" s="33">
        <f>+'A) Base RI'!U255</f>
        <v>79</v>
      </c>
      <c r="H253" s="280">
        <f t="shared" si="17"/>
        <v>1.1634715199850256</v>
      </c>
      <c r="I253" s="55">
        <f t="shared" si="18"/>
        <v>195421.41904925348</v>
      </c>
    </row>
    <row r="254" spans="1:9" x14ac:dyDescent="0.25">
      <c r="A254" s="49">
        <f>'A) Base RI'!A256</f>
        <v>5831</v>
      </c>
      <c r="B254" s="32" t="str">
        <f>'A) Base RI'!B256</f>
        <v>Valbroye</v>
      </c>
      <c r="C254" s="95">
        <f>'A) Base RI'!V256</f>
        <v>3174</v>
      </c>
      <c r="D254" s="110">
        <f>'D) Ecrêtage'!E254</f>
        <v>26.355345744244666</v>
      </c>
      <c r="E254" s="34">
        <f t="shared" si="15"/>
        <v>18.469997935075007</v>
      </c>
      <c r="F254" s="279">
        <f t="shared" si="16"/>
        <v>1155474.5746192425</v>
      </c>
      <c r="G254" s="33">
        <f>+'A) Base RI'!U256</f>
        <v>73</v>
      </c>
      <c r="H254" s="280">
        <f t="shared" si="17"/>
        <v>1.0751065944165428</v>
      </c>
      <c r="I254" s="55">
        <f t="shared" si="18"/>
        <v>1242258.3348537972</v>
      </c>
    </row>
    <row r="255" spans="1:9" x14ac:dyDescent="0.25">
      <c r="A255" s="49">
        <f>'A) Base RI'!A257</f>
        <v>5841</v>
      </c>
      <c r="B255" s="32" t="str">
        <f>'A) Base RI'!B257</f>
        <v>Château-d'Oex</v>
      </c>
      <c r="C255" s="95">
        <f>'A) Base RI'!V257</f>
        <v>3460</v>
      </c>
      <c r="D255" s="110">
        <f>'D) Ecrêtage'!E255</f>
        <v>33.612699399795034</v>
      </c>
      <c r="E255" s="34">
        <f t="shared" si="15"/>
        <v>11.212644279524639</v>
      </c>
      <c r="F255" s="279">
        <f t="shared" si="16"/>
        <v>869412.73973234918</v>
      </c>
      <c r="G255" s="33">
        <f>+'A) Base RI'!U257</f>
        <v>83</v>
      </c>
      <c r="H255" s="280">
        <f t="shared" si="17"/>
        <v>1.2223814703640143</v>
      </c>
      <c r="I255" s="55">
        <f t="shared" si="18"/>
        <v>1062754.0231472352</v>
      </c>
    </row>
    <row r="256" spans="1:9" x14ac:dyDescent="0.25">
      <c r="A256" s="49">
        <f>'A) Base RI'!A258</f>
        <v>5842</v>
      </c>
      <c r="B256" s="32" t="str">
        <f>'A) Base RI'!B258</f>
        <v>Rossinière</v>
      </c>
      <c r="C256" s="95">
        <f>'A) Base RI'!V258</f>
        <v>548</v>
      </c>
      <c r="D256" s="110">
        <f>'D) Ecrêtage'!E256</f>
        <v>29.369007984514493</v>
      </c>
      <c r="E256" s="34">
        <f t="shared" si="15"/>
        <v>15.45633569480518</v>
      </c>
      <c r="F256" s="279">
        <f t="shared" si="16"/>
        <v>185240.47378167335</v>
      </c>
      <c r="G256" s="33">
        <f>+'A) Base RI'!U258</f>
        <v>81</v>
      </c>
      <c r="H256" s="280">
        <f t="shared" si="17"/>
        <v>1.19292649517452</v>
      </c>
      <c r="I256" s="55">
        <f t="shared" si="18"/>
        <v>220978.26915283914</v>
      </c>
    </row>
    <row r="257" spans="1:9" x14ac:dyDescent="0.25">
      <c r="A257" s="49">
        <f>'A) Base RI'!A259</f>
        <v>5843</v>
      </c>
      <c r="B257" s="32" t="str">
        <f>'A) Base RI'!B259</f>
        <v>Rougemont</v>
      </c>
      <c r="C257" s="95">
        <f>'A) Base RI'!V259</f>
        <v>882</v>
      </c>
      <c r="D257" s="110">
        <f>'D) Ecrêtage'!E257</f>
        <v>106.74421957701391</v>
      </c>
      <c r="E257" s="34">
        <f t="shared" si="15"/>
        <v>0</v>
      </c>
      <c r="F257" s="279">
        <f t="shared" si="16"/>
        <v>0</v>
      </c>
      <c r="G257" s="33">
        <f>+'A) Base RI'!U259</f>
        <v>74</v>
      </c>
      <c r="H257" s="280">
        <f t="shared" si="17"/>
        <v>1.0898340820112897</v>
      </c>
      <c r="I257" s="55">
        <f t="shared" si="18"/>
        <v>0</v>
      </c>
    </row>
    <row r="258" spans="1:9" x14ac:dyDescent="0.25">
      <c r="A258" s="49">
        <f>'A) Base RI'!A260</f>
        <v>5851</v>
      </c>
      <c r="B258" s="32" t="str">
        <f>'A) Base RI'!B260</f>
        <v>Allaman</v>
      </c>
      <c r="C258" s="95">
        <f>'A) Base RI'!V260</f>
        <v>434</v>
      </c>
      <c r="D258" s="110">
        <f>'D) Ecrêtage'!E258</f>
        <v>66.437072793313192</v>
      </c>
      <c r="E258" s="34">
        <f t="shared" si="15"/>
        <v>0</v>
      </c>
      <c r="F258" s="279">
        <f t="shared" si="16"/>
        <v>0</v>
      </c>
      <c r="G258" s="33">
        <f>+'A) Base RI'!U260</f>
        <v>62</v>
      </c>
      <c r="H258" s="280">
        <f t="shared" si="17"/>
        <v>0.91310423087432391</v>
      </c>
      <c r="I258" s="55">
        <f t="shared" si="18"/>
        <v>0</v>
      </c>
    </row>
    <row r="259" spans="1:9" x14ac:dyDescent="0.25">
      <c r="A259" s="49">
        <f>'A) Base RI'!A261</f>
        <v>5852</v>
      </c>
      <c r="B259" s="32" t="str">
        <f>'A) Base RI'!B261</f>
        <v>Bursinel</v>
      </c>
      <c r="C259" s="95">
        <f>'A) Base RI'!V261</f>
        <v>471</v>
      </c>
      <c r="D259" s="110">
        <f>'D) Ecrêtage'!E259</f>
        <v>84.280151998566112</v>
      </c>
      <c r="E259" s="34">
        <f t="shared" si="15"/>
        <v>0</v>
      </c>
      <c r="F259" s="279">
        <f t="shared" si="16"/>
        <v>0</v>
      </c>
      <c r="G259" s="33">
        <f>+'A) Base RI'!U261</f>
        <v>65.5</v>
      </c>
      <c r="H259" s="280">
        <f t="shared" si="17"/>
        <v>0.96465043745593892</v>
      </c>
      <c r="I259" s="55">
        <f t="shared" si="18"/>
        <v>0</v>
      </c>
    </row>
    <row r="260" spans="1:9" x14ac:dyDescent="0.25">
      <c r="A260" s="49">
        <f>'A) Base RI'!A262</f>
        <v>5853</v>
      </c>
      <c r="B260" s="32" t="str">
        <f>'A) Base RI'!B262</f>
        <v>Bursins</v>
      </c>
      <c r="C260" s="95">
        <f>'A) Base RI'!V262</f>
        <v>752</v>
      </c>
      <c r="D260" s="110">
        <f>'D) Ecrêtage'!E260</f>
        <v>48.631563366234644</v>
      </c>
      <c r="E260" s="34">
        <f t="shared" si="15"/>
        <v>0</v>
      </c>
      <c r="F260" s="279">
        <f t="shared" si="16"/>
        <v>0</v>
      </c>
      <c r="G260" s="33">
        <f>+'A) Base RI'!U262</f>
        <v>71</v>
      </c>
      <c r="H260" s="280">
        <f t="shared" si="17"/>
        <v>1.0456516192270484</v>
      </c>
      <c r="I260" s="55">
        <f t="shared" si="18"/>
        <v>0</v>
      </c>
    </row>
    <row r="261" spans="1:9" x14ac:dyDescent="0.25">
      <c r="A261" s="49">
        <f>'A) Base RI'!A263</f>
        <v>5854</v>
      </c>
      <c r="B261" s="32" t="str">
        <f>'A) Base RI'!B263</f>
        <v>Burtigny</v>
      </c>
      <c r="C261" s="95">
        <f>'A) Base RI'!V263</f>
        <v>391</v>
      </c>
      <c r="D261" s="110">
        <f>'D) Ecrêtage'!E261</f>
        <v>38.84085976922006</v>
      </c>
      <c r="E261" s="34">
        <f t="shared" si="15"/>
        <v>5.9844839100996126</v>
      </c>
      <c r="F261" s="279">
        <f t="shared" si="16"/>
        <v>50542.557311137294</v>
      </c>
      <c r="G261" s="33">
        <f>+'A) Base RI'!U263</f>
        <v>80</v>
      </c>
      <c r="H261" s="280">
        <f t="shared" si="17"/>
        <v>1.1781990075797728</v>
      </c>
      <c r="I261" s="55">
        <f t="shared" si="18"/>
        <v>59549.19086452575</v>
      </c>
    </row>
    <row r="262" spans="1:9" x14ac:dyDescent="0.25">
      <c r="A262" s="49">
        <f>'A) Base RI'!A264</f>
        <v>5855</v>
      </c>
      <c r="B262" s="32" t="str">
        <f>'A) Base RI'!B264</f>
        <v>Dully</v>
      </c>
      <c r="C262" s="95">
        <f>'A) Base RI'!V264</f>
        <v>635</v>
      </c>
      <c r="D262" s="110">
        <f>'D) Ecrêtage'!E262</f>
        <v>143.88918976125382</v>
      </c>
      <c r="E262" s="34">
        <f t="shared" ref="E262:E313" si="19">IF($D$314-D262&lt;0,0,$D$314-D262)</f>
        <v>0</v>
      </c>
      <c r="F262" s="279">
        <f t="shared" ref="F262:F313" si="20">(C262*E262*G262)*$E$4</f>
        <v>0</v>
      </c>
      <c r="G262" s="33">
        <f>+'A) Base RI'!U264</f>
        <v>49</v>
      </c>
      <c r="H262" s="280">
        <f t="shared" ref="H262:H313" si="21">G262/$G$314</f>
        <v>0.7216468921426108</v>
      </c>
      <c r="I262" s="55">
        <f t="shared" ref="I262:I313" si="22">F262*H262</f>
        <v>0</v>
      </c>
    </row>
    <row r="263" spans="1:9" x14ac:dyDescent="0.25">
      <c r="A263" s="49">
        <f>'A) Base RI'!A265</f>
        <v>5856</v>
      </c>
      <c r="B263" s="32" t="str">
        <f>'A) Base RI'!B265</f>
        <v>Essertines-sur-Rolle</v>
      </c>
      <c r="C263" s="95">
        <f>'A) Base RI'!V265</f>
        <v>726</v>
      </c>
      <c r="D263" s="110">
        <f>'D) Ecrêtage'!E263</f>
        <v>51.519666219167107</v>
      </c>
      <c r="E263" s="34">
        <f t="shared" si="19"/>
        <v>0</v>
      </c>
      <c r="F263" s="279">
        <f t="shared" si="20"/>
        <v>0</v>
      </c>
      <c r="G263" s="33">
        <f>+'A) Base RI'!U265</f>
        <v>68</v>
      </c>
      <c r="H263" s="280">
        <f t="shared" si="21"/>
        <v>1.0014691564428069</v>
      </c>
      <c r="I263" s="55">
        <f t="shared" si="22"/>
        <v>0</v>
      </c>
    </row>
    <row r="264" spans="1:9" x14ac:dyDescent="0.25">
      <c r="A264" s="49">
        <f>'A) Base RI'!A266</f>
        <v>5857</v>
      </c>
      <c r="B264" s="32" t="str">
        <f>'A) Base RI'!B266</f>
        <v>Gilly</v>
      </c>
      <c r="C264" s="95">
        <f>'A) Base RI'!V266</f>
        <v>1324</v>
      </c>
      <c r="D264" s="110">
        <f>'D) Ecrêtage'!E264</f>
        <v>66.949159950401352</v>
      </c>
      <c r="E264" s="34">
        <f t="shared" si="19"/>
        <v>0</v>
      </c>
      <c r="F264" s="279">
        <f t="shared" si="20"/>
        <v>0</v>
      </c>
      <c r="G264" s="33">
        <f>+'A) Base RI'!U266</f>
        <v>66</v>
      </c>
      <c r="H264" s="280">
        <f t="shared" si="21"/>
        <v>0.97201418125331251</v>
      </c>
      <c r="I264" s="55">
        <f t="shared" si="22"/>
        <v>0</v>
      </c>
    </row>
    <row r="265" spans="1:9" x14ac:dyDescent="0.25">
      <c r="A265" s="49">
        <f>'A) Base RI'!A267</f>
        <v>5858</v>
      </c>
      <c r="B265" s="32" t="str">
        <f>'A) Base RI'!B267</f>
        <v>Luins</v>
      </c>
      <c r="C265" s="95">
        <f>'A) Base RI'!V267</f>
        <v>613</v>
      </c>
      <c r="D265" s="110">
        <f>'D) Ecrêtage'!E265</f>
        <v>71.420574473401089</v>
      </c>
      <c r="E265" s="34">
        <f t="shared" si="19"/>
        <v>0</v>
      </c>
      <c r="F265" s="279">
        <f t="shared" si="20"/>
        <v>0</v>
      </c>
      <c r="G265" s="33">
        <f>+'A) Base RI'!U267</f>
        <v>60</v>
      </c>
      <c r="H265" s="280">
        <f t="shared" si="21"/>
        <v>0.88364925568482955</v>
      </c>
      <c r="I265" s="55">
        <f t="shared" si="22"/>
        <v>0</v>
      </c>
    </row>
    <row r="266" spans="1:9" x14ac:dyDescent="0.25">
      <c r="A266" s="49">
        <f>'A) Base RI'!A268</f>
        <v>5859</v>
      </c>
      <c r="B266" s="32" t="str">
        <f>'A) Base RI'!B268</f>
        <v>Mont-sur-Rolle</v>
      </c>
      <c r="C266" s="95">
        <f>'A) Base RI'!V268</f>
        <v>2651</v>
      </c>
      <c r="D266" s="110">
        <f>'D) Ecrêtage'!E266</f>
        <v>53.717033441549738</v>
      </c>
      <c r="E266" s="34">
        <f t="shared" si="19"/>
        <v>0</v>
      </c>
      <c r="F266" s="279">
        <f t="shared" si="20"/>
        <v>0</v>
      </c>
      <c r="G266" s="33">
        <f>+'A) Base RI'!U268</f>
        <v>65</v>
      </c>
      <c r="H266" s="280">
        <f t="shared" si="21"/>
        <v>0.95728669365856545</v>
      </c>
      <c r="I266" s="55">
        <f t="shared" si="22"/>
        <v>0</v>
      </c>
    </row>
    <row r="267" spans="1:9" x14ac:dyDescent="0.25">
      <c r="A267" s="49">
        <f>'A) Base RI'!A269</f>
        <v>5860</v>
      </c>
      <c r="B267" s="32" t="str">
        <f>'A) Base RI'!B269</f>
        <v>Perroy</v>
      </c>
      <c r="C267" s="95">
        <f>'A) Base RI'!V269</f>
        <v>1542</v>
      </c>
      <c r="D267" s="110">
        <f>'D) Ecrêtage'!E267</f>
        <v>61.712508301954159</v>
      </c>
      <c r="E267" s="34">
        <f t="shared" si="19"/>
        <v>0</v>
      </c>
      <c r="F267" s="279">
        <f t="shared" si="20"/>
        <v>0</v>
      </c>
      <c r="G267" s="33">
        <f>+'A) Base RI'!U269</f>
        <v>60</v>
      </c>
      <c r="H267" s="280">
        <f t="shared" si="21"/>
        <v>0.88364925568482955</v>
      </c>
      <c r="I267" s="55">
        <f t="shared" si="22"/>
        <v>0</v>
      </c>
    </row>
    <row r="268" spans="1:9" x14ac:dyDescent="0.25">
      <c r="A268" s="49">
        <f>'A) Base RI'!A270</f>
        <v>5861</v>
      </c>
      <c r="B268" s="32" t="str">
        <f>'A) Base RI'!B270</f>
        <v>Rolle</v>
      </c>
      <c r="C268" s="95">
        <f>'A) Base RI'!V270</f>
        <v>6246</v>
      </c>
      <c r="D268" s="110">
        <f>'D) Ecrêtage'!E268</f>
        <v>91.935495097761347</v>
      </c>
      <c r="E268" s="34">
        <f t="shared" si="19"/>
        <v>0</v>
      </c>
      <c r="F268" s="279">
        <f t="shared" si="20"/>
        <v>0</v>
      </c>
      <c r="G268" s="33">
        <f>+'A) Base RI'!U270</f>
        <v>59.5</v>
      </c>
      <c r="H268" s="280">
        <f t="shared" si="21"/>
        <v>0.87628551188745607</v>
      </c>
      <c r="I268" s="55">
        <f t="shared" si="22"/>
        <v>0</v>
      </c>
    </row>
    <row r="269" spans="1:9" x14ac:dyDescent="0.25">
      <c r="A269" s="49">
        <f>'A) Base RI'!A271</f>
        <v>5862</v>
      </c>
      <c r="B269" s="32" t="str">
        <f>'A) Base RI'!B271</f>
        <v>Tartegnin</v>
      </c>
      <c r="C269" s="95">
        <f>'A) Base RI'!V271</f>
        <v>246</v>
      </c>
      <c r="D269" s="110">
        <f>'D) Ecrêtage'!E269</f>
        <v>49.738193978364755</v>
      </c>
      <c r="E269" s="34">
        <f t="shared" si="19"/>
        <v>0</v>
      </c>
      <c r="F269" s="279">
        <f t="shared" si="20"/>
        <v>0</v>
      </c>
      <c r="G269" s="33">
        <f>+'A) Base RI'!U271</f>
        <v>81</v>
      </c>
      <c r="H269" s="280">
        <f t="shared" si="21"/>
        <v>1.19292649517452</v>
      </c>
      <c r="I269" s="55">
        <f t="shared" si="22"/>
        <v>0</v>
      </c>
    </row>
    <row r="270" spans="1:9" x14ac:dyDescent="0.25">
      <c r="A270" s="49">
        <f>'A) Base RI'!A272</f>
        <v>5863</v>
      </c>
      <c r="B270" s="32" t="str">
        <f>'A) Base RI'!B272</f>
        <v>Vinzel</v>
      </c>
      <c r="C270" s="95">
        <f>'A) Base RI'!V272</f>
        <v>358</v>
      </c>
      <c r="D270" s="110">
        <f>'D) Ecrêtage'!E270</f>
        <v>62.554848587637856</v>
      </c>
      <c r="E270" s="34">
        <f t="shared" si="19"/>
        <v>0</v>
      </c>
      <c r="F270" s="279">
        <f t="shared" si="20"/>
        <v>0</v>
      </c>
      <c r="G270" s="33">
        <f>+'A) Base RI'!U272</f>
        <v>67</v>
      </c>
      <c r="H270" s="280">
        <f t="shared" si="21"/>
        <v>0.98674166884805969</v>
      </c>
      <c r="I270" s="55">
        <f t="shared" si="22"/>
        <v>0</v>
      </c>
    </row>
    <row r="271" spans="1:9" x14ac:dyDescent="0.25">
      <c r="A271" s="49">
        <f>'A) Base RI'!A273</f>
        <v>5871</v>
      </c>
      <c r="B271" s="32" t="str">
        <f>'A) Base RI'!B273</f>
        <v>L'Abbaye</v>
      </c>
      <c r="C271" s="95">
        <f>'A) Base RI'!V273</f>
        <v>1481</v>
      </c>
      <c r="D271" s="110">
        <f>'D) Ecrêtage'!E271</f>
        <v>30.163289106255871</v>
      </c>
      <c r="E271" s="34">
        <f t="shared" si="19"/>
        <v>14.662054573063802</v>
      </c>
      <c r="F271" s="279">
        <f t="shared" si="20"/>
        <v>453262.01757034939</v>
      </c>
      <c r="G271" s="33">
        <f>+'A) Base RI'!U273</f>
        <v>77.31</v>
      </c>
      <c r="H271" s="280">
        <f t="shared" si="21"/>
        <v>1.1385820659499029</v>
      </c>
      <c r="I271" s="55">
        <f t="shared" si="22"/>
        <v>516076.00438186957</v>
      </c>
    </row>
    <row r="272" spans="1:9" x14ac:dyDescent="0.25">
      <c r="A272" s="49">
        <f>'A) Base RI'!A274</f>
        <v>5872</v>
      </c>
      <c r="B272" s="32" t="str">
        <f>'A) Base RI'!B274</f>
        <v>Le Chenit</v>
      </c>
      <c r="C272" s="95">
        <f>'A) Base RI'!V274</f>
        <v>4605</v>
      </c>
      <c r="D272" s="110">
        <f>'D) Ecrêtage'!E272</f>
        <v>36.805098567308093</v>
      </c>
      <c r="E272" s="34">
        <f t="shared" si="19"/>
        <v>8.0202451120115796</v>
      </c>
      <c r="F272" s="279">
        <f t="shared" si="20"/>
        <v>679290.71629253507</v>
      </c>
      <c r="G272" s="33">
        <f>+'A) Base RI'!U274</f>
        <v>68.12</v>
      </c>
      <c r="H272" s="280">
        <f t="shared" si="21"/>
        <v>1.0032364549541766</v>
      </c>
      <c r="I272" s="55">
        <f t="shared" si="22"/>
        <v>681489.21009660617</v>
      </c>
    </row>
    <row r="273" spans="1:9" x14ac:dyDescent="0.25">
      <c r="A273" s="49">
        <f>'A) Base RI'!A275</f>
        <v>5873</v>
      </c>
      <c r="B273" s="32" t="str">
        <f>'A) Base RI'!B275</f>
        <v>Le Lieu</v>
      </c>
      <c r="C273" s="95">
        <f>'A) Base RI'!V275</f>
        <v>875</v>
      </c>
      <c r="D273" s="110">
        <f>'D) Ecrêtage'!E273</f>
        <v>34.246115749084531</v>
      </c>
      <c r="E273" s="34">
        <f t="shared" si="19"/>
        <v>10.579227930235142</v>
      </c>
      <c r="F273" s="279">
        <f t="shared" si="20"/>
        <v>174953.98189626369</v>
      </c>
      <c r="G273" s="33">
        <f>+'A) Base RI'!U275</f>
        <v>70</v>
      </c>
      <c r="H273" s="280">
        <f t="shared" si="21"/>
        <v>1.0309241316323012</v>
      </c>
      <c r="I273" s="55">
        <f t="shared" si="22"/>
        <v>180364.28186201901</v>
      </c>
    </row>
    <row r="274" spans="1:9" x14ac:dyDescent="0.25">
      <c r="A274" s="49">
        <f>'A) Base RI'!A276</f>
        <v>5881</v>
      </c>
      <c r="B274" s="32" t="str">
        <f>'A) Base RI'!B276</f>
        <v>Blonay</v>
      </c>
      <c r="C274" s="95">
        <f>'A) Base RI'!V276</f>
        <v>6175</v>
      </c>
      <c r="D274" s="110">
        <f>'D) Ecrêtage'!E274</f>
        <v>53.421219799293873</v>
      </c>
      <c r="E274" s="34">
        <f t="shared" si="19"/>
        <v>0</v>
      </c>
      <c r="F274" s="279">
        <f t="shared" si="20"/>
        <v>0</v>
      </c>
      <c r="G274" s="33">
        <f>+'A) Base RI'!U276</f>
        <v>70</v>
      </c>
      <c r="H274" s="280">
        <f t="shared" si="21"/>
        <v>1.0309241316323012</v>
      </c>
      <c r="I274" s="55">
        <f t="shared" si="22"/>
        <v>0</v>
      </c>
    </row>
    <row r="275" spans="1:9" x14ac:dyDescent="0.25">
      <c r="A275" s="49">
        <f>'A) Base RI'!A277</f>
        <v>5882</v>
      </c>
      <c r="B275" s="32" t="str">
        <f>'A) Base RI'!B277</f>
        <v>Chardonne</v>
      </c>
      <c r="C275" s="95">
        <f>'A) Base RI'!V277</f>
        <v>2941</v>
      </c>
      <c r="D275" s="110">
        <f>'D) Ecrêtage'!E275</f>
        <v>54.697764046543291</v>
      </c>
      <c r="E275" s="34">
        <f t="shared" si="19"/>
        <v>0</v>
      </c>
      <c r="F275" s="279">
        <f t="shared" si="20"/>
        <v>0</v>
      </c>
      <c r="G275" s="33">
        <f>+'A) Base RI'!U277</f>
        <v>68</v>
      </c>
      <c r="H275" s="280">
        <f t="shared" si="21"/>
        <v>1.0014691564428069</v>
      </c>
      <c r="I275" s="55">
        <f t="shared" si="22"/>
        <v>0</v>
      </c>
    </row>
    <row r="276" spans="1:9" x14ac:dyDescent="0.25">
      <c r="A276" s="49">
        <f>'A) Base RI'!A278</f>
        <v>5883</v>
      </c>
      <c r="B276" s="32" t="str">
        <f>'A) Base RI'!B278</f>
        <v>Corseaux</v>
      </c>
      <c r="C276" s="95">
        <f>'A) Base RI'!V278</f>
        <v>2282</v>
      </c>
      <c r="D276" s="110">
        <f>'D) Ecrêtage'!E276</f>
        <v>68.019146892501524</v>
      </c>
      <c r="E276" s="34">
        <f t="shared" si="19"/>
        <v>0</v>
      </c>
      <c r="F276" s="279">
        <f t="shared" si="20"/>
        <v>0</v>
      </c>
      <c r="G276" s="33">
        <f>+'A) Base RI'!U278</f>
        <v>69</v>
      </c>
      <c r="H276" s="280">
        <f t="shared" si="21"/>
        <v>1.0161966440375541</v>
      </c>
      <c r="I276" s="55">
        <f t="shared" si="22"/>
        <v>0</v>
      </c>
    </row>
    <row r="277" spans="1:9" x14ac:dyDescent="0.25">
      <c r="A277" s="49">
        <f>'A) Base RI'!A279</f>
        <v>5884</v>
      </c>
      <c r="B277" s="32" t="str">
        <f>'A) Base RI'!B279</f>
        <v>Corsier-sur-Vevey</v>
      </c>
      <c r="C277" s="95">
        <f>'A) Base RI'!V279</f>
        <v>3386</v>
      </c>
      <c r="D277" s="110">
        <f>'D) Ecrêtage'!E277</f>
        <v>33.588451754027751</v>
      </c>
      <c r="E277" s="34">
        <f t="shared" si="19"/>
        <v>11.236891925291921</v>
      </c>
      <c r="F277" s="279">
        <f t="shared" si="20"/>
        <v>678017.42817206518</v>
      </c>
      <c r="G277" s="33">
        <f>+'A) Base RI'!U279</f>
        <v>66</v>
      </c>
      <c r="H277" s="280">
        <f t="shared" si="21"/>
        <v>0.97201418125331251</v>
      </c>
      <c r="I277" s="55">
        <f t="shared" si="22"/>
        <v>659042.55532014661</v>
      </c>
    </row>
    <row r="278" spans="1:9" x14ac:dyDescent="0.25">
      <c r="A278" s="49">
        <f>'A) Base RI'!A280</f>
        <v>5885</v>
      </c>
      <c r="B278" s="32" t="str">
        <f>'A) Base RI'!B280</f>
        <v>Jongny</v>
      </c>
      <c r="C278" s="95">
        <f>'A) Base RI'!V280</f>
        <v>1536</v>
      </c>
      <c r="D278" s="110">
        <f>'D) Ecrêtage'!E278</f>
        <v>54.354177205986844</v>
      </c>
      <c r="E278" s="34">
        <f t="shared" si="19"/>
        <v>0</v>
      </c>
      <c r="F278" s="279">
        <f t="shared" si="20"/>
        <v>0</v>
      </c>
      <c r="G278" s="33">
        <f>+'A) Base RI'!U280</f>
        <v>71</v>
      </c>
      <c r="H278" s="280">
        <f t="shared" si="21"/>
        <v>1.0456516192270484</v>
      </c>
      <c r="I278" s="55">
        <f t="shared" si="22"/>
        <v>0</v>
      </c>
    </row>
    <row r="279" spans="1:9" x14ac:dyDescent="0.25">
      <c r="A279" s="49">
        <f>'A) Base RI'!A281</f>
        <v>5886</v>
      </c>
      <c r="B279" s="32" t="str">
        <f>'A) Base RI'!B281</f>
        <v>Montreux</v>
      </c>
      <c r="C279" s="95">
        <f>'A) Base RI'!V281</f>
        <v>26006</v>
      </c>
      <c r="D279" s="110">
        <f>'D) Ecrêtage'!E279</f>
        <v>42.214901648724457</v>
      </c>
      <c r="E279" s="34">
        <f t="shared" si="19"/>
        <v>2.6104420305952161</v>
      </c>
      <c r="F279" s="279">
        <f t="shared" si="20"/>
        <v>1191419.5781064187</v>
      </c>
      <c r="G279" s="33">
        <f>+'A) Base RI'!U281</f>
        <v>65</v>
      </c>
      <c r="H279" s="280">
        <f t="shared" si="21"/>
        <v>0.95728669365856545</v>
      </c>
      <c r="I279" s="55">
        <f t="shared" si="22"/>
        <v>1140530.1086855766</v>
      </c>
    </row>
    <row r="280" spans="1:9" x14ac:dyDescent="0.25">
      <c r="A280" s="49">
        <f>'A) Base RI'!A282</f>
        <v>5888</v>
      </c>
      <c r="B280" s="32" t="str">
        <f>'A) Base RI'!B282</f>
        <v>Saint-Légier-La Chiésaz</v>
      </c>
      <c r="C280" s="95">
        <f>'A) Base RI'!V282</f>
        <v>5185</v>
      </c>
      <c r="D280" s="110">
        <f>'D) Ecrêtage'!E280</f>
        <v>60.619781965796136</v>
      </c>
      <c r="E280" s="34">
        <f t="shared" si="19"/>
        <v>0</v>
      </c>
      <c r="F280" s="279">
        <f t="shared" si="20"/>
        <v>0</v>
      </c>
      <c r="G280" s="33">
        <f>+'A) Base RI'!U282</f>
        <v>70</v>
      </c>
      <c r="H280" s="280">
        <f t="shared" si="21"/>
        <v>1.0309241316323012</v>
      </c>
      <c r="I280" s="55">
        <f t="shared" si="22"/>
        <v>0</v>
      </c>
    </row>
    <row r="281" spans="1:9" x14ac:dyDescent="0.25">
      <c r="A281" s="49">
        <f>'A) Base RI'!A283</f>
        <v>5889</v>
      </c>
      <c r="B281" s="32" t="str">
        <f>'A) Base RI'!B283</f>
        <v>La Tour-de-Peilz</v>
      </c>
      <c r="C281" s="95">
        <f>'A) Base RI'!V283</f>
        <v>11871</v>
      </c>
      <c r="D281" s="110">
        <f>'D) Ecrêtage'!E281</f>
        <v>53.781429795551027</v>
      </c>
      <c r="E281" s="34">
        <f t="shared" si="19"/>
        <v>0</v>
      </c>
      <c r="F281" s="279">
        <f t="shared" si="20"/>
        <v>0</v>
      </c>
      <c r="G281" s="33">
        <f>+'A) Base RI'!U283</f>
        <v>64</v>
      </c>
      <c r="H281" s="280">
        <f t="shared" si="21"/>
        <v>0.94255920606381827</v>
      </c>
      <c r="I281" s="55">
        <f t="shared" si="22"/>
        <v>0</v>
      </c>
    </row>
    <row r="282" spans="1:9" x14ac:dyDescent="0.25">
      <c r="A282" s="49">
        <f>'A) Base RI'!A284</f>
        <v>5890</v>
      </c>
      <c r="B282" s="32" t="str">
        <f>'A) Base RI'!B284</f>
        <v>Vevey</v>
      </c>
      <c r="C282" s="95">
        <f>'A) Base RI'!V284</f>
        <v>19904</v>
      </c>
      <c r="D282" s="110">
        <f>'D) Ecrêtage'!E282</f>
        <v>45.895177166388088</v>
      </c>
      <c r="E282" s="34">
        <f t="shared" si="19"/>
        <v>0</v>
      </c>
      <c r="F282" s="279">
        <f t="shared" si="20"/>
        <v>0</v>
      </c>
      <c r="G282" s="33">
        <f>+'A) Base RI'!U284</f>
        <v>76</v>
      </c>
      <c r="H282" s="280">
        <f t="shared" si="21"/>
        <v>1.1192890572007841</v>
      </c>
      <c r="I282" s="55">
        <f t="shared" si="22"/>
        <v>0</v>
      </c>
    </row>
    <row r="283" spans="1:9" x14ac:dyDescent="0.25">
      <c r="A283" s="49">
        <f>'A) Base RI'!A285</f>
        <v>5891</v>
      </c>
      <c r="B283" s="32" t="str">
        <f>'A) Base RI'!B285</f>
        <v>Veytaux</v>
      </c>
      <c r="C283" s="95">
        <f>'A) Base RI'!V285</f>
        <v>884</v>
      </c>
      <c r="D283" s="110">
        <f>'D) Ecrêtage'!E283</f>
        <v>40.85902909956156</v>
      </c>
      <c r="E283" s="34">
        <f t="shared" si="19"/>
        <v>3.9663145797581123</v>
      </c>
      <c r="F283" s="279">
        <f t="shared" si="20"/>
        <v>67214.277436663309</v>
      </c>
      <c r="G283" s="33">
        <f>+'A) Base RI'!U285</f>
        <v>71</v>
      </c>
      <c r="H283" s="280">
        <f t="shared" si="21"/>
        <v>1.0456516192270484</v>
      </c>
      <c r="I283" s="55">
        <f t="shared" si="22"/>
        <v>70282.718036823047</v>
      </c>
    </row>
    <row r="284" spans="1:9" x14ac:dyDescent="0.25">
      <c r="A284" s="49">
        <f>'A) Base RI'!A286</f>
        <v>5902</v>
      </c>
      <c r="B284" s="32" t="str">
        <f>'A) Base RI'!B286</f>
        <v>Belmont-sur-Yverdon</v>
      </c>
      <c r="C284" s="95">
        <f>'A) Base RI'!V286</f>
        <v>384</v>
      </c>
      <c r="D284" s="110">
        <f>'D) Ecrêtage'!E284</f>
        <v>26.853557032110803</v>
      </c>
      <c r="E284" s="34">
        <f t="shared" si="19"/>
        <v>17.971786647208869</v>
      </c>
      <c r="F284" s="279">
        <f t="shared" si="20"/>
        <v>141611.92780827879</v>
      </c>
      <c r="G284" s="33">
        <f>+'A) Base RI'!U286</f>
        <v>76</v>
      </c>
      <c r="H284" s="280">
        <f t="shared" si="21"/>
        <v>1.1192890572007841</v>
      </c>
      <c r="I284" s="55">
        <f t="shared" si="22"/>
        <v>158504.68116491387</v>
      </c>
    </row>
    <row r="285" spans="1:9" x14ac:dyDescent="0.25">
      <c r="A285" s="49">
        <f>'A) Base RI'!A287</f>
        <v>5903</v>
      </c>
      <c r="B285" s="32" t="str">
        <f>'A) Base RI'!B287</f>
        <v>Bioley-Magnoux</v>
      </c>
      <c r="C285" s="95">
        <f>'A) Base RI'!V287</f>
        <v>225</v>
      </c>
      <c r="D285" s="110">
        <f>'D) Ecrêtage'!E285</f>
        <v>24.171015107204298</v>
      </c>
      <c r="E285" s="34">
        <f t="shared" si="19"/>
        <v>20.654328572115375</v>
      </c>
      <c r="F285" s="279">
        <f t="shared" si="20"/>
        <v>92851.534095944662</v>
      </c>
      <c r="G285" s="33">
        <f>+'A) Base RI'!U287</f>
        <v>74</v>
      </c>
      <c r="H285" s="280">
        <f t="shared" si="21"/>
        <v>1.0898340820112897</v>
      </c>
      <c r="I285" s="55">
        <f t="shared" si="22"/>
        <v>101192.76642479382</v>
      </c>
    </row>
    <row r="286" spans="1:9" x14ac:dyDescent="0.25">
      <c r="A286" s="49">
        <f>'A) Base RI'!A288</f>
        <v>5904</v>
      </c>
      <c r="B286" s="32" t="str">
        <f>'A) Base RI'!B288</f>
        <v>Chamblon</v>
      </c>
      <c r="C286" s="95">
        <f>'A) Base RI'!V288</f>
        <v>542</v>
      </c>
      <c r="D286" s="110">
        <f>'D) Ecrêtage'!E286</f>
        <v>36.853877577997807</v>
      </c>
      <c r="E286" s="34">
        <f t="shared" si="19"/>
        <v>7.9714661013218659</v>
      </c>
      <c r="F286" s="279">
        <f t="shared" si="20"/>
        <v>76991.927051651161</v>
      </c>
      <c r="G286" s="33">
        <f>+'A) Base RI'!U288</f>
        <v>66</v>
      </c>
      <c r="H286" s="280">
        <f t="shared" si="21"/>
        <v>0.97201418125331251</v>
      </c>
      <c r="I286" s="55">
        <f t="shared" si="22"/>
        <v>74837.24493622547</v>
      </c>
    </row>
    <row r="287" spans="1:9" x14ac:dyDescent="0.25">
      <c r="A287" s="49">
        <f>'A) Base RI'!A289</f>
        <v>5905</v>
      </c>
      <c r="B287" s="32" t="str">
        <f>'A) Base RI'!B289</f>
        <v>Champvent</v>
      </c>
      <c r="C287" s="95">
        <f>'A) Base RI'!V289</f>
        <v>685</v>
      </c>
      <c r="D287" s="110">
        <f>'D) Ecrêtage'!E287</f>
        <v>33.515731235431069</v>
      </c>
      <c r="E287" s="34">
        <f t="shared" si="19"/>
        <v>11.309612443888604</v>
      </c>
      <c r="F287" s="279">
        <f t="shared" si="20"/>
        <v>148511.61032630102</v>
      </c>
      <c r="G287" s="33">
        <f>+'A) Base RI'!U289</f>
        <v>71</v>
      </c>
      <c r="H287" s="280">
        <f t="shared" si="21"/>
        <v>1.0456516192270484</v>
      </c>
      <c r="I287" s="55">
        <f t="shared" si="22"/>
        <v>155291.40581171311</v>
      </c>
    </row>
    <row r="288" spans="1:9" x14ac:dyDescent="0.25">
      <c r="A288" s="49">
        <f>'A) Base RI'!A290</f>
        <v>5907</v>
      </c>
      <c r="B288" s="32" t="str">
        <f>'A) Base RI'!B290</f>
        <v>Chavannes-le-Chêne</v>
      </c>
      <c r="C288" s="95">
        <f>'A) Base RI'!V290</f>
        <v>308</v>
      </c>
      <c r="D288" s="110">
        <f>'D) Ecrêtage'!E288</f>
        <v>26.199232462266703</v>
      </c>
      <c r="E288" s="34">
        <f t="shared" si="19"/>
        <v>18.626111217052969</v>
      </c>
      <c r="F288" s="279">
        <f t="shared" si="20"/>
        <v>120817.89788718976</v>
      </c>
      <c r="G288" s="33">
        <f>+'A) Base RI'!U290</f>
        <v>78</v>
      </c>
      <c r="H288" s="280">
        <f t="shared" si="21"/>
        <v>1.1487440323902784</v>
      </c>
      <c r="I288" s="55">
        <f t="shared" si="22"/>
        <v>138788.83920384725</v>
      </c>
    </row>
    <row r="289" spans="1:9" x14ac:dyDescent="0.25">
      <c r="A289" s="49">
        <f>'A) Base RI'!A291</f>
        <v>5908</v>
      </c>
      <c r="B289" s="32" t="str">
        <f>'A) Base RI'!B291</f>
        <v>Chêne-Pâquier</v>
      </c>
      <c r="C289" s="95">
        <f>'A) Base RI'!V291</f>
        <v>141</v>
      </c>
      <c r="D289" s="110">
        <f>'D) Ecrêtage'!E289</f>
        <v>22.343805990353221</v>
      </c>
      <c r="E289" s="34">
        <f t="shared" si="19"/>
        <v>22.481537688966451</v>
      </c>
      <c r="F289" s="279">
        <f t="shared" si="20"/>
        <v>67613.899045697268</v>
      </c>
      <c r="G289" s="33">
        <f>+'A) Base RI'!U291</f>
        <v>79</v>
      </c>
      <c r="H289" s="280">
        <f t="shared" si="21"/>
        <v>1.1634715199850256</v>
      </c>
      <c r="I289" s="55">
        <f t="shared" si="22"/>
        <v>78666.845894811471</v>
      </c>
    </row>
    <row r="290" spans="1:9" x14ac:dyDescent="0.25">
      <c r="A290" s="49">
        <f>'A) Base RI'!A292</f>
        <v>5909</v>
      </c>
      <c r="B290" s="32" t="str">
        <f>'A) Base RI'!B292</f>
        <v>Cheseaux-Noréaz</v>
      </c>
      <c r="C290" s="95">
        <f>'A) Base RI'!V292</f>
        <v>721</v>
      </c>
      <c r="D290" s="110">
        <f>'D) Ecrêtage'!E290</f>
        <v>44.887467351332681</v>
      </c>
      <c r="E290" s="34">
        <f t="shared" si="19"/>
        <v>0</v>
      </c>
      <c r="F290" s="279">
        <f t="shared" si="20"/>
        <v>0</v>
      </c>
      <c r="G290" s="33">
        <f>+'A) Base RI'!U292</f>
        <v>70</v>
      </c>
      <c r="H290" s="280">
        <f t="shared" si="21"/>
        <v>1.0309241316323012</v>
      </c>
      <c r="I290" s="55">
        <f t="shared" si="22"/>
        <v>0</v>
      </c>
    </row>
    <row r="291" spans="1:9" x14ac:dyDescent="0.25">
      <c r="A291" s="49">
        <f>'A) Base RI'!A293</f>
        <v>5910</v>
      </c>
      <c r="B291" s="32" t="str">
        <f>'A) Base RI'!B293</f>
        <v>Cronay</v>
      </c>
      <c r="C291" s="95">
        <f>'A) Base RI'!V293</f>
        <v>385</v>
      </c>
      <c r="D291" s="110">
        <f>'D) Ecrêtage'!E291</f>
        <v>24.958840350496697</v>
      </c>
      <c r="E291" s="34">
        <f t="shared" si="19"/>
        <v>19.866503328822976</v>
      </c>
      <c r="F291" s="279">
        <f t="shared" si="20"/>
        <v>163144.71866146073</v>
      </c>
      <c r="G291" s="33">
        <f>+'A) Base RI'!U293</f>
        <v>79</v>
      </c>
      <c r="H291" s="280">
        <f t="shared" si="21"/>
        <v>1.1634715199850256</v>
      </c>
      <c r="I291" s="55">
        <f t="shared" si="22"/>
        <v>189814.23379857911</v>
      </c>
    </row>
    <row r="292" spans="1:9" x14ac:dyDescent="0.25">
      <c r="A292" s="49">
        <f>'A) Base RI'!A294</f>
        <v>5911</v>
      </c>
      <c r="B292" s="32" t="str">
        <f>'A) Base RI'!B294</f>
        <v>Cuarny</v>
      </c>
      <c r="C292" s="95">
        <f>'A) Base RI'!V294</f>
        <v>243</v>
      </c>
      <c r="D292" s="110">
        <f>'D) Ecrêtage'!E292</f>
        <v>28.133114278715354</v>
      </c>
      <c r="E292" s="34">
        <f t="shared" si="19"/>
        <v>16.692229400604319</v>
      </c>
      <c r="F292" s="279">
        <f t="shared" si="20"/>
        <v>86518.996506918309</v>
      </c>
      <c r="G292" s="33">
        <f>+'A) Base RI'!U294</f>
        <v>79</v>
      </c>
      <c r="H292" s="280">
        <f t="shared" si="21"/>
        <v>1.1634715199850256</v>
      </c>
      <c r="I292" s="55">
        <f t="shared" si="22"/>
        <v>100662.38837348337</v>
      </c>
    </row>
    <row r="293" spans="1:9" x14ac:dyDescent="0.25">
      <c r="A293" s="49">
        <f>'A) Base RI'!A295</f>
        <v>5912</v>
      </c>
      <c r="B293" s="32" t="str">
        <f>'A) Base RI'!B295</f>
        <v>Démoret</v>
      </c>
      <c r="C293" s="95">
        <f>'A) Base RI'!V295</f>
        <v>141</v>
      </c>
      <c r="D293" s="110">
        <f>'D) Ecrêtage'!E293</f>
        <v>22.223030769641813</v>
      </c>
      <c r="E293" s="34">
        <f t="shared" si="19"/>
        <v>22.60231290967786</v>
      </c>
      <c r="F293" s="279">
        <f t="shared" si="20"/>
        <v>69698.074250186328</v>
      </c>
      <c r="G293" s="33">
        <f>+'A) Base RI'!U295</f>
        <v>81</v>
      </c>
      <c r="H293" s="280">
        <f t="shared" si="21"/>
        <v>1.19292649517452</v>
      </c>
      <c r="I293" s="55">
        <f t="shared" si="22"/>
        <v>83144.679435688231</v>
      </c>
    </row>
    <row r="294" spans="1:9" x14ac:dyDescent="0.25">
      <c r="A294" s="49">
        <f>'A) Base RI'!A296</f>
        <v>5913</v>
      </c>
      <c r="B294" s="32" t="str">
        <f>'A) Base RI'!B296</f>
        <v>Donneloye</v>
      </c>
      <c r="C294" s="95">
        <f>'A) Base RI'!V296</f>
        <v>809</v>
      </c>
      <c r="D294" s="110">
        <f>'D) Ecrêtage'!E294</f>
        <v>24.858626348357056</v>
      </c>
      <c r="E294" s="34">
        <f t="shared" si="19"/>
        <v>19.966717330962616</v>
      </c>
      <c r="F294" s="279">
        <f t="shared" si="20"/>
        <v>318377.09486195806</v>
      </c>
      <c r="G294" s="33">
        <f>+'A) Base RI'!U296</f>
        <v>73</v>
      </c>
      <c r="H294" s="280">
        <f t="shared" si="21"/>
        <v>1.0751065944165428</v>
      </c>
      <c r="I294" s="55">
        <f t="shared" si="22"/>
        <v>342289.3141972723</v>
      </c>
    </row>
    <row r="295" spans="1:9" x14ac:dyDescent="0.25">
      <c r="A295" s="49">
        <f>'A) Base RI'!A297</f>
        <v>5914</v>
      </c>
      <c r="B295" s="32" t="str">
        <f>'A) Base RI'!B297</f>
        <v>Ependes</v>
      </c>
      <c r="C295" s="95">
        <f>'A) Base RI'!V297</f>
        <v>360</v>
      </c>
      <c r="D295" s="110">
        <f>'D) Ecrêtage'!E295</f>
        <v>26.341188688922429</v>
      </c>
      <c r="E295" s="34">
        <f t="shared" si="19"/>
        <v>18.484154990397244</v>
      </c>
      <c r="F295" s="279">
        <f t="shared" si="20"/>
        <v>134749.4898799959</v>
      </c>
      <c r="G295" s="33">
        <f>+'A) Base RI'!U297</f>
        <v>75</v>
      </c>
      <c r="H295" s="280">
        <f t="shared" si="21"/>
        <v>1.1045615696060369</v>
      </c>
      <c r="I295" s="55">
        <f t="shared" si="22"/>
        <v>148839.10804546106</v>
      </c>
    </row>
    <row r="296" spans="1:9" x14ac:dyDescent="0.25">
      <c r="A296" s="49">
        <f>'A) Base RI'!A298</f>
        <v>5919</v>
      </c>
      <c r="B296" s="32" t="str">
        <f>'A) Base RI'!B298</f>
        <v>Mathod</v>
      </c>
      <c r="C296" s="95">
        <f>'A) Base RI'!V298</f>
        <v>611</v>
      </c>
      <c r="D296" s="110">
        <f>'D) Ecrêtage'!E296</f>
        <v>28.004775959494971</v>
      </c>
      <c r="E296" s="34">
        <f t="shared" si="19"/>
        <v>16.820567719824702</v>
      </c>
      <c r="F296" s="279">
        <f t="shared" si="20"/>
        <v>199792.0120852426</v>
      </c>
      <c r="G296" s="33">
        <f>+'A) Base RI'!U298</f>
        <v>72</v>
      </c>
      <c r="H296" s="280">
        <f t="shared" si="21"/>
        <v>1.0603791068217956</v>
      </c>
      <c r="I296" s="55">
        <f t="shared" si="22"/>
        <v>211855.27532507895</v>
      </c>
    </row>
    <row r="297" spans="1:9" x14ac:dyDescent="0.25">
      <c r="A297" s="49">
        <f>'A) Base RI'!A299</f>
        <v>5921</v>
      </c>
      <c r="B297" s="32" t="str">
        <f>'A) Base RI'!B299</f>
        <v>Molondin</v>
      </c>
      <c r="C297" s="95">
        <f>'A) Base RI'!V299</f>
        <v>235</v>
      </c>
      <c r="D297" s="110">
        <f>'D) Ecrêtage'!E297</f>
        <v>22.224011000334393</v>
      </c>
      <c r="E297" s="34">
        <f t="shared" si="19"/>
        <v>22.60133267898528</v>
      </c>
      <c r="F297" s="279">
        <f t="shared" si="20"/>
        <v>116158.41923701089</v>
      </c>
      <c r="G297" s="33">
        <f>+'A) Base RI'!U299</f>
        <v>81</v>
      </c>
      <c r="H297" s="280">
        <f t="shared" si="21"/>
        <v>1.19292649517452</v>
      </c>
      <c r="I297" s="55">
        <f t="shared" si="22"/>
        <v>138568.45594541993</v>
      </c>
    </row>
    <row r="298" spans="1:9" x14ac:dyDescent="0.25">
      <c r="A298" s="49">
        <f>'A) Base RI'!A300</f>
        <v>5922</v>
      </c>
      <c r="B298" s="32" t="str">
        <f>'A) Base RI'!B300</f>
        <v>Montagny-près-Yverdon</v>
      </c>
      <c r="C298" s="95">
        <f>'A) Base RI'!V300</f>
        <v>738</v>
      </c>
      <c r="D298" s="110">
        <f>'D) Ecrêtage'!E298</f>
        <v>48.217709282112473</v>
      </c>
      <c r="E298" s="34">
        <f t="shared" si="19"/>
        <v>0</v>
      </c>
      <c r="F298" s="279">
        <f t="shared" si="20"/>
        <v>0</v>
      </c>
      <c r="G298" s="33">
        <f>+'A) Base RI'!U300</f>
        <v>65</v>
      </c>
      <c r="H298" s="280">
        <f t="shared" si="21"/>
        <v>0.95728669365856545</v>
      </c>
      <c r="I298" s="55">
        <f t="shared" si="22"/>
        <v>0</v>
      </c>
    </row>
    <row r="299" spans="1:9" x14ac:dyDescent="0.25">
      <c r="A299" s="49">
        <f>'A) Base RI'!A301</f>
        <v>5923</v>
      </c>
      <c r="B299" s="32" t="str">
        <f>'A) Base RI'!B301</f>
        <v>Oppens</v>
      </c>
      <c r="C299" s="95">
        <f>'A) Base RI'!V301</f>
        <v>196</v>
      </c>
      <c r="D299" s="110">
        <f>'D) Ecrêtage'!E299</f>
        <v>26.381687510304953</v>
      </c>
      <c r="E299" s="34">
        <f t="shared" si="19"/>
        <v>18.443656169014719</v>
      </c>
      <c r="F299" s="279">
        <f t="shared" si="20"/>
        <v>79059.101041604968</v>
      </c>
      <c r="G299" s="33">
        <f>+'A) Base RI'!U301</f>
        <v>81</v>
      </c>
      <c r="H299" s="280">
        <f t="shared" si="21"/>
        <v>1.19292649517452</v>
      </c>
      <c r="I299" s="55">
        <f t="shared" si="22"/>
        <v>94311.696317210051</v>
      </c>
    </row>
    <row r="300" spans="1:9" x14ac:dyDescent="0.25">
      <c r="A300" s="49">
        <f>'A) Base RI'!A302</f>
        <v>5924</v>
      </c>
      <c r="B300" s="32" t="str">
        <f>'A) Base RI'!B302</f>
        <v>Orges</v>
      </c>
      <c r="C300" s="95">
        <f>'A) Base RI'!V302</f>
        <v>332</v>
      </c>
      <c r="D300" s="110">
        <f>'D) Ecrêtage'!E300</f>
        <v>30.950332288996016</v>
      </c>
      <c r="E300" s="34">
        <f t="shared" si="19"/>
        <v>13.875011390323657</v>
      </c>
      <c r="F300" s="279">
        <f t="shared" si="20"/>
        <v>92037.945556117338</v>
      </c>
      <c r="G300" s="33">
        <f>+'A) Base RI'!U302</f>
        <v>74</v>
      </c>
      <c r="H300" s="280">
        <f t="shared" si="21"/>
        <v>1.0898340820112897</v>
      </c>
      <c r="I300" s="55">
        <f t="shared" si="22"/>
        <v>100306.0899053562</v>
      </c>
    </row>
    <row r="301" spans="1:9" x14ac:dyDescent="0.25">
      <c r="A301" s="49">
        <f>'A) Base RI'!A303</f>
        <v>5925</v>
      </c>
      <c r="B301" s="32" t="str">
        <f>'A) Base RI'!B303</f>
        <v>Orzens</v>
      </c>
      <c r="C301" s="95">
        <f>'A) Base RI'!V303</f>
        <v>196</v>
      </c>
      <c r="D301" s="110">
        <f>'D) Ecrêtage'!E301</f>
        <v>28.388575420928422</v>
      </c>
      <c r="E301" s="34">
        <f t="shared" si="19"/>
        <v>16.43676825839125</v>
      </c>
      <c r="F301" s="279">
        <f t="shared" si="20"/>
        <v>68716.868322491136</v>
      </c>
      <c r="G301" s="33">
        <f>+'A) Base RI'!U303</f>
        <v>79</v>
      </c>
      <c r="H301" s="280">
        <f t="shared" si="21"/>
        <v>1.1634715199850256</v>
      </c>
      <c r="I301" s="55">
        <f t="shared" si="22"/>
        <v>79950.119235779624</v>
      </c>
    </row>
    <row r="302" spans="1:9" x14ac:dyDescent="0.25">
      <c r="A302" s="49">
        <f>'A) Base RI'!A304</f>
        <v>5926</v>
      </c>
      <c r="B302" s="32" t="str">
        <f>'A) Base RI'!B304</f>
        <v>Pomy</v>
      </c>
      <c r="C302" s="95">
        <f>'A) Base RI'!V304</f>
        <v>780</v>
      </c>
      <c r="D302" s="110">
        <f>'D) Ecrêtage'!E302</f>
        <v>34.095856592655267</v>
      </c>
      <c r="E302" s="34">
        <f t="shared" si="19"/>
        <v>10.729487086664406</v>
      </c>
      <c r="F302" s="279">
        <f t="shared" si="20"/>
        <v>160433.72861205821</v>
      </c>
      <c r="G302" s="33">
        <f>+'A) Base RI'!U304</f>
        <v>71</v>
      </c>
      <c r="H302" s="280">
        <f t="shared" si="21"/>
        <v>1.0456516192270484</v>
      </c>
      <c r="I302" s="55">
        <f t="shared" si="22"/>
        <v>167757.78810183151</v>
      </c>
    </row>
    <row r="303" spans="1:9" x14ac:dyDescent="0.25">
      <c r="A303" s="49">
        <f>'A) Base RI'!A305</f>
        <v>5928</v>
      </c>
      <c r="B303" s="32" t="str">
        <f>'A) Base RI'!B305</f>
        <v>Rovray</v>
      </c>
      <c r="C303" s="95">
        <f>'A) Base RI'!V305</f>
        <v>180</v>
      </c>
      <c r="D303" s="110">
        <f>'D) Ecrêtage'!E303</f>
        <v>24.070271038782984</v>
      </c>
      <c r="E303" s="34">
        <f t="shared" si="19"/>
        <v>20.755072640536689</v>
      </c>
      <c r="F303" s="279">
        <f t="shared" si="20"/>
        <v>73634.846714096071</v>
      </c>
      <c r="G303" s="33">
        <f>+'A) Base RI'!U305</f>
        <v>73</v>
      </c>
      <c r="H303" s="280">
        <f t="shared" si="21"/>
        <v>1.0751065944165428</v>
      </c>
      <c r="I303" s="55">
        <f t="shared" si="22"/>
        <v>79165.309281175985</v>
      </c>
    </row>
    <row r="304" spans="1:9" x14ac:dyDescent="0.25">
      <c r="A304" s="49">
        <f>'A) Base RI'!A306</f>
        <v>5929</v>
      </c>
      <c r="B304" s="32" t="str">
        <f>'A) Base RI'!B306</f>
        <v>Suchy</v>
      </c>
      <c r="C304" s="95">
        <f>'A) Base RI'!V306</f>
        <v>599</v>
      </c>
      <c r="D304" s="110">
        <f>'D) Ecrêtage'!E304</f>
        <v>28.58693357601582</v>
      </c>
      <c r="E304" s="34">
        <f t="shared" si="19"/>
        <v>16.238410103303853</v>
      </c>
      <c r="F304" s="279">
        <f t="shared" si="20"/>
        <v>183836.66462051327</v>
      </c>
      <c r="G304" s="33">
        <f>+'A) Base RI'!U306</f>
        <v>70</v>
      </c>
      <c r="H304" s="280">
        <f t="shared" si="21"/>
        <v>1.0309241316323012</v>
      </c>
      <c r="I304" s="55">
        <f t="shared" si="22"/>
        <v>189521.65383608124</v>
      </c>
    </row>
    <row r="305" spans="1:9" x14ac:dyDescent="0.25">
      <c r="A305" s="49">
        <f>'A) Base RI'!A307</f>
        <v>5930</v>
      </c>
      <c r="B305" s="32" t="str">
        <f>'A) Base RI'!B307</f>
        <v>Suscévaz</v>
      </c>
      <c r="C305" s="95">
        <f>'A) Base RI'!V307</f>
        <v>213</v>
      </c>
      <c r="D305" s="110">
        <f>'D) Ecrêtage'!E305</f>
        <v>27.441649549725987</v>
      </c>
      <c r="E305" s="34">
        <f t="shared" si="19"/>
        <v>17.383694129593685</v>
      </c>
      <c r="F305" s="279">
        <f t="shared" si="20"/>
        <v>71981.009956291164</v>
      </c>
      <c r="G305" s="33">
        <f>+'A) Base RI'!U307</f>
        <v>72</v>
      </c>
      <c r="H305" s="280">
        <f t="shared" si="21"/>
        <v>1.0603791068217956</v>
      </c>
      <c r="I305" s="55">
        <f t="shared" si="22"/>
        <v>76327.159045582797</v>
      </c>
    </row>
    <row r="306" spans="1:9" x14ac:dyDescent="0.25">
      <c r="A306" s="49">
        <f>'A) Base RI'!A308</f>
        <v>5931</v>
      </c>
      <c r="B306" s="32" t="str">
        <f>'A) Base RI'!B308</f>
        <v>Treycovagnes</v>
      </c>
      <c r="C306" s="95">
        <f>'A) Base RI'!V308</f>
        <v>480</v>
      </c>
      <c r="D306" s="110">
        <f>'D) Ecrêtage'!E306</f>
        <v>27.027320806197654</v>
      </c>
      <c r="E306" s="34">
        <f t="shared" si="19"/>
        <v>17.798022873122019</v>
      </c>
      <c r="F306" s="279">
        <f t="shared" si="20"/>
        <v>172996.78232674603</v>
      </c>
      <c r="G306" s="33">
        <f>+'A) Base RI'!U308</f>
        <v>75</v>
      </c>
      <c r="H306" s="280">
        <f t="shared" si="21"/>
        <v>1.1045615696060369</v>
      </c>
      <c r="I306" s="55">
        <f t="shared" si="22"/>
        <v>191085.59742362451</v>
      </c>
    </row>
    <row r="307" spans="1:9" x14ac:dyDescent="0.25">
      <c r="A307" s="49">
        <f>'A) Base RI'!A309</f>
        <v>5932</v>
      </c>
      <c r="B307" s="32" t="str">
        <f>'A) Base RI'!B309</f>
        <v>Ursins</v>
      </c>
      <c r="C307" s="95">
        <f>'A) Base RI'!V309</f>
        <v>230</v>
      </c>
      <c r="D307" s="110">
        <f>'D) Ecrêtage'!E307</f>
        <v>29.070508966596375</v>
      </c>
      <c r="E307" s="34">
        <f t="shared" si="19"/>
        <v>15.754834712723298</v>
      </c>
      <c r="F307" s="279">
        <f t="shared" si="20"/>
        <v>75334.893145828988</v>
      </c>
      <c r="G307" s="33">
        <f>+'A) Base RI'!U309</f>
        <v>77</v>
      </c>
      <c r="H307" s="280">
        <f t="shared" si="21"/>
        <v>1.1340165447955313</v>
      </c>
      <c r="I307" s="55">
        <f t="shared" si="22"/>
        <v>85431.015227773547</v>
      </c>
    </row>
    <row r="308" spans="1:9" x14ac:dyDescent="0.25">
      <c r="A308" s="49">
        <f>'A) Base RI'!A310</f>
        <v>5933</v>
      </c>
      <c r="B308" s="32" t="str">
        <f>'A) Base RI'!B310</f>
        <v>Valeyres-sous-Montagny</v>
      </c>
      <c r="C308" s="95">
        <f>'A) Base RI'!V310</f>
        <v>708</v>
      </c>
      <c r="D308" s="110">
        <f>'D) Ecrêtage'!E308</f>
        <v>31.965767155655779</v>
      </c>
      <c r="E308" s="34">
        <f t="shared" si="19"/>
        <v>12.859576523663893</v>
      </c>
      <c r="F308" s="279">
        <f t="shared" si="20"/>
        <v>176993.03867497848</v>
      </c>
      <c r="G308" s="33">
        <f>+'A) Base RI'!U310</f>
        <v>72</v>
      </c>
      <c r="H308" s="280">
        <f t="shared" si="21"/>
        <v>1.0603791068217956</v>
      </c>
      <c r="I308" s="55">
        <f t="shared" si="22"/>
        <v>187679.72026384922</v>
      </c>
    </row>
    <row r="309" spans="1:9" x14ac:dyDescent="0.25">
      <c r="A309" s="49">
        <f>'A) Base RI'!A311</f>
        <v>5934</v>
      </c>
      <c r="B309" s="32" t="str">
        <f>'A) Base RI'!B311</f>
        <v>Valeyres-sous-Ursins</v>
      </c>
      <c r="C309" s="95">
        <f>'A) Base RI'!V311</f>
        <v>232</v>
      </c>
      <c r="D309" s="110">
        <f>'D) Ecrêtage'!E309</f>
        <v>32.939012867337517</v>
      </c>
      <c r="E309" s="34">
        <f t="shared" si="19"/>
        <v>11.886330811982155</v>
      </c>
      <c r="F309" s="279">
        <f t="shared" si="20"/>
        <v>58820.221202942419</v>
      </c>
      <c r="G309" s="33">
        <f>+'A) Base RI'!U311</f>
        <v>79</v>
      </c>
      <c r="H309" s="280">
        <f t="shared" si="21"/>
        <v>1.1634715199850256</v>
      </c>
      <c r="I309" s="55">
        <f t="shared" si="22"/>
        <v>68435.652168842847</v>
      </c>
    </row>
    <row r="310" spans="1:9" x14ac:dyDescent="0.25">
      <c r="A310" s="49">
        <f>'A) Base RI'!A312</f>
        <v>5935</v>
      </c>
      <c r="B310" s="32" t="str">
        <f>'A) Base RI'!B312</f>
        <v>Villars-Epeney</v>
      </c>
      <c r="C310" s="95">
        <f>'A) Base RI'!V312</f>
        <v>100</v>
      </c>
      <c r="D310" s="110">
        <f>'D) Ecrêtage'!E310</f>
        <v>55.913819786059364</v>
      </c>
      <c r="E310" s="34">
        <f t="shared" si="19"/>
        <v>0</v>
      </c>
      <c r="F310" s="279">
        <f t="shared" si="20"/>
        <v>0</v>
      </c>
      <c r="G310" s="33">
        <f>+'A) Base RI'!U312</f>
        <v>60</v>
      </c>
      <c r="H310" s="280">
        <f t="shared" si="21"/>
        <v>0.88364925568482955</v>
      </c>
      <c r="I310" s="55">
        <f t="shared" si="22"/>
        <v>0</v>
      </c>
    </row>
    <row r="311" spans="1:9" x14ac:dyDescent="0.25">
      <c r="A311" s="49">
        <f>'A) Base RI'!A313</f>
        <v>5937</v>
      </c>
      <c r="B311" s="32" t="str">
        <f>'A) Base RI'!B313</f>
        <v>Vugelles-La Mothe</v>
      </c>
      <c r="C311" s="95">
        <f>'A) Base RI'!V313</f>
        <v>132</v>
      </c>
      <c r="D311" s="110">
        <f>'D) Ecrêtage'!E311</f>
        <v>18.202580039365913</v>
      </c>
      <c r="E311" s="34">
        <f t="shared" si="19"/>
        <v>26.62276363995376</v>
      </c>
      <c r="F311" s="279">
        <f t="shared" si="20"/>
        <v>66418.470728956643</v>
      </c>
      <c r="G311" s="33">
        <f>+'A) Base RI'!U313</f>
        <v>70</v>
      </c>
      <c r="H311" s="280">
        <f t="shared" si="21"/>
        <v>1.0309241316323012</v>
      </c>
      <c r="I311" s="55">
        <f t="shared" si="22"/>
        <v>68472.404260595038</v>
      </c>
    </row>
    <row r="312" spans="1:9" x14ac:dyDescent="0.25">
      <c r="A312" s="49">
        <f>'A) Base RI'!A314</f>
        <v>5938</v>
      </c>
      <c r="B312" s="32" t="str">
        <f>'A) Base RI'!B314</f>
        <v>Yverdon-les-Bains</v>
      </c>
      <c r="C312" s="95">
        <f>'A) Base RI'!V314</f>
        <v>30211</v>
      </c>
      <c r="D312" s="110">
        <f>'D) Ecrêtage'!E312</f>
        <v>24.787175400138477</v>
      </c>
      <c r="E312" s="34">
        <f t="shared" si="19"/>
        <v>20.038168279181196</v>
      </c>
      <c r="F312" s="279">
        <f t="shared" si="20"/>
        <v>12503981.419379797</v>
      </c>
      <c r="G312" s="33">
        <f>+'A) Base RI'!U314</f>
        <v>76.5</v>
      </c>
      <c r="H312" s="280">
        <f t="shared" si="21"/>
        <v>1.1266528009981578</v>
      </c>
      <c r="I312" s="55">
        <f t="shared" si="22"/>
        <v>14087645.689773168</v>
      </c>
    </row>
    <row r="313" spans="1:9" x14ac:dyDescent="0.25">
      <c r="A313" s="49">
        <f>'A) Base RI'!A315</f>
        <v>5939</v>
      </c>
      <c r="B313" s="32" t="str">
        <f>'A) Base RI'!B315</f>
        <v>Yvonand</v>
      </c>
      <c r="C313" s="95">
        <f>'A) Base RI'!V315</f>
        <v>3426</v>
      </c>
      <c r="D313" s="110">
        <f>'D) Ecrêtage'!E313</f>
        <v>26.852824075262927</v>
      </c>
      <c r="E313" s="34">
        <f t="shared" si="19"/>
        <v>17.972519604056746</v>
      </c>
      <c r="F313" s="279">
        <f t="shared" si="20"/>
        <v>1213620.626142554</v>
      </c>
      <c r="G313" s="33">
        <f>+'A) Base RI'!U315</f>
        <v>73</v>
      </c>
      <c r="H313" s="280">
        <f t="shared" si="21"/>
        <v>1.0751065944165428</v>
      </c>
      <c r="I313" s="55">
        <f t="shared" si="22"/>
        <v>1304771.5382857935</v>
      </c>
    </row>
    <row r="314" spans="1:9" x14ac:dyDescent="0.25">
      <c r="A314" s="30"/>
      <c r="B314" s="119">
        <f>COUNTA(B5:B313)</f>
        <v>309</v>
      </c>
      <c r="C314" s="97">
        <f>SUM(C5:C313)</f>
        <v>800162</v>
      </c>
      <c r="D314" s="109">
        <f>'D) Ecrêtage'!E314</f>
        <v>44.825343679319673</v>
      </c>
      <c r="E314" s="277"/>
      <c r="F314" s="11">
        <f>SUM(F5:F313)</f>
        <v>121160247.21237195</v>
      </c>
      <c r="G314" s="281">
        <f>'B) D RI'!S316</f>
        <v>67.900243919177981</v>
      </c>
      <c r="H314" s="278">
        <f>G314/G$314</f>
        <v>1</v>
      </c>
      <c r="I314" s="37">
        <f>SUM(I5:I313)</f>
        <v>132207905.99061687</v>
      </c>
    </row>
  </sheetData>
  <mergeCells count="8">
    <mergeCell ref="A3:A4"/>
    <mergeCell ref="I3:I4"/>
    <mergeCell ref="H3:H4"/>
    <mergeCell ref="G3:G4"/>
    <mergeCell ref="F3:F4"/>
    <mergeCell ref="B3:B4"/>
    <mergeCell ref="C3:C4"/>
    <mergeCell ref="D3:D4"/>
  </mergeCells>
  <phoneticPr fontId="19" type="noConversion"/>
  <pageMargins left="0.78740157499999996" right="0.78740157499999996" top="0.984251969" bottom="0.984251969" header="0.4921259845" footer="0.4921259845"/>
  <pageSetup paperSize="9" orientation="portrait" horizontalDpi="4294967292" vertic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12</vt:i4>
      </vt:variant>
    </vt:vector>
  </HeadingPairs>
  <TitlesOfParts>
    <vt:vector size="28" baseType="lpstr">
      <vt:lpstr>Paramètres</vt:lpstr>
      <vt:lpstr>Recherche</vt:lpstr>
      <vt:lpstr>A) Base RI</vt:lpstr>
      <vt:lpstr>B) D RI</vt:lpstr>
      <vt:lpstr>C) Prél. conj.</vt:lpstr>
      <vt:lpstr>D) Ecrêtage</vt:lpstr>
      <vt:lpstr>E) Fact soc</vt:lpstr>
      <vt:lpstr>F) Population</vt:lpstr>
      <vt:lpstr>G) Solidarité</vt:lpstr>
      <vt:lpstr>H) Péréquation directe</vt:lpstr>
      <vt:lpstr>I) Dépenses thématiques</vt:lpstr>
      <vt:lpstr>J) Plafonnement effort</vt:lpstr>
      <vt:lpstr>K) Plafonnement aide</vt:lpstr>
      <vt:lpstr>L) Plafonnement taux</vt:lpstr>
      <vt:lpstr>M) Police</vt:lpstr>
      <vt:lpstr>Synthèse</vt:lpstr>
      <vt:lpstr>'C) Prél. conj.'!Impression_des_titres</vt:lpstr>
      <vt:lpstr>'E) Fact soc'!Impression_des_titres</vt:lpstr>
      <vt:lpstr>'I) Dépenses thématiques'!Impression_des_titres</vt:lpstr>
      <vt:lpstr>'J) Plafonnement effort'!Impression_des_titres</vt:lpstr>
      <vt:lpstr>'L) Plafonnement taux'!Impression_des_titres</vt:lpstr>
      <vt:lpstr>'M) Police'!Impression_des_titres</vt:lpstr>
      <vt:lpstr>Synthèse!Impression_des_titres</vt:lpstr>
      <vt:lpstr>'H) Péréquation directe'!Zone_d_impression</vt:lpstr>
      <vt:lpstr>'L) Plafonnement taux'!Zone_d_impression</vt:lpstr>
      <vt:lpstr>'M) Police'!Zone_d_impression</vt:lpstr>
      <vt:lpstr>Recherche!Zone_d_impression</vt:lpstr>
      <vt:lpstr>Synthèse!Zone_d_impression</vt:lpstr>
    </vt:vector>
  </TitlesOfParts>
  <Company>Etat de Vaud / ASFiCo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CLERC,Charles Henri</dc:creator>
  <cp:lastModifiedBy>Delija Sofia</cp:lastModifiedBy>
  <cp:lastPrinted>2019-10-08T12:23:19Z</cp:lastPrinted>
  <dcterms:created xsi:type="dcterms:W3CDTF">2005-06-06T00:37:42Z</dcterms:created>
  <dcterms:modified xsi:type="dcterms:W3CDTF">2020-10-09T08:35:47Z</dcterms:modified>
</cp:coreProperties>
</file>